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comments6.xml" ContentType="application/vnd.openxmlformats-officedocument.spreadsheetml.comments+xml"/>
  <Override PartName="/xl/comments7.xml" ContentType="application/vnd.openxmlformats-officedocument.spreadsheetml.comments+xml"/>
  <Default Extension="emf" ContentType="image/x-emf"/>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comments4.xml" ContentType="application/vnd.openxmlformats-officedocument.spreadsheetml.comments+xml"/>
  <Override PartName="/xl/comments5.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Default Extension="doc" ContentType="application/msword"/>
  <Override PartName="/xl/worksheets/sheet17.xml" ContentType="application/vnd.openxmlformats-officedocument.spreadsheetml.worksheet+xml"/>
  <Override PartName="/xl/worksheets/sheet18.xml" ContentType="application/vnd.openxmlformats-officedocument.spreadsheetml.worksheet+xml"/>
  <Override PartName="/xl/comments10.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worksheets/sheet14.xml" ContentType="application/vnd.openxmlformats-officedocument.spreadsheetml.worksheet+xml"/>
  <Override PartName="/xl/worksheets/sheet23.xml" ContentType="application/vnd.openxmlformats-officedocument.spreadsheetml.worksheet+xml"/>
  <Override PartName="/xl/comments9.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20" yWindow="135" windowWidth="23910" windowHeight="9975" activeTab="1"/>
  </bookViews>
  <sheets>
    <sheet name="forRPM" sheetId="56" r:id="rId1"/>
    <sheet name="7PSourceSummary" sheetId="5" r:id="rId2"/>
    <sheet name="SC-New" sheetId="35" r:id="rId3"/>
    <sheet name="SC-NR" sheetId="36" r:id="rId4"/>
    <sheet name="M_Input_Out" sheetId="53" r:id="rId5"/>
    <sheet name="M_Input" sheetId="52" r:id="rId6"/>
    <sheet name="M_Input (WT)_Out" sheetId="57" r:id="rId7"/>
    <sheet name="M_Input (WT)" sheetId="32" r:id="rId8"/>
    <sheet name="M_Input(Fixture)_Out" sheetId="58" r:id="rId9"/>
    <sheet name="M_Input(Fixture)" sheetId="6" r:id="rId10"/>
    <sheet name="M_Input (WT)(wo OM)_Out" sheetId="55" r:id="rId11"/>
    <sheet name="M_Input (WT)(wo OM)" sheetId="41" r:id="rId12"/>
    <sheet name="MMap" sheetId="27" r:id="rId13"/>
    <sheet name="Luminaires 7P" sheetId="25" r:id="rId14"/>
    <sheet name="Pricing" sheetId="23" r:id="rId15"/>
    <sheet name="SatPen" sheetId="24" r:id="rId16"/>
    <sheet name="Outdoor Stock" sheetId="18" r:id="rId17"/>
    <sheet name="Performance 7P" sheetId="26" r:id="rId18"/>
    <sheet name="Sources OM" sheetId="12" r:id="rId19"/>
    <sheet name="Life Table" sheetId="17" r:id="rId20"/>
    <sheet name="References" sheetId="22" r:id="rId21"/>
    <sheet name="Sources Stock 6P" sheetId="11" r:id="rId22"/>
    <sheet name="ToDo7P" sheetId="40" r:id="rId23"/>
    <sheet name="DOE 2017 Rule" sheetId="59" r:id="rId24"/>
    <sheet name="LOG" sheetId="60" r:id="rId25"/>
  </sheets>
  <externalReferences>
    <externalReference r:id="rId26"/>
    <externalReference r:id="rId27"/>
    <externalReference r:id="rId28"/>
    <externalReference r:id="rId29"/>
    <externalReference r:id="rId30"/>
  </externalReferences>
  <definedNames>
    <definedName name="_xlnm._FilterDatabase" localSheetId="12" hidden="1">MMap!$B$12:$AP$36</definedName>
    <definedName name="_Key1" localSheetId="23" hidden="1">#REF!</definedName>
    <definedName name="_Key1" localSheetId="13" hidden="1">#REF!</definedName>
    <definedName name="_Key1" localSheetId="5" hidden="1">#REF!</definedName>
    <definedName name="_Key1" localSheetId="7" hidden="1">#REF!</definedName>
    <definedName name="_Key1" localSheetId="11" hidden="1">#REF!</definedName>
    <definedName name="_Key1" localSheetId="12" hidden="1">#REF!</definedName>
    <definedName name="_Key1" localSheetId="3" hidden="1">#REF!</definedName>
    <definedName name="_Key1" hidden="1">#REF!</definedName>
    <definedName name="_Order1" hidden="1">255</definedName>
    <definedName name="_Sort" localSheetId="23" hidden="1">#REF!</definedName>
    <definedName name="_Sort" localSheetId="13" hidden="1">#REF!</definedName>
    <definedName name="_Sort" localSheetId="5" hidden="1">#REF!</definedName>
    <definedName name="_Sort" localSheetId="7" hidden="1">#REF!</definedName>
    <definedName name="_Sort" localSheetId="11" hidden="1">#REF!</definedName>
    <definedName name="_Sort" localSheetId="12" hidden="1">#REF!</definedName>
    <definedName name="_Sort" localSheetId="3" hidden="1">#REF!</definedName>
    <definedName name="_Sort" hidden="1">#REF!</definedName>
    <definedName name="BLDGTYP" localSheetId="2">[1]APPLIC!$C$11:$T$11</definedName>
    <definedName name="BLDGTYP" localSheetId="3">[1]APPLIC!$C$11:$T$11</definedName>
    <definedName name="CostMatrix">'[2]Savings and Cost Analysis'!$AM$12:$CW$49</definedName>
    <definedName name="MeasOut">M_Input_Out!$A$1:$AU$30</definedName>
    <definedName name="Population">'[3]Pop Forecast (Base Case)'!$B$5:$BC$10</definedName>
    <definedName name="VSTOCK">[1]Lookup!$C$4:$D$12</definedName>
    <definedName name="Watt_Allocation">'[2]Watt Allocation'!$C$38:$K$46</definedName>
    <definedName name="Watt_Class_Ext">'[2]Reference Fixtures'!$A$10:$M$34</definedName>
    <definedName name="WattClass">'Outdoor Stock'!$T$6:$U$15</definedName>
  </definedNames>
  <calcPr calcId="125725"/>
</workbook>
</file>

<file path=xl/calcChain.xml><?xml version="1.0" encoding="utf-8"?>
<calcChain xmlns="http://schemas.openxmlformats.org/spreadsheetml/2006/main">
  <c r="B10" i="60"/>
  <c r="A26" i="35"/>
  <c r="A27"/>
  <c r="A28"/>
  <c r="A29"/>
  <c r="A25"/>
  <c r="A42" i="36"/>
  <c r="A43"/>
  <c r="A44"/>
  <c r="A45"/>
  <c r="A41"/>
  <c r="A32"/>
  <c r="A33"/>
  <c r="A34"/>
  <c r="A35"/>
  <c r="A31"/>
  <c r="B9" i="60" l="1"/>
  <c r="D16" i="35"/>
  <c r="W16" l="1"/>
  <c r="G16" l="1"/>
  <c r="K16"/>
  <c r="S16"/>
  <c r="X16"/>
  <c r="L16"/>
  <c r="O16"/>
  <c r="P16"/>
  <c r="M16"/>
  <c r="I16"/>
  <c r="R16"/>
  <c r="T16"/>
  <c r="H16"/>
  <c r="F16"/>
  <c r="J16"/>
  <c r="V16"/>
  <c r="N16"/>
  <c r="Q16"/>
  <c r="U16"/>
  <c r="E16"/>
  <c r="D9" i="36" l="1"/>
  <c r="A6" s="1"/>
  <c r="D8"/>
  <c r="D9" i="35"/>
  <c r="D8"/>
  <c r="I2" i="56"/>
  <c r="C9" i="36"/>
  <c r="C9" i="35"/>
  <c r="C8" i="36"/>
  <c r="A9" s="1"/>
  <c r="C8" i="35"/>
  <c r="A9" s="1"/>
  <c r="D2" i="5"/>
  <c r="C12" i="56"/>
  <c r="A12" s="1"/>
  <c r="C11"/>
  <c r="A11" s="1"/>
  <c r="C10"/>
  <c r="A10" s="1"/>
  <c r="C9"/>
  <c r="A9" s="1"/>
  <c r="C8"/>
  <c r="A8" s="1"/>
  <c r="C7"/>
  <c r="A7" s="1"/>
  <c r="C6"/>
  <c r="A6" s="1"/>
  <c r="C5"/>
  <c r="A5" s="1"/>
  <c r="C4"/>
  <c r="A4" s="1"/>
  <c r="C3"/>
  <c r="A3" s="1"/>
  <c r="B5" i="60"/>
  <c r="B6"/>
  <c r="B7"/>
  <c r="B8"/>
  <c r="B4"/>
  <c r="F66" i="59" l="1"/>
  <c r="F63"/>
  <c r="E63"/>
  <c r="B33" i="40" l="1"/>
  <c r="B34"/>
  <c r="B35"/>
  <c r="B36"/>
  <c r="AG8" i="56"/>
  <c r="AH8"/>
  <c r="AI8"/>
  <c r="AJ8"/>
  <c r="AK8"/>
  <c r="AL8"/>
  <c r="AM8"/>
  <c r="AN8"/>
  <c r="AO8"/>
  <c r="AP8"/>
  <c r="AQ8"/>
  <c r="AR8"/>
  <c r="AS8"/>
  <c r="AT8"/>
  <c r="AU8"/>
  <c r="AV8"/>
  <c r="AW8"/>
  <c r="AX8"/>
  <c r="AY8"/>
  <c r="AZ8"/>
  <c r="BA8"/>
  <c r="BB8"/>
  <c r="BC8"/>
  <c r="BD8"/>
  <c r="AG9"/>
  <c r="AH9"/>
  <c r="AI9"/>
  <c r="AJ9"/>
  <c r="AK9"/>
  <c r="AL9"/>
  <c r="AM9"/>
  <c r="AN9"/>
  <c r="AO9"/>
  <c r="AP9"/>
  <c r="AQ9"/>
  <c r="AR9"/>
  <c r="AS9"/>
  <c r="AT9"/>
  <c r="AU9"/>
  <c r="AV9"/>
  <c r="AW9"/>
  <c r="AX9"/>
  <c r="AY9"/>
  <c r="AZ9"/>
  <c r="BA9"/>
  <c r="BB9"/>
  <c r="BC9"/>
  <c r="BD9"/>
  <c r="AG10"/>
  <c r="AH10"/>
  <c r="AI10"/>
  <c r="AJ10"/>
  <c r="AK10"/>
  <c r="AL10"/>
  <c r="AM10"/>
  <c r="AN10"/>
  <c r="AO10"/>
  <c r="AP10"/>
  <c r="AQ10"/>
  <c r="AR10"/>
  <c r="AS10"/>
  <c r="AT10"/>
  <c r="AU10"/>
  <c r="AV10"/>
  <c r="AW10"/>
  <c r="AX10"/>
  <c r="AY10"/>
  <c r="AZ10"/>
  <c r="BA10"/>
  <c r="BB10"/>
  <c r="BC10"/>
  <c r="BD10"/>
  <c r="AG11"/>
  <c r="AH11"/>
  <c r="AI11"/>
  <c r="AJ11"/>
  <c r="AK11"/>
  <c r="AL11"/>
  <c r="AM11"/>
  <c r="AN11"/>
  <c r="AO11"/>
  <c r="AP11"/>
  <c r="AQ11"/>
  <c r="AR11"/>
  <c r="AS11"/>
  <c r="AT11"/>
  <c r="AU11"/>
  <c r="AV11"/>
  <c r="AW11"/>
  <c r="AX11"/>
  <c r="AY11"/>
  <c r="AZ11"/>
  <c r="BA11"/>
  <c r="BB11"/>
  <c r="BC11"/>
  <c r="BD11"/>
  <c r="AG12"/>
  <c r="AH12"/>
  <c r="AI12"/>
  <c r="AJ12"/>
  <c r="AK12"/>
  <c r="AL12"/>
  <c r="AM12"/>
  <c r="AN12"/>
  <c r="AO12"/>
  <c r="AP12"/>
  <c r="AQ12"/>
  <c r="AR12"/>
  <c r="AS12"/>
  <c r="AT12"/>
  <c r="AU12"/>
  <c r="AV12"/>
  <c r="AW12"/>
  <c r="AX12"/>
  <c r="AY12"/>
  <c r="AZ12"/>
  <c r="BA12"/>
  <c r="BB12"/>
  <c r="BC12"/>
  <c r="BD12"/>
  <c r="AF9"/>
  <c r="AF10"/>
  <c r="AF11"/>
  <c r="AF12"/>
  <c r="AF8"/>
  <c r="F8"/>
  <c r="G8"/>
  <c r="H8"/>
  <c r="F9"/>
  <c r="G9"/>
  <c r="H9"/>
  <c r="F10"/>
  <c r="G10"/>
  <c r="H10"/>
  <c r="F11"/>
  <c r="G11"/>
  <c r="H11"/>
  <c r="F12"/>
  <c r="G12"/>
  <c r="H12"/>
  <c r="AF4"/>
  <c r="AG4"/>
  <c r="AH4"/>
  <c r="AI4"/>
  <c r="AJ4"/>
  <c r="AK4"/>
  <c r="AL4"/>
  <c r="AM4"/>
  <c r="AN4"/>
  <c r="AO4"/>
  <c r="AP4"/>
  <c r="AQ4"/>
  <c r="AR4"/>
  <c r="AS4"/>
  <c r="AT4"/>
  <c r="AU4"/>
  <c r="AV4"/>
  <c r="AW4"/>
  <c r="AX4"/>
  <c r="AY4"/>
  <c r="AZ4"/>
  <c r="BA4"/>
  <c r="BB4"/>
  <c r="BC4"/>
  <c r="BD4"/>
  <c r="AF5"/>
  <c r="AG5"/>
  <c r="AH5"/>
  <c r="AI5"/>
  <c r="AJ5"/>
  <c r="AK5"/>
  <c r="AL5"/>
  <c r="AM5"/>
  <c r="AN5"/>
  <c r="AO5"/>
  <c r="AP5"/>
  <c r="AQ5"/>
  <c r="AR5"/>
  <c r="AS5"/>
  <c r="AT5"/>
  <c r="AU5"/>
  <c r="AV5"/>
  <c r="AW5"/>
  <c r="AX5"/>
  <c r="AY5"/>
  <c r="AZ5"/>
  <c r="BA5"/>
  <c r="BB5"/>
  <c r="BC5"/>
  <c r="BD5"/>
  <c r="AF6"/>
  <c r="AG6"/>
  <c r="AH6"/>
  <c r="AI6"/>
  <c r="AJ6"/>
  <c r="AK6"/>
  <c r="AL6"/>
  <c r="AM6"/>
  <c r="AN6"/>
  <c r="AO6"/>
  <c r="AP6"/>
  <c r="AQ6"/>
  <c r="AR6"/>
  <c r="AS6"/>
  <c r="AT6"/>
  <c r="AU6"/>
  <c r="AV6"/>
  <c r="AW6"/>
  <c r="AX6"/>
  <c r="AY6"/>
  <c r="AZ6"/>
  <c r="BA6"/>
  <c r="BB6"/>
  <c r="BC6"/>
  <c r="BD6"/>
  <c r="AF7"/>
  <c r="AG7"/>
  <c r="AH7"/>
  <c r="AI7"/>
  <c r="AJ7"/>
  <c r="AK7"/>
  <c r="AL7"/>
  <c r="AM7"/>
  <c r="AN7"/>
  <c r="AO7"/>
  <c r="AP7"/>
  <c r="AQ7"/>
  <c r="AR7"/>
  <c r="AS7"/>
  <c r="AT7"/>
  <c r="AU7"/>
  <c r="AV7"/>
  <c r="AW7"/>
  <c r="AX7"/>
  <c r="AY7"/>
  <c r="AZ7"/>
  <c r="BA7"/>
  <c r="BB7"/>
  <c r="BC7"/>
  <c r="BD7"/>
  <c r="AG3"/>
  <c r="AH3"/>
  <c r="AI3"/>
  <c r="AJ3"/>
  <c r="AK3"/>
  <c r="AL3"/>
  <c r="AM3"/>
  <c r="AN3"/>
  <c r="AO3"/>
  <c r="AP3"/>
  <c r="AQ3"/>
  <c r="AR3"/>
  <c r="AS3"/>
  <c r="AT3"/>
  <c r="AU3"/>
  <c r="AV3"/>
  <c r="AW3"/>
  <c r="AX3"/>
  <c r="AY3"/>
  <c r="AZ3"/>
  <c r="BA3"/>
  <c r="BB3"/>
  <c r="BC3"/>
  <c r="BD3"/>
  <c r="AF3"/>
  <c r="F4" l="1"/>
  <c r="G4"/>
  <c r="H4"/>
  <c r="F5"/>
  <c r="G5"/>
  <c r="H5"/>
  <c r="F6"/>
  <c r="G6"/>
  <c r="H6"/>
  <c r="F7"/>
  <c r="G7"/>
  <c r="H7"/>
  <c r="H3"/>
  <c r="G3"/>
  <c r="F3"/>
  <c r="D48" i="35"/>
  <c r="D49"/>
  <c r="D50"/>
  <c r="D51"/>
  <c r="D52"/>
  <c r="AD2" i="56" l="1"/>
  <c r="AC2"/>
  <c r="AB2"/>
  <c r="AA2"/>
  <c r="Z2"/>
  <c r="Y2"/>
  <c r="X2"/>
  <c r="W2"/>
  <c r="V2"/>
  <c r="U2"/>
  <c r="T2"/>
  <c r="S2"/>
  <c r="R2"/>
  <c r="Q2"/>
  <c r="P2"/>
  <c r="O2"/>
  <c r="N2"/>
  <c r="M2"/>
  <c r="L2"/>
  <c r="K2"/>
  <c r="C41" i="24" l="1"/>
  <c r="G27" i="18"/>
  <c r="C74" i="36" l="1"/>
  <c r="C75"/>
  <c r="C76"/>
  <c r="C77"/>
  <c r="C73"/>
  <c r="B77" l="1"/>
  <c r="A77"/>
  <c r="B73"/>
  <c r="A73"/>
  <c r="A74"/>
  <c r="B74"/>
  <c r="B75"/>
  <c r="A75"/>
  <c r="A76"/>
  <c r="B76"/>
  <c r="D62"/>
  <c r="D63"/>
  <c r="D64"/>
  <c r="D65"/>
  <c r="D61"/>
  <c r="D52"/>
  <c r="D53"/>
  <c r="D54"/>
  <c r="D55"/>
  <c r="D51"/>
  <c r="D42"/>
  <c r="C42" s="1"/>
  <c r="D43"/>
  <c r="C43" s="1"/>
  <c r="D44"/>
  <c r="C44" s="1"/>
  <c r="D45"/>
  <c r="B45" s="1"/>
  <c r="D41"/>
  <c r="C41" s="1"/>
  <c r="C35"/>
  <c r="B35"/>
  <c r="AF77" s="1"/>
  <c r="C34"/>
  <c r="B34"/>
  <c r="AF76" s="1"/>
  <c r="C33"/>
  <c r="B33"/>
  <c r="AF75" s="1"/>
  <c r="C32"/>
  <c r="B32"/>
  <c r="AF74" s="1"/>
  <c r="C31"/>
  <c r="B31"/>
  <c r="AF73" s="1"/>
  <c r="AE74"/>
  <c r="AE75"/>
  <c r="AE76"/>
  <c r="AE77"/>
  <c r="AE73"/>
  <c r="AU10" i="27"/>
  <c r="AT10"/>
  <c r="AS10"/>
  <c r="AR10"/>
  <c r="AQ10"/>
  <c r="AP10"/>
  <c r="AO10"/>
  <c r="AN10"/>
  <c r="AM10"/>
  <c r="AL10"/>
  <c r="AK10"/>
  <c r="AJ10"/>
  <c r="AI10"/>
  <c r="AH10"/>
  <c r="AG10"/>
  <c r="AF10"/>
  <c r="AE10"/>
  <c r="AD10"/>
  <c r="AC10"/>
  <c r="AB10"/>
  <c r="AA10"/>
  <c r="Z10"/>
  <c r="Y10"/>
  <c r="X10"/>
  <c r="W10"/>
  <c r="V10"/>
  <c r="U10"/>
  <c r="T10"/>
  <c r="S10"/>
  <c r="R10"/>
  <c r="Q10"/>
  <c r="P10"/>
  <c r="O10"/>
  <c r="N10"/>
  <c r="M10"/>
  <c r="L10"/>
  <c r="K10"/>
  <c r="J10"/>
  <c r="I10"/>
  <c r="H10"/>
  <c r="G10"/>
  <c r="F10"/>
  <c r="E10"/>
  <c r="D10"/>
  <c r="C10"/>
  <c r="B10"/>
  <c r="A10"/>
  <c r="Y5" i="25"/>
  <c r="B42" i="36" l="1"/>
  <c r="C45"/>
  <c r="B43"/>
  <c r="B44"/>
  <c r="B41"/>
  <c r="D130" i="35" l="1"/>
  <c r="D131" s="1"/>
  <c r="B29" l="1"/>
  <c r="B28"/>
  <c r="B27"/>
  <c r="B26"/>
  <c r="B25"/>
  <c r="AA18" i="25"/>
  <c r="B31" i="35" l="1"/>
  <c r="M20" i="25"/>
  <c r="M21"/>
  <c r="M22"/>
  <c r="M24"/>
  <c r="M25"/>
  <c r="M26"/>
  <c r="M28"/>
  <c r="M29"/>
  <c r="M30"/>
  <c r="M19"/>
  <c r="M8"/>
  <c r="M9"/>
  <c r="M10"/>
  <c r="M11"/>
  <c r="M12"/>
  <c r="M13"/>
  <c r="M14"/>
  <c r="M15"/>
  <c r="M16"/>
  <c r="M17"/>
  <c r="M18"/>
  <c r="M7"/>
  <c r="T51" i="23" l="1"/>
  <c r="J31" i="52"/>
  <c r="J30"/>
  <c r="J29"/>
  <c r="J28"/>
  <c r="J27"/>
  <c r="J26"/>
  <c r="J25"/>
  <c r="J24"/>
  <c r="J23"/>
  <c r="J22"/>
  <c r="J21"/>
  <c r="J20"/>
  <c r="J19"/>
  <c r="J18"/>
  <c r="J17"/>
  <c r="J16"/>
  <c r="J15"/>
  <c r="J14"/>
  <c r="J13"/>
  <c r="J12"/>
  <c r="J11"/>
  <c r="J10"/>
  <c r="J9"/>
  <c r="J8"/>
  <c r="B2"/>
  <c r="AC26" i="27" l="1"/>
  <c r="AC27"/>
  <c r="AC28"/>
  <c r="AC31"/>
  <c r="AC32"/>
  <c r="AC35"/>
  <c r="AC36"/>
  <c r="AC25"/>
  <c r="AC14"/>
  <c r="AC15"/>
  <c r="AC16"/>
  <c r="AC17"/>
  <c r="AC19"/>
  <c r="AC20"/>
  <c r="AC23"/>
  <c r="AC24"/>
  <c r="AC13"/>
  <c r="F8" i="25"/>
  <c r="F9"/>
  <c r="F10"/>
  <c r="F11"/>
  <c r="AC29" i="27" s="1"/>
  <c r="F12" i="25"/>
  <c r="AC30" i="27" s="1"/>
  <c r="F13" i="25"/>
  <c r="F14"/>
  <c r="F15"/>
  <c r="AC33" i="27" s="1"/>
  <c r="F16" i="25"/>
  <c r="AC34" i="27" s="1"/>
  <c r="F17" i="25"/>
  <c r="F18"/>
  <c r="F7"/>
  <c r="F3"/>
  <c r="F23" s="1"/>
  <c r="N3"/>
  <c r="N19" s="1"/>
  <c r="J20"/>
  <c r="J21"/>
  <c r="J22"/>
  <c r="J23"/>
  <c r="J24"/>
  <c r="J25"/>
  <c r="J26"/>
  <c r="J27"/>
  <c r="J28"/>
  <c r="J29"/>
  <c r="J30"/>
  <c r="J19"/>
  <c r="AC18" i="27" l="1"/>
  <c r="AC22"/>
  <c r="AC21"/>
  <c r="F30" i="25"/>
  <c r="AD36" i="27" s="1"/>
  <c r="AA25"/>
  <c r="AF19" i="25"/>
  <c r="AB19"/>
  <c r="AA19"/>
  <c r="AG19"/>
  <c r="AC19"/>
  <c r="F21"/>
  <c r="AD27" i="27" s="1"/>
  <c r="N25" i="25"/>
  <c r="F22"/>
  <c r="AD28" i="27" s="1"/>
  <c r="N30" i="25"/>
  <c r="F29"/>
  <c r="AD35" i="27" s="1"/>
  <c r="F25" i="25"/>
  <c r="AD31" i="27" s="1"/>
  <c r="N20" i="25"/>
  <c r="AA14" i="27" s="1"/>
  <c r="F26" i="25"/>
  <c r="AD32" i="27" s="1"/>
  <c r="AD29"/>
  <c r="AD17"/>
  <c r="N26" i="25"/>
  <c r="N29"/>
  <c r="N24"/>
  <c r="F28"/>
  <c r="F24"/>
  <c r="F20"/>
  <c r="N21"/>
  <c r="AD24" i="27"/>
  <c r="N28" i="25"/>
  <c r="N22"/>
  <c r="F19"/>
  <c r="F27"/>
  <c r="AA13" i="27"/>
  <c r="AC28" i="25" l="1"/>
  <c r="AB28"/>
  <c r="AA28"/>
  <c r="AA26"/>
  <c r="AG26"/>
  <c r="AC26"/>
  <c r="AF26"/>
  <c r="AB26"/>
  <c r="AA26" i="27"/>
  <c r="AG20" i="25"/>
  <c r="AC20"/>
  <c r="AF20"/>
  <c r="AB20"/>
  <c r="AA20"/>
  <c r="AG29"/>
  <c r="AC29"/>
  <c r="AA29"/>
  <c r="AF29"/>
  <c r="AB29"/>
  <c r="AA36" i="27"/>
  <c r="AG30" i="25"/>
  <c r="AA30"/>
  <c r="AC30"/>
  <c r="AF30"/>
  <c r="AB30"/>
  <c r="AA22"/>
  <c r="AG22"/>
  <c r="AC22"/>
  <c r="AF22"/>
  <c r="AB22"/>
  <c r="AC24"/>
  <c r="AB24"/>
  <c r="AA24"/>
  <c r="AG21"/>
  <c r="AC21"/>
  <c r="AA21"/>
  <c r="AF21"/>
  <c r="AB21"/>
  <c r="AA19" i="27"/>
  <c r="AG25" i="25"/>
  <c r="AC25"/>
  <c r="AF25"/>
  <c r="AB25"/>
  <c r="AA25"/>
  <c r="AD15" i="27"/>
  <c r="AD20"/>
  <c r="AD23"/>
  <c r="AA24"/>
  <c r="AA31"/>
  <c r="AD16"/>
  <c r="AD19"/>
  <c r="AD33"/>
  <c r="AD21"/>
  <c r="AA30"/>
  <c r="AA18"/>
  <c r="AA34"/>
  <c r="AA22"/>
  <c r="AA27"/>
  <c r="AA15"/>
  <c r="AD34"/>
  <c r="AD22"/>
  <c r="AA32"/>
  <c r="AA20"/>
  <c r="AA28"/>
  <c r="AA16"/>
  <c r="AD30"/>
  <c r="AD18"/>
  <c r="AD25"/>
  <c r="AD13"/>
  <c r="AD26"/>
  <c r="AD14"/>
  <c r="AA35"/>
  <c r="AA23"/>
  <c r="D40" i="24"/>
  <c r="B37"/>
  <c r="B38"/>
  <c r="B39"/>
  <c r="B36"/>
  <c r="B40" l="1"/>
  <c r="W29" i="18"/>
  <c r="W28"/>
  <c r="W27"/>
  <c r="W26"/>
  <c r="X25" s="1"/>
  <c r="W25"/>
  <c r="X20"/>
  <c r="V20"/>
  <c r="U29"/>
  <c r="U28"/>
  <c r="U27"/>
  <c r="U26"/>
  <c r="U25"/>
  <c r="V25" s="1"/>
  <c r="AC74" i="36" l="1"/>
  <c r="AG74" s="1"/>
  <c r="AC75"/>
  <c r="AG75" s="1"/>
  <c r="AC76"/>
  <c r="AG76" s="1"/>
  <c r="AC77"/>
  <c r="AG77" s="1"/>
  <c r="AC73"/>
  <c r="AG73" s="1"/>
  <c r="B5" i="25"/>
  <c r="C5"/>
  <c r="D5"/>
  <c r="E5"/>
  <c r="G5"/>
  <c r="H5"/>
  <c r="I5"/>
  <c r="J5"/>
  <c r="K5"/>
  <c r="L5"/>
  <c r="M5"/>
  <c r="N5"/>
  <c r="O5"/>
  <c r="P5"/>
  <c r="Q5"/>
  <c r="R5"/>
  <c r="S5"/>
  <c r="T5"/>
  <c r="U5"/>
  <c r="V5"/>
  <c r="W5"/>
  <c r="X5"/>
  <c r="Z5"/>
  <c r="AA5"/>
  <c r="AB5"/>
  <c r="AC5"/>
  <c r="AD5"/>
  <c r="AE5"/>
  <c r="AF5"/>
  <c r="AG5"/>
  <c r="AH5"/>
  <c r="A5"/>
  <c r="AG79" i="36" l="1"/>
  <c r="B2" i="41"/>
  <c r="AI12" i="18"/>
  <c r="AO15"/>
  <c r="AO8"/>
  <c r="AI8"/>
  <c r="AO21"/>
  <c r="AO19"/>
  <c r="B22" i="40" l="1"/>
  <c r="B23"/>
  <c r="B24"/>
  <c r="B25"/>
  <c r="B26"/>
  <c r="B27"/>
  <c r="B28"/>
  <c r="B29"/>
  <c r="B30"/>
  <c r="B31"/>
  <c r="B32"/>
  <c r="B7"/>
  <c r="B8"/>
  <c r="B9"/>
  <c r="B10"/>
  <c r="B11"/>
  <c r="B12"/>
  <c r="B13"/>
  <c r="B14"/>
  <c r="B15"/>
  <c r="B16"/>
  <c r="B17"/>
  <c r="B18"/>
  <c r="B19"/>
  <c r="B20"/>
  <c r="B21"/>
  <c r="B6"/>
  <c r="B5"/>
  <c r="B4"/>
  <c r="B3"/>
  <c r="E13" i="12"/>
  <c r="E12"/>
  <c r="D12"/>
  <c r="G29" i="18"/>
  <c r="F10" i="36" l="1"/>
  <c r="G10" s="1"/>
  <c r="H10" s="1"/>
  <c r="C52" i="35"/>
  <c r="C51"/>
  <c r="C50"/>
  <c r="C49"/>
  <c r="C48"/>
  <c r="B18"/>
  <c r="F10"/>
  <c r="B49" l="1"/>
  <c r="A49"/>
  <c r="A48"/>
  <c r="B48"/>
  <c r="A52"/>
  <c r="B52"/>
  <c r="B51"/>
  <c r="A51"/>
  <c r="A50"/>
  <c r="B50"/>
  <c r="D77" i="36"/>
  <c r="D76"/>
  <c r="D75"/>
  <c r="D120"/>
  <c r="D74"/>
  <c r="D73"/>
  <c r="D50"/>
  <c r="D60"/>
  <c r="C24" i="35"/>
  <c r="C36"/>
  <c r="C14"/>
  <c r="C14" i="36"/>
  <c r="C121"/>
  <c r="I10"/>
  <c r="E14"/>
  <c r="F17" i="35"/>
  <c r="F18" s="1"/>
  <c r="F20" s="1"/>
  <c r="C96"/>
  <c r="G10"/>
  <c r="H10" s="1"/>
  <c r="E17"/>
  <c r="E18" s="1"/>
  <c r="E20" s="1"/>
  <c r="E21" s="1"/>
  <c r="E14"/>
  <c r="E36" l="1"/>
  <c r="E50" i="36"/>
  <c r="E121"/>
  <c r="E83"/>
  <c r="E71"/>
  <c r="E84"/>
  <c r="E72"/>
  <c r="B79"/>
  <c r="E22"/>
  <c r="E30"/>
  <c r="E40"/>
  <c r="D40"/>
  <c r="D30"/>
  <c r="E23" i="35"/>
  <c r="E58"/>
  <c r="E95" s="1"/>
  <c r="E47"/>
  <c r="E59" s="1"/>
  <c r="E96" s="1"/>
  <c r="E46"/>
  <c r="B54"/>
  <c r="E137"/>
  <c r="G17"/>
  <c r="G18" s="1"/>
  <c r="G20" s="1"/>
  <c r="J10" i="36"/>
  <c r="E120"/>
  <c r="F14"/>
  <c r="F50" s="1"/>
  <c r="E15"/>
  <c r="I10" i="35"/>
  <c r="J10" s="1"/>
  <c r="F14"/>
  <c r="F36" s="1"/>
  <c r="E15"/>
  <c r="F84" i="36" l="1"/>
  <c r="F72"/>
  <c r="F120"/>
  <c r="F121"/>
  <c r="F83"/>
  <c r="F71"/>
  <c r="F22"/>
  <c r="F30"/>
  <c r="F40"/>
  <c r="F47" i="35"/>
  <c r="F59" s="1"/>
  <c r="F96" s="1"/>
  <c r="F58"/>
  <c r="F95" s="1"/>
  <c r="F46"/>
  <c r="F137"/>
  <c r="F23"/>
  <c r="I17"/>
  <c r="I18" s="1"/>
  <c r="I20" s="1"/>
  <c r="H17"/>
  <c r="H18" s="1"/>
  <c r="H20" s="1"/>
  <c r="F15" i="36"/>
  <c r="G14"/>
  <c r="G50" s="1"/>
  <c r="K10"/>
  <c r="K10" i="35"/>
  <c r="F15"/>
  <c r="G14"/>
  <c r="G36" s="1"/>
  <c r="G120" i="36" l="1"/>
  <c r="G121"/>
  <c r="G83"/>
  <c r="G71"/>
  <c r="G84"/>
  <c r="G72"/>
  <c r="G30"/>
  <c r="G40"/>
  <c r="G22"/>
  <c r="G58" i="35"/>
  <c r="G95" s="1"/>
  <c r="G46"/>
  <c r="G47"/>
  <c r="G59" s="1"/>
  <c r="G96" s="1"/>
  <c r="J17"/>
  <c r="J18" s="1"/>
  <c r="J20" s="1"/>
  <c r="G137"/>
  <c r="G23"/>
  <c r="G15" i="36"/>
  <c r="H14"/>
  <c r="H50" s="1"/>
  <c r="L10"/>
  <c r="H14" i="35"/>
  <c r="H36" s="1"/>
  <c r="G15"/>
  <c r="L10"/>
  <c r="K17"/>
  <c r="K18" s="1"/>
  <c r="K20" s="1"/>
  <c r="H120" i="36" l="1"/>
  <c r="H121"/>
  <c r="H83"/>
  <c r="H71"/>
  <c r="H84"/>
  <c r="H72"/>
  <c r="H30"/>
  <c r="H40"/>
  <c r="H22"/>
  <c r="H58" i="35"/>
  <c r="H95" s="1"/>
  <c r="H46"/>
  <c r="H47"/>
  <c r="H59" s="1"/>
  <c r="H96" s="1"/>
  <c r="H137"/>
  <c r="H23"/>
  <c r="I14" i="36"/>
  <c r="I50" s="1"/>
  <c r="H15"/>
  <c r="M10"/>
  <c r="L17" i="35"/>
  <c r="L18" s="1"/>
  <c r="L20" s="1"/>
  <c r="M10"/>
  <c r="H15"/>
  <c r="I14"/>
  <c r="I36" s="1"/>
  <c r="I121" i="36" l="1"/>
  <c r="I83"/>
  <c r="I71"/>
  <c r="I84"/>
  <c r="I72"/>
  <c r="I120"/>
  <c r="I30"/>
  <c r="I40"/>
  <c r="I22"/>
  <c r="I58" i="35"/>
  <c r="I95" s="1"/>
  <c r="I46"/>
  <c r="I47"/>
  <c r="I59" s="1"/>
  <c r="I96" s="1"/>
  <c r="I137"/>
  <c r="I23"/>
  <c r="N10" i="36"/>
  <c r="J14"/>
  <c r="J50" s="1"/>
  <c r="I15"/>
  <c r="N10" i="35"/>
  <c r="M17"/>
  <c r="M18" s="1"/>
  <c r="M20" s="1"/>
  <c r="J14"/>
  <c r="J36" s="1"/>
  <c r="I15"/>
  <c r="J84" i="36" l="1"/>
  <c r="J72"/>
  <c r="J120"/>
  <c r="J121"/>
  <c r="J83"/>
  <c r="J71"/>
  <c r="J30"/>
  <c r="J40"/>
  <c r="J22"/>
  <c r="J47" i="35"/>
  <c r="J59" s="1"/>
  <c r="J96" s="1"/>
  <c r="J58"/>
  <c r="J95" s="1"/>
  <c r="J46"/>
  <c r="J137"/>
  <c r="J23"/>
  <c r="J15" i="36"/>
  <c r="K14"/>
  <c r="K50" s="1"/>
  <c r="O10"/>
  <c r="O10" i="35"/>
  <c r="N17"/>
  <c r="N18" s="1"/>
  <c r="N20" s="1"/>
  <c r="J15"/>
  <c r="K14"/>
  <c r="K36" s="1"/>
  <c r="K120" i="36" l="1"/>
  <c r="K121"/>
  <c r="K83"/>
  <c r="K71"/>
  <c r="K84"/>
  <c r="K72"/>
  <c r="K30"/>
  <c r="K40"/>
  <c r="K22"/>
  <c r="K47" i="35"/>
  <c r="K59" s="1"/>
  <c r="K96" s="1"/>
  <c r="K58"/>
  <c r="K95" s="1"/>
  <c r="K46"/>
  <c r="K137"/>
  <c r="K23"/>
  <c r="P10" i="36"/>
  <c r="L14"/>
  <c r="L50" s="1"/>
  <c r="K15"/>
  <c r="L14" i="35"/>
  <c r="L36" s="1"/>
  <c r="K15"/>
  <c r="P10"/>
  <c r="O17"/>
  <c r="O18" s="1"/>
  <c r="O20" s="1"/>
  <c r="L120" i="36" l="1"/>
  <c r="L121"/>
  <c r="L83"/>
  <c r="L71"/>
  <c r="L84"/>
  <c r="L72"/>
  <c r="L30"/>
  <c r="L40"/>
  <c r="L22"/>
  <c r="L47" i="35"/>
  <c r="L59" s="1"/>
  <c r="L96" s="1"/>
  <c r="L58"/>
  <c r="L95" s="1"/>
  <c r="L46"/>
  <c r="L137"/>
  <c r="L23"/>
  <c r="M14" i="36"/>
  <c r="M50" s="1"/>
  <c r="L15"/>
  <c r="Q10"/>
  <c r="L15" i="35"/>
  <c r="M14"/>
  <c r="M36" s="1"/>
  <c r="P17"/>
  <c r="P18" s="1"/>
  <c r="P20" s="1"/>
  <c r="Q10"/>
  <c r="M121" i="36" l="1"/>
  <c r="M83"/>
  <c r="M71"/>
  <c r="M84"/>
  <c r="M72"/>
  <c r="M120"/>
  <c r="M30"/>
  <c r="M40"/>
  <c r="M22"/>
  <c r="M58" i="35"/>
  <c r="M95" s="1"/>
  <c r="M46"/>
  <c r="M47"/>
  <c r="M59" s="1"/>
  <c r="M96" s="1"/>
  <c r="M137"/>
  <c r="M23"/>
  <c r="R10" i="36"/>
  <c r="N14"/>
  <c r="N50" s="1"/>
  <c r="M15"/>
  <c r="R10" i="35"/>
  <c r="Q17"/>
  <c r="Q18" s="1"/>
  <c r="Q20" s="1"/>
  <c r="M15"/>
  <c r="N14"/>
  <c r="N36" s="1"/>
  <c r="N84" i="36" l="1"/>
  <c r="N72"/>
  <c r="N120"/>
  <c r="N121"/>
  <c r="N83"/>
  <c r="N71"/>
  <c r="N30"/>
  <c r="N40"/>
  <c r="N22"/>
  <c r="N47" i="35"/>
  <c r="N59" s="1"/>
  <c r="N96" s="1"/>
  <c r="N58"/>
  <c r="N95" s="1"/>
  <c r="N46"/>
  <c r="N137"/>
  <c r="N23"/>
  <c r="S10" i="36"/>
  <c r="N15"/>
  <c r="O14"/>
  <c r="O50" s="1"/>
  <c r="N15" i="35"/>
  <c r="O14"/>
  <c r="O36" s="1"/>
  <c r="R17"/>
  <c r="R18" s="1"/>
  <c r="R20" s="1"/>
  <c r="S10"/>
  <c r="O120" i="36" l="1"/>
  <c r="O121"/>
  <c r="O83"/>
  <c r="O71"/>
  <c r="O84"/>
  <c r="O72"/>
  <c r="O30"/>
  <c r="O40"/>
  <c r="O22"/>
  <c r="O58" i="35"/>
  <c r="O95" s="1"/>
  <c r="O46"/>
  <c r="O47"/>
  <c r="O59" s="1"/>
  <c r="O96" s="1"/>
  <c r="O137"/>
  <c r="O23"/>
  <c r="O15" i="36"/>
  <c r="P14"/>
  <c r="P50" s="1"/>
  <c r="T10"/>
  <c r="P14" i="35"/>
  <c r="P36" s="1"/>
  <c r="O15"/>
  <c r="T10"/>
  <c r="S17"/>
  <c r="S18" s="1"/>
  <c r="S20" s="1"/>
  <c r="P120" i="36" l="1"/>
  <c r="P121"/>
  <c r="P83"/>
  <c r="P71"/>
  <c r="P84"/>
  <c r="P72"/>
  <c r="P30"/>
  <c r="P40"/>
  <c r="P22"/>
  <c r="P58" i="35"/>
  <c r="P95" s="1"/>
  <c r="P46"/>
  <c r="P47"/>
  <c r="P59" s="1"/>
  <c r="P96" s="1"/>
  <c r="P137"/>
  <c r="P23"/>
  <c r="Y139"/>
  <c r="Q14" i="36"/>
  <c r="Q50" s="1"/>
  <c r="P15"/>
  <c r="U10"/>
  <c r="P15" i="35"/>
  <c r="Q14"/>
  <c r="Q36" s="1"/>
  <c r="T17"/>
  <c r="T18" s="1"/>
  <c r="T20" s="1"/>
  <c r="U10"/>
  <c r="Q121" i="36" l="1"/>
  <c r="Q83"/>
  <c r="Q71"/>
  <c r="Q84"/>
  <c r="Q72"/>
  <c r="Q120"/>
  <c r="Q30"/>
  <c r="Q40"/>
  <c r="Q22"/>
  <c r="Q58" i="35"/>
  <c r="Q95" s="1"/>
  <c r="Q46"/>
  <c r="Q47"/>
  <c r="Q59" s="1"/>
  <c r="Q96" s="1"/>
  <c r="Q137"/>
  <c r="Q23"/>
  <c r="V10" i="36"/>
  <c r="R14"/>
  <c r="R50" s="1"/>
  <c r="Q15"/>
  <c r="U17" i="35"/>
  <c r="U18" s="1"/>
  <c r="U20" s="1"/>
  <c r="V10"/>
  <c r="R14"/>
  <c r="R36" s="1"/>
  <c r="Q15"/>
  <c r="R84" i="36" l="1"/>
  <c r="R72"/>
  <c r="R120"/>
  <c r="R121"/>
  <c r="R83"/>
  <c r="R71"/>
  <c r="R30"/>
  <c r="R40"/>
  <c r="R22"/>
  <c r="R47" i="35"/>
  <c r="R59" s="1"/>
  <c r="R96" s="1"/>
  <c r="R58"/>
  <c r="R95" s="1"/>
  <c r="R46"/>
  <c r="R137"/>
  <c r="R23"/>
  <c r="W10" i="36"/>
  <c r="R15"/>
  <c r="S14"/>
  <c r="S50" s="1"/>
  <c r="W10" i="35"/>
  <c r="V17"/>
  <c r="V18" s="1"/>
  <c r="V20" s="1"/>
  <c r="R15"/>
  <c r="S14"/>
  <c r="S36" s="1"/>
  <c r="S120" i="36" l="1"/>
  <c r="S121"/>
  <c r="S83"/>
  <c r="S71"/>
  <c r="S84"/>
  <c r="S72"/>
  <c r="S30"/>
  <c r="S40"/>
  <c r="S22"/>
  <c r="S58" i="35"/>
  <c r="S95" s="1"/>
  <c r="S46"/>
  <c r="S47"/>
  <c r="S59" s="1"/>
  <c r="S96" s="1"/>
  <c r="S137"/>
  <c r="S23"/>
  <c r="T14" i="36"/>
  <c r="T50" s="1"/>
  <c r="S15"/>
  <c r="X10"/>
  <c r="T14" i="35"/>
  <c r="T36" s="1"/>
  <c r="S15"/>
  <c r="X10"/>
  <c r="W17"/>
  <c r="W18" s="1"/>
  <c r="W20" s="1"/>
  <c r="T120" i="36" l="1"/>
  <c r="T121"/>
  <c r="T83"/>
  <c r="T71"/>
  <c r="T84"/>
  <c r="T72"/>
  <c r="T30"/>
  <c r="T40"/>
  <c r="T22"/>
  <c r="T47" i="35"/>
  <c r="T59" s="1"/>
  <c r="T96" s="1"/>
  <c r="T58"/>
  <c r="T95" s="1"/>
  <c r="T46"/>
  <c r="T137"/>
  <c r="T23"/>
  <c r="U14" i="36"/>
  <c r="U50" s="1"/>
  <c r="T15"/>
  <c r="X17" i="35"/>
  <c r="X18" s="1"/>
  <c r="X20" s="1"/>
  <c r="T15"/>
  <c r="U14"/>
  <c r="U36" s="1"/>
  <c r="U121" i="36" l="1"/>
  <c r="U83"/>
  <c r="U71"/>
  <c r="U84"/>
  <c r="U72"/>
  <c r="U120"/>
  <c r="U30"/>
  <c r="U40"/>
  <c r="U22"/>
  <c r="U58" i="35"/>
  <c r="U95" s="1"/>
  <c r="U46"/>
  <c r="U47"/>
  <c r="U59" s="1"/>
  <c r="U96" s="1"/>
  <c r="U137"/>
  <c r="U23"/>
  <c r="Y18"/>
  <c r="V14" i="36"/>
  <c r="V50" s="1"/>
  <c r="U15"/>
  <c r="V14" i="35"/>
  <c r="V36" s="1"/>
  <c r="U15"/>
  <c r="V84" i="36" l="1"/>
  <c r="V72"/>
  <c r="V120"/>
  <c r="V121"/>
  <c r="V83"/>
  <c r="V71"/>
  <c r="V30"/>
  <c r="V40"/>
  <c r="V22"/>
  <c r="V47" i="35"/>
  <c r="V59" s="1"/>
  <c r="V96" s="1"/>
  <c r="V58"/>
  <c r="V95" s="1"/>
  <c r="V46"/>
  <c r="V137"/>
  <c r="V23"/>
  <c r="V15" i="36"/>
  <c r="W14"/>
  <c r="W50" s="1"/>
  <c r="V15" i="35"/>
  <c r="W14"/>
  <c r="W36" s="1"/>
  <c r="W120" i="36" l="1"/>
  <c r="W121"/>
  <c r="W83"/>
  <c r="W71"/>
  <c r="W84"/>
  <c r="W72"/>
  <c r="W30"/>
  <c r="W40"/>
  <c r="W22"/>
  <c r="W58" i="35"/>
  <c r="W95" s="1"/>
  <c r="W46"/>
  <c r="W47"/>
  <c r="W59" s="1"/>
  <c r="W96" s="1"/>
  <c r="W137"/>
  <c r="W23"/>
  <c r="W15" i="36"/>
  <c r="X14"/>
  <c r="X50" s="1"/>
  <c r="X14" i="35"/>
  <c r="X36" s="1"/>
  <c r="W15"/>
  <c r="X120" i="36" l="1"/>
  <c r="X121"/>
  <c r="X83"/>
  <c r="X71"/>
  <c r="X84"/>
  <c r="X72"/>
  <c r="X40"/>
  <c r="X30"/>
  <c r="X22"/>
  <c r="X58" i="35"/>
  <c r="X95" s="1"/>
  <c r="X46"/>
  <c r="X47"/>
  <c r="X59" s="1"/>
  <c r="X96" s="1"/>
  <c r="X137"/>
  <c r="X23"/>
  <c r="X15" i="36"/>
  <c r="X15" i="35"/>
  <c r="AO36" i="27" l="1"/>
  <c r="AO35"/>
  <c r="AO34"/>
  <c r="AO33"/>
  <c r="AO28"/>
  <c r="AO27"/>
  <c r="AO26"/>
  <c r="AO25"/>
  <c r="AO24"/>
  <c r="AO23"/>
  <c r="AO22"/>
  <c r="AO21"/>
  <c r="AO20"/>
  <c r="AO19"/>
  <c r="AO18"/>
  <c r="AO17"/>
  <c r="AO16"/>
  <c r="AO15"/>
  <c r="AO14"/>
  <c r="AO13"/>
  <c r="J31" i="32"/>
  <c r="J30"/>
  <c r="J29"/>
  <c r="J28"/>
  <c r="J27"/>
  <c r="J26"/>
  <c r="J25"/>
  <c r="J24"/>
  <c r="J23"/>
  <c r="J22"/>
  <c r="J21"/>
  <c r="J20"/>
  <c r="J19"/>
  <c r="J18"/>
  <c r="J17"/>
  <c r="J16"/>
  <c r="J15"/>
  <c r="J14"/>
  <c r="J13"/>
  <c r="J12"/>
  <c r="J11"/>
  <c r="J10"/>
  <c r="J9"/>
  <c r="J8"/>
  <c r="B2"/>
  <c r="I9" i="6" l="1"/>
  <c r="J9"/>
  <c r="J10"/>
  <c r="I11"/>
  <c r="J11"/>
  <c r="J12"/>
  <c r="I13"/>
  <c r="J13"/>
  <c r="J14"/>
  <c r="I15"/>
  <c r="J15"/>
  <c r="J16"/>
  <c r="I17"/>
  <c r="J17"/>
  <c r="J18"/>
  <c r="I19"/>
  <c r="J19"/>
  <c r="J20"/>
  <c r="I21"/>
  <c r="J21"/>
  <c r="J22"/>
  <c r="I23"/>
  <c r="J23"/>
  <c r="J24"/>
  <c r="I25"/>
  <c r="J25"/>
  <c r="J26"/>
  <c r="I27"/>
  <c r="J27"/>
  <c r="J28"/>
  <c r="I29"/>
  <c r="J29"/>
  <c r="J30"/>
  <c r="I31"/>
  <c r="J31"/>
  <c r="F10"/>
  <c r="F12"/>
  <c r="F14"/>
  <c r="F16"/>
  <c r="F18"/>
  <c r="F20"/>
  <c r="F22"/>
  <c r="F24"/>
  <c r="F26"/>
  <c r="F28"/>
  <c r="F30"/>
  <c r="J8" l="1"/>
  <c r="F8"/>
  <c r="AR25" i="27"/>
  <c r="AR26"/>
  <c r="AR27"/>
  <c r="AR28"/>
  <c r="AR29"/>
  <c r="AO29" s="1"/>
  <c r="AR30"/>
  <c r="AO30" s="1"/>
  <c r="AR31"/>
  <c r="AO31" s="1"/>
  <c r="AR32"/>
  <c r="AR33"/>
  <c r="AR34"/>
  <c r="AR35"/>
  <c r="AR36"/>
  <c r="J26"/>
  <c r="L26" s="1"/>
  <c r="J27"/>
  <c r="L27" s="1"/>
  <c r="J28"/>
  <c r="L28" s="1"/>
  <c r="J29"/>
  <c r="L29" s="1"/>
  <c r="J30"/>
  <c r="L30" s="1"/>
  <c r="J31"/>
  <c r="L31" s="1"/>
  <c r="J32"/>
  <c r="L32" s="1"/>
  <c r="J33"/>
  <c r="L33" s="1"/>
  <c r="J34"/>
  <c r="L34" s="1"/>
  <c r="J35"/>
  <c r="L35" s="1"/>
  <c r="J36"/>
  <c r="L36" s="1"/>
  <c r="J25"/>
  <c r="L25" s="1"/>
  <c r="I26"/>
  <c r="I27"/>
  <c r="I28"/>
  <c r="I29"/>
  <c r="I30"/>
  <c r="I31"/>
  <c r="I32"/>
  <c r="I33"/>
  <c r="I34"/>
  <c r="I35"/>
  <c r="I36"/>
  <c r="I25"/>
  <c r="I14"/>
  <c r="J14"/>
  <c r="L14" s="1"/>
  <c r="I15"/>
  <c r="J15"/>
  <c r="L15" s="1"/>
  <c r="I16"/>
  <c r="J16"/>
  <c r="L16" s="1"/>
  <c r="I17"/>
  <c r="J17"/>
  <c r="L17" s="1"/>
  <c r="I18"/>
  <c r="J18"/>
  <c r="L18" s="1"/>
  <c r="I19"/>
  <c r="J19"/>
  <c r="L19" s="1"/>
  <c r="I20"/>
  <c r="J20"/>
  <c r="L20" s="1"/>
  <c r="I21"/>
  <c r="J21"/>
  <c r="L21" s="1"/>
  <c r="I22"/>
  <c r="J22"/>
  <c r="L22" s="1"/>
  <c r="I23"/>
  <c r="J23"/>
  <c r="L23" s="1"/>
  <c r="I24"/>
  <c r="J24"/>
  <c r="L24" s="1"/>
  <c r="J13"/>
  <c r="L13" s="1"/>
  <c r="D8" i="52" s="1"/>
  <c r="I13" i="27"/>
  <c r="AM27"/>
  <c r="AM29"/>
  <c r="AM31"/>
  <c r="AM33"/>
  <c r="AM35"/>
  <c r="AM25"/>
  <c r="AM15"/>
  <c r="AM17"/>
  <c r="AM19"/>
  <c r="AM21"/>
  <c r="AM23"/>
  <c r="AM13"/>
  <c r="AE26"/>
  <c r="AE27"/>
  <c r="AE28"/>
  <c r="AE29"/>
  <c r="AE30"/>
  <c r="AE31"/>
  <c r="AE32"/>
  <c r="AE33"/>
  <c r="AE34"/>
  <c r="AE35"/>
  <c r="AE36"/>
  <c r="AE25"/>
  <c r="AE14"/>
  <c r="AE15"/>
  <c r="AE16"/>
  <c r="AE17"/>
  <c r="AE18"/>
  <c r="AE19"/>
  <c r="AE20"/>
  <c r="AE22"/>
  <c r="AE23"/>
  <c r="AE24"/>
  <c r="AE13"/>
  <c r="V26"/>
  <c r="V27"/>
  <c r="V28"/>
  <c r="V29"/>
  <c r="V30"/>
  <c r="V31"/>
  <c r="V32"/>
  <c r="V33"/>
  <c r="V34"/>
  <c r="V35"/>
  <c r="V36"/>
  <c r="V25"/>
  <c r="U26"/>
  <c r="U27"/>
  <c r="U28"/>
  <c r="U29"/>
  <c r="U30"/>
  <c r="U31"/>
  <c r="U32"/>
  <c r="U33"/>
  <c r="U34"/>
  <c r="U35"/>
  <c r="U36"/>
  <c r="U25"/>
  <c r="U13"/>
  <c r="U14"/>
  <c r="V14"/>
  <c r="U15"/>
  <c r="V15"/>
  <c r="U16"/>
  <c r="V16"/>
  <c r="U17"/>
  <c r="V17"/>
  <c r="U18"/>
  <c r="V18"/>
  <c r="U19"/>
  <c r="V19"/>
  <c r="U20"/>
  <c r="V20"/>
  <c r="U21"/>
  <c r="V21"/>
  <c r="U22"/>
  <c r="V22"/>
  <c r="U23"/>
  <c r="V23"/>
  <c r="U24"/>
  <c r="V24"/>
  <c r="V13"/>
  <c r="AF14"/>
  <c r="AB14"/>
  <c r="AB15"/>
  <c r="AB16"/>
  <c r="AB17"/>
  <c r="AF18"/>
  <c r="AB18"/>
  <c r="AB19"/>
  <c r="AB20"/>
  <c r="AB21"/>
  <c r="AF22"/>
  <c r="AB22"/>
  <c r="AB23"/>
  <c r="AB24"/>
  <c r="AB13"/>
  <c r="B26"/>
  <c r="B27"/>
  <c r="B28"/>
  <c r="B29"/>
  <c r="B30"/>
  <c r="B31"/>
  <c r="B32"/>
  <c r="B33"/>
  <c r="B34"/>
  <c r="B35"/>
  <c r="B36"/>
  <c r="B25"/>
  <c r="B14"/>
  <c r="B15"/>
  <c r="B16"/>
  <c r="B17"/>
  <c r="B18"/>
  <c r="B19"/>
  <c r="B20"/>
  <c r="B21"/>
  <c r="B22"/>
  <c r="B23"/>
  <c r="B24"/>
  <c r="B13"/>
  <c r="B20" i="25"/>
  <c r="C26" i="27" s="1"/>
  <c r="B21" i="25"/>
  <c r="C27" i="27" s="1"/>
  <c r="B22" i="25"/>
  <c r="C16" i="27" s="1"/>
  <c r="B23" i="25"/>
  <c r="B24"/>
  <c r="C30" i="27" s="1"/>
  <c r="B25" i="25"/>
  <c r="C31" i="27" s="1"/>
  <c r="B26" i="25"/>
  <c r="C32" i="27" s="1"/>
  <c r="B27" i="25"/>
  <c r="B28"/>
  <c r="C34" i="27" s="1"/>
  <c r="B29" i="25"/>
  <c r="C35" i="27" s="1"/>
  <c r="B30" i="25"/>
  <c r="C24" i="27" s="1"/>
  <c r="B19" i="25"/>
  <c r="C25" i="27" s="1"/>
  <c r="W19" i="25"/>
  <c r="X19"/>
  <c r="W20"/>
  <c r="X20"/>
  <c r="W21"/>
  <c r="X21"/>
  <c r="W22"/>
  <c r="X22"/>
  <c r="W23"/>
  <c r="X23"/>
  <c r="W24"/>
  <c r="X24"/>
  <c r="W25"/>
  <c r="X25"/>
  <c r="W26"/>
  <c r="X26"/>
  <c r="W27"/>
  <c r="X27"/>
  <c r="W28"/>
  <c r="X28"/>
  <c r="W29"/>
  <c r="X29"/>
  <c r="W30"/>
  <c r="X30"/>
  <c r="AD30"/>
  <c r="AE30"/>
  <c r="AE20"/>
  <c r="AE21"/>
  <c r="AE22"/>
  <c r="AE23"/>
  <c r="AE24"/>
  <c r="AE25"/>
  <c r="AE26"/>
  <c r="AE27"/>
  <c r="AE28"/>
  <c r="AE29"/>
  <c r="AE19"/>
  <c r="AD20"/>
  <c r="AD21"/>
  <c r="AD22"/>
  <c r="AD23"/>
  <c r="AD24"/>
  <c r="AD25"/>
  <c r="AD26"/>
  <c r="AD27"/>
  <c r="AD28"/>
  <c r="AD29"/>
  <c r="AC10"/>
  <c r="AB10"/>
  <c r="AA10"/>
  <c r="X10"/>
  <c r="W10"/>
  <c r="I10"/>
  <c r="AC9"/>
  <c r="AB9"/>
  <c r="AA9"/>
  <c r="X9"/>
  <c r="W9"/>
  <c r="AH21" s="1"/>
  <c r="G15" i="27" s="1"/>
  <c r="I9" i="25"/>
  <c r="AD19"/>
  <c r="Z36" i="26"/>
  <c r="AF24" i="25" l="1"/>
  <c r="AG24"/>
  <c r="AF28"/>
  <c r="AG28"/>
  <c r="C33" i="27"/>
  <c r="F33" s="1"/>
  <c r="B28" i="52" s="1"/>
  <c r="M27" i="25"/>
  <c r="N27" s="1"/>
  <c r="C29" i="27"/>
  <c r="F29" s="1"/>
  <c r="M23" i="25"/>
  <c r="N23" s="1"/>
  <c r="D18" i="41"/>
  <c r="D18" i="52"/>
  <c r="D14" i="41"/>
  <c r="D14" i="52"/>
  <c r="D10" i="41"/>
  <c r="D10" i="52"/>
  <c r="D28" i="41"/>
  <c r="D28" i="52"/>
  <c r="D25" i="41"/>
  <c r="D25" i="52"/>
  <c r="D31" i="41"/>
  <c r="D31" i="52"/>
  <c r="D27" i="41"/>
  <c r="D27" i="52"/>
  <c r="D23" i="41"/>
  <c r="D23" i="52"/>
  <c r="D16" i="41"/>
  <c r="D16" i="52"/>
  <c r="D12" i="41"/>
  <c r="D12" i="52"/>
  <c r="D20" i="41"/>
  <c r="D20" i="52"/>
  <c r="D24" i="41"/>
  <c r="D24" i="52"/>
  <c r="D29" i="41"/>
  <c r="D29" i="52"/>
  <c r="D21" i="41"/>
  <c r="D21" i="52"/>
  <c r="D19" i="41"/>
  <c r="D19" i="52"/>
  <c r="D17" i="41"/>
  <c r="D17" i="52"/>
  <c r="D15" i="41"/>
  <c r="D15" i="52"/>
  <c r="D13" i="41"/>
  <c r="D13" i="52"/>
  <c r="D11" i="41"/>
  <c r="D11" i="52"/>
  <c r="D9" i="41"/>
  <c r="D9" i="52"/>
  <c r="D30" i="41"/>
  <c r="D30" i="52"/>
  <c r="D26" i="41"/>
  <c r="D26" i="52"/>
  <c r="D22" i="41"/>
  <c r="D22" i="52"/>
  <c r="G27" i="27"/>
  <c r="C22" i="6" s="1"/>
  <c r="AH22" i="25"/>
  <c r="G28" i="27" s="1"/>
  <c r="C23" i="6" s="1"/>
  <c r="D8" i="32"/>
  <c r="D8" i="41"/>
  <c r="AH27" i="27"/>
  <c r="AE21"/>
  <c r="AH35"/>
  <c r="AH31"/>
  <c r="AF23"/>
  <c r="AF19"/>
  <c r="AF15"/>
  <c r="D8" i="6"/>
  <c r="F26" i="27"/>
  <c r="B21" i="52" s="1"/>
  <c r="A21" s="1"/>
  <c r="F27" i="27"/>
  <c r="F32"/>
  <c r="B27" i="52" s="1"/>
  <c r="A27" s="1"/>
  <c r="F24" i="27"/>
  <c r="B19" i="52" s="1"/>
  <c r="A19" s="1"/>
  <c r="F16" i="27"/>
  <c r="B11" i="52" s="1"/>
  <c r="C20" i="27"/>
  <c r="F20" s="1"/>
  <c r="C36"/>
  <c r="F36" s="1"/>
  <c r="C28"/>
  <c r="F28" s="1"/>
  <c r="AH20"/>
  <c r="AH36"/>
  <c r="AH28"/>
  <c r="F25"/>
  <c r="C13"/>
  <c r="F13" s="1"/>
  <c r="B8" i="52" s="1"/>
  <c r="C17" i="27"/>
  <c r="F17" s="1"/>
  <c r="AF36"/>
  <c r="AH21"/>
  <c r="AH25"/>
  <c r="F34"/>
  <c r="B29" i="52" s="1"/>
  <c r="F30" i="27"/>
  <c r="B25" i="52" s="1"/>
  <c r="A25" s="1"/>
  <c r="C22" i="27"/>
  <c r="F22" s="1"/>
  <c r="C18"/>
  <c r="F18" s="1"/>
  <c r="C14"/>
  <c r="F14" s="1"/>
  <c r="AU25"/>
  <c r="AH22"/>
  <c r="AH18"/>
  <c r="AH14"/>
  <c r="AH34"/>
  <c r="AH30"/>
  <c r="AH26"/>
  <c r="AH24"/>
  <c r="AH16"/>
  <c r="AH32"/>
  <c r="C21"/>
  <c r="F21" s="1"/>
  <c r="AF32"/>
  <c r="AF28"/>
  <c r="AH17"/>
  <c r="AH29"/>
  <c r="F35"/>
  <c r="F31"/>
  <c r="B26" i="52" s="1"/>
  <c r="A26" s="1"/>
  <c r="C23" i="27"/>
  <c r="F23" s="1"/>
  <c r="B18" i="52" s="1"/>
  <c r="A18" s="1"/>
  <c r="C19" i="27"/>
  <c r="F19" s="1"/>
  <c r="B14" i="52" s="1"/>
  <c r="C15" i="27"/>
  <c r="F15" s="1"/>
  <c r="AU24"/>
  <c r="AU20"/>
  <c r="AU16"/>
  <c r="AH23"/>
  <c r="AH19"/>
  <c r="AH15"/>
  <c r="AO32"/>
  <c r="D30" i="32"/>
  <c r="D30" i="6"/>
  <c r="D26" i="32"/>
  <c r="D26" i="6"/>
  <c r="D22" i="32"/>
  <c r="D22" i="6"/>
  <c r="D31" i="32"/>
  <c r="D31" i="6"/>
  <c r="D27" i="32"/>
  <c r="D27" i="6"/>
  <c r="D23" i="32"/>
  <c r="D23" i="6"/>
  <c r="D20" i="32"/>
  <c r="D20" i="6"/>
  <c r="D28" i="32"/>
  <c r="D28" i="6"/>
  <c r="D24" i="32"/>
  <c r="D24" i="6"/>
  <c r="D29" i="32"/>
  <c r="D29" i="6"/>
  <c r="D25" i="32"/>
  <c r="D25" i="6"/>
  <c r="D21" i="32"/>
  <c r="D21" i="6"/>
  <c r="AU34" i="27"/>
  <c r="AU30"/>
  <c r="AU26"/>
  <c r="AU35"/>
  <c r="AU31"/>
  <c r="AU27"/>
  <c r="AU23"/>
  <c r="AU19"/>
  <c r="AU15"/>
  <c r="D18" i="32"/>
  <c r="D18" i="6"/>
  <c r="C10"/>
  <c r="AH13" i="27"/>
  <c r="AF25"/>
  <c r="AG34"/>
  <c r="AF24"/>
  <c r="AF20"/>
  <c r="AF16"/>
  <c r="AG23"/>
  <c r="AG19"/>
  <c r="AG15"/>
  <c r="AF26"/>
  <c r="AG27"/>
  <c r="AF30"/>
  <c r="AG31"/>
  <c r="AF34"/>
  <c r="AG35"/>
  <c r="D19" i="32"/>
  <c r="D19" i="6"/>
  <c r="D16" i="32"/>
  <c r="D16" i="6"/>
  <c r="D14" i="32"/>
  <c r="D14" i="6"/>
  <c r="D12" i="32"/>
  <c r="D12" i="6"/>
  <c r="D10" i="32"/>
  <c r="D10" i="6"/>
  <c r="AG22" i="27"/>
  <c r="AG14"/>
  <c r="AG26"/>
  <c r="AG30"/>
  <c r="AU18"/>
  <c r="AU22"/>
  <c r="AG24"/>
  <c r="AG20"/>
  <c r="AG16"/>
  <c r="AF27"/>
  <c r="AG28"/>
  <c r="AF31"/>
  <c r="AG32"/>
  <c r="AH33"/>
  <c r="AF35"/>
  <c r="AG36"/>
  <c r="AU28"/>
  <c r="AU32"/>
  <c r="AU36"/>
  <c r="D17" i="32"/>
  <c r="D17" i="6"/>
  <c r="D15" i="32"/>
  <c r="D15" i="6"/>
  <c r="D13" i="32"/>
  <c r="D13" i="6"/>
  <c r="D11" i="32"/>
  <c r="D11" i="6"/>
  <c r="D9" i="32"/>
  <c r="D9" i="6"/>
  <c r="AG18" i="27"/>
  <c r="AU14"/>
  <c r="AG25"/>
  <c r="AF13"/>
  <c r="AU13"/>
  <c r="AG13"/>
  <c r="AB11" i="25"/>
  <c r="AB12"/>
  <c r="AB13"/>
  <c r="AB14"/>
  <c r="AB15"/>
  <c r="AB16"/>
  <c r="AB17"/>
  <c r="AB18"/>
  <c r="W11"/>
  <c r="X11"/>
  <c r="W12"/>
  <c r="AH24" s="1"/>
  <c r="X12"/>
  <c r="W13"/>
  <c r="X13"/>
  <c r="W14"/>
  <c r="AH26" s="1"/>
  <c r="X14"/>
  <c r="W15"/>
  <c r="X15"/>
  <c r="W16"/>
  <c r="AH28" s="1"/>
  <c r="X16"/>
  <c r="W17"/>
  <c r="X17"/>
  <c r="W18"/>
  <c r="AH30" s="1"/>
  <c r="X18"/>
  <c r="AC8"/>
  <c r="AC11"/>
  <c r="AC12"/>
  <c r="AC13"/>
  <c r="AC14"/>
  <c r="AC15"/>
  <c r="AC16"/>
  <c r="AC17"/>
  <c r="AC18"/>
  <c r="AC7"/>
  <c r="AA11"/>
  <c r="AA12"/>
  <c r="AA13"/>
  <c r="AA14"/>
  <c r="AA15"/>
  <c r="AA16"/>
  <c r="AA17"/>
  <c r="I11"/>
  <c r="I12"/>
  <c r="I13"/>
  <c r="I14"/>
  <c r="I15"/>
  <c r="I16"/>
  <c r="I17"/>
  <c r="I18"/>
  <c r="AB8"/>
  <c r="X8"/>
  <c r="W8"/>
  <c r="AH20" s="1"/>
  <c r="AA8"/>
  <c r="I8"/>
  <c r="X7"/>
  <c r="W7"/>
  <c r="AA7"/>
  <c r="I7"/>
  <c r="D4"/>
  <c r="S13" s="1"/>
  <c r="V26" i="23"/>
  <c r="V25" s="1"/>
  <c r="U25"/>
  <c r="Z20"/>
  <c r="Z19"/>
  <c r="Y13"/>
  <c r="X13"/>
  <c r="Y12"/>
  <c r="X12"/>
  <c r="X11"/>
  <c r="X10"/>
  <c r="X9"/>
  <c r="V9"/>
  <c r="V10" s="1"/>
  <c r="V11" s="1"/>
  <c r="X8"/>
  <c r="N18" i="18"/>
  <c r="N17"/>
  <c r="N8"/>
  <c r="G8"/>
  <c r="G10" s="1"/>
  <c r="W31" s="1"/>
  <c r="AA27" i="25" l="1"/>
  <c r="AC27"/>
  <c r="AG27"/>
  <c r="AB27"/>
  <c r="AA21" i="27"/>
  <c r="AF21" s="1"/>
  <c r="AF27" i="25"/>
  <c r="AA33" i="27"/>
  <c r="AC23" i="25"/>
  <c r="AA29" i="27"/>
  <c r="AG23" i="25"/>
  <c r="AB23"/>
  <c r="AF23"/>
  <c r="AA23"/>
  <c r="AA17" i="27"/>
  <c r="B30" i="41"/>
  <c r="A30" s="1"/>
  <c r="B30" i="52"/>
  <c r="A30" s="1"/>
  <c r="B13" i="41"/>
  <c r="A13" s="1"/>
  <c r="B13" i="52"/>
  <c r="B15" i="6"/>
  <c r="A15" s="1"/>
  <c r="B15" i="52"/>
  <c r="B24" i="32"/>
  <c r="A24" s="1"/>
  <c r="B24" i="52"/>
  <c r="A24" s="1"/>
  <c r="B20" i="41"/>
  <c r="A20" s="1"/>
  <c r="B20" i="52"/>
  <c r="A20" s="1"/>
  <c r="B23" i="41"/>
  <c r="A23" s="1"/>
  <c r="B23" i="52"/>
  <c r="A23" s="1"/>
  <c r="F14"/>
  <c r="A14"/>
  <c r="I11"/>
  <c r="A11"/>
  <c r="B10" i="41"/>
  <c r="A10" s="1"/>
  <c r="B10" i="52"/>
  <c r="F8"/>
  <c r="A8"/>
  <c r="B22" i="6"/>
  <c r="A22" s="1"/>
  <c r="B22" i="52"/>
  <c r="A22" s="1"/>
  <c r="B9" i="41"/>
  <c r="A9" s="1"/>
  <c r="B9" i="52"/>
  <c r="B12" i="41"/>
  <c r="A12" s="1"/>
  <c r="B12" i="52"/>
  <c r="B31" i="41"/>
  <c r="A31" s="1"/>
  <c r="B31" i="52"/>
  <c r="A31" s="1"/>
  <c r="R8" i="23"/>
  <c r="R9" s="1"/>
  <c r="M30" i="27"/>
  <c r="F25" i="6" s="1"/>
  <c r="M22" i="27"/>
  <c r="F17" i="6" s="1"/>
  <c r="M14" i="27"/>
  <c r="M32"/>
  <c r="F27" i="6" s="1"/>
  <c r="M24" i="27"/>
  <c r="F19" i="6" s="1"/>
  <c r="M16" i="27"/>
  <c r="M34"/>
  <c r="F29" i="6" s="1"/>
  <c r="M26" i="27"/>
  <c r="F21" i="6" s="1"/>
  <c r="M18" i="27"/>
  <c r="M36"/>
  <c r="F31" i="6" s="1"/>
  <c r="M28" i="27"/>
  <c r="F23" i="6" s="1"/>
  <c r="M20" i="27"/>
  <c r="I29" i="52"/>
  <c r="A29"/>
  <c r="B16" i="41"/>
  <c r="A16" s="1"/>
  <c r="I25" i="52"/>
  <c r="C22"/>
  <c r="I21"/>
  <c r="I23"/>
  <c r="B16"/>
  <c r="I27"/>
  <c r="I19"/>
  <c r="F25"/>
  <c r="F22"/>
  <c r="F18"/>
  <c r="F26"/>
  <c r="B17" i="41"/>
  <c r="A17" s="1"/>
  <c r="B17" i="52"/>
  <c r="F28"/>
  <c r="A28"/>
  <c r="B30" i="6"/>
  <c r="A30" s="1"/>
  <c r="B20" i="32"/>
  <c r="A20" s="1"/>
  <c r="N20" i="18"/>
  <c r="G16" i="27"/>
  <c r="B30" i="32"/>
  <c r="A30" s="1"/>
  <c r="B20" i="6"/>
  <c r="A20" s="1"/>
  <c r="B8" i="32"/>
  <c r="A8" s="1"/>
  <c r="B8" i="41"/>
  <c r="A8" s="1"/>
  <c r="B25" i="32"/>
  <c r="A25" s="1"/>
  <c r="B25" i="41"/>
  <c r="B21" i="32"/>
  <c r="B21" i="41"/>
  <c r="A21" s="1"/>
  <c r="B27" i="32"/>
  <c r="A27" s="1"/>
  <c r="B27" i="41"/>
  <c r="B18" i="32"/>
  <c r="A18" s="1"/>
  <c r="B18" i="41"/>
  <c r="B28" i="6"/>
  <c r="A28" s="1"/>
  <c r="B28" i="41"/>
  <c r="B11" i="6"/>
  <c r="A11" s="1"/>
  <c r="B11" i="41"/>
  <c r="A11" s="1"/>
  <c r="B14" i="32"/>
  <c r="A14" s="1"/>
  <c r="B14" i="41"/>
  <c r="B15" i="32"/>
  <c r="B15" i="41"/>
  <c r="B22" i="32"/>
  <c r="A22" s="1"/>
  <c r="B22" i="41"/>
  <c r="B26" i="6"/>
  <c r="A26" s="1"/>
  <c r="B26" i="41"/>
  <c r="B24" i="6"/>
  <c r="A24" s="1"/>
  <c r="B24" i="41"/>
  <c r="B29" i="6"/>
  <c r="A29" s="1"/>
  <c r="B29" i="41"/>
  <c r="B19" i="6"/>
  <c r="A19" s="1"/>
  <c r="B19" i="41"/>
  <c r="B11" i="32"/>
  <c r="A11" s="1"/>
  <c r="B18" i="6"/>
  <c r="A18" s="1"/>
  <c r="B25"/>
  <c r="A25" s="1"/>
  <c r="B12"/>
  <c r="A12" s="1"/>
  <c r="B12" i="32"/>
  <c r="A12" s="1"/>
  <c r="B27" i="6"/>
  <c r="A27" s="1"/>
  <c r="B14"/>
  <c r="A14" s="1"/>
  <c r="B16"/>
  <c r="A16" s="1"/>
  <c r="B16" i="32"/>
  <c r="B17" i="6"/>
  <c r="A17" s="1"/>
  <c r="B17" i="32"/>
  <c r="B13"/>
  <c r="A13" s="1"/>
  <c r="B13" i="6"/>
  <c r="A13" s="1"/>
  <c r="B31" i="32"/>
  <c r="A31" s="1"/>
  <c r="B31" i="6"/>
  <c r="A31" s="1"/>
  <c r="B10"/>
  <c r="A10" s="1"/>
  <c r="B10" i="32"/>
  <c r="A10" s="1"/>
  <c r="B9"/>
  <c r="A9" s="1"/>
  <c r="B9" i="6"/>
  <c r="A9" s="1"/>
  <c r="B23" i="32"/>
  <c r="B23" i="6"/>
  <c r="A23" s="1"/>
  <c r="G26" i="27"/>
  <c r="C21" i="52" s="1"/>
  <c r="G14" i="27"/>
  <c r="AH29" i="25"/>
  <c r="AH27"/>
  <c r="AH25"/>
  <c r="AH23"/>
  <c r="G36" i="27"/>
  <c r="G24"/>
  <c r="C19" i="52" s="1"/>
  <c r="G34" i="27"/>
  <c r="C29" i="52" s="1"/>
  <c r="G22" i="27"/>
  <c r="G32"/>
  <c r="C27" i="52" s="1"/>
  <c r="G20" i="27"/>
  <c r="G30"/>
  <c r="C25" i="52" s="1"/>
  <c r="G18" i="27"/>
  <c r="B19" i="32"/>
  <c r="A19" s="1"/>
  <c r="B28"/>
  <c r="B26"/>
  <c r="A26" s="1"/>
  <c r="B29"/>
  <c r="AH19" i="25"/>
  <c r="AL17" i="27"/>
  <c r="N17" s="1"/>
  <c r="AL21"/>
  <c r="N21" s="1"/>
  <c r="I16" i="6" s="1"/>
  <c r="X27" i="27"/>
  <c r="W27" s="1"/>
  <c r="H27" s="1"/>
  <c r="X31"/>
  <c r="W31" s="1"/>
  <c r="H31" s="1"/>
  <c r="E26" i="52" s="1"/>
  <c r="X35" i="27"/>
  <c r="W35" s="1"/>
  <c r="H35" s="1"/>
  <c r="X14"/>
  <c r="W14" s="1"/>
  <c r="H14" s="1"/>
  <c r="X18"/>
  <c r="W18" s="1"/>
  <c r="H18" s="1"/>
  <c r="X22"/>
  <c r="W22" s="1"/>
  <c r="H22" s="1"/>
  <c r="AL25"/>
  <c r="N25" s="1"/>
  <c r="AL19"/>
  <c r="N19" s="1"/>
  <c r="I14" i="52" s="1"/>
  <c r="X29" i="27"/>
  <c r="X25"/>
  <c r="W25" s="1"/>
  <c r="H25" s="1"/>
  <c r="E20" i="52" s="1"/>
  <c r="X16" i="27"/>
  <c r="W16" s="1"/>
  <c r="H16" s="1"/>
  <c r="E11" i="52" s="1"/>
  <c r="X24" i="27"/>
  <c r="W24" s="1"/>
  <c r="H24" s="1"/>
  <c r="AL33"/>
  <c r="N33" s="1"/>
  <c r="I28" i="6" s="1"/>
  <c r="AL13" i="27"/>
  <c r="N13" s="1"/>
  <c r="X32"/>
  <c r="W32" s="1"/>
  <c r="H32" s="1"/>
  <c r="X19"/>
  <c r="W19" s="1"/>
  <c r="H19" s="1"/>
  <c r="AL27"/>
  <c r="N27" s="1"/>
  <c r="I22" i="52" s="1"/>
  <c r="AL31" i="27"/>
  <c r="N31" s="1"/>
  <c r="I26" i="6" s="1"/>
  <c r="AL35" i="27"/>
  <c r="N35" s="1"/>
  <c r="I30" i="6" s="1"/>
  <c r="X26" i="27"/>
  <c r="W26" s="1"/>
  <c r="H26" s="1"/>
  <c r="E21" i="52" s="1"/>
  <c r="X30" i="27"/>
  <c r="W30" s="1"/>
  <c r="H30" s="1"/>
  <c r="X34"/>
  <c r="W34" s="1"/>
  <c r="H34" s="1"/>
  <c r="X17"/>
  <c r="X21"/>
  <c r="X13"/>
  <c r="W13" s="1"/>
  <c r="H13" s="1"/>
  <c r="E8" i="52" s="1"/>
  <c r="AL15" i="27"/>
  <c r="N15" s="1"/>
  <c r="I10" i="52" s="1"/>
  <c r="AL23" i="27"/>
  <c r="N23" s="1"/>
  <c r="I18" i="52" s="1"/>
  <c r="X33" i="27"/>
  <c r="W33" s="1"/>
  <c r="H33" s="1"/>
  <c r="E28" i="52" s="1"/>
  <c r="X20" i="27"/>
  <c r="W20" s="1"/>
  <c r="H20" s="1"/>
  <c r="AL29"/>
  <c r="N29" s="1"/>
  <c r="I24" i="6" s="1"/>
  <c r="X28" i="27"/>
  <c r="W28" s="1"/>
  <c r="H28" s="1"/>
  <c r="X36"/>
  <c r="W36" s="1"/>
  <c r="H36" s="1"/>
  <c r="X15"/>
  <c r="W15" s="1"/>
  <c r="H15" s="1"/>
  <c r="X23"/>
  <c r="W23" s="1"/>
  <c r="H23" s="1"/>
  <c r="E18" i="52" s="1"/>
  <c r="S17" i="25"/>
  <c r="B21" i="6"/>
  <c r="A21" s="1"/>
  <c r="B8"/>
  <c r="A8" s="1"/>
  <c r="F24" i="32"/>
  <c r="S9" i="25"/>
  <c r="S10"/>
  <c r="S18"/>
  <c r="S14"/>
  <c r="S15"/>
  <c r="S11"/>
  <c r="S16"/>
  <c r="S12"/>
  <c r="AB7"/>
  <c r="S7"/>
  <c r="S8"/>
  <c r="Y8" i="23"/>
  <c r="W29" i="27" l="1"/>
  <c r="H29" s="1"/>
  <c r="E24" i="32" s="1"/>
  <c r="C31" i="41"/>
  <c r="C23"/>
  <c r="F23" i="52"/>
  <c r="I31"/>
  <c r="C23"/>
  <c r="W21" i="27"/>
  <c r="H21" s="1"/>
  <c r="E16" i="52" s="1"/>
  <c r="AG33" i="27"/>
  <c r="AF33"/>
  <c r="AU33"/>
  <c r="AU21"/>
  <c r="AG21"/>
  <c r="E24" i="52"/>
  <c r="W17" i="27"/>
  <c r="H17" s="1"/>
  <c r="E12" i="52" s="1"/>
  <c r="AG29" i="27"/>
  <c r="AF29"/>
  <c r="AU29"/>
  <c r="AU17"/>
  <c r="AF17"/>
  <c r="AG17"/>
  <c r="F24" i="52"/>
  <c r="I20"/>
  <c r="C15"/>
  <c r="F29"/>
  <c r="I28"/>
  <c r="F31"/>
  <c r="I12" i="6"/>
  <c r="I12" i="52"/>
  <c r="F12"/>
  <c r="A12"/>
  <c r="F10"/>
  <c r="A10"/>
  <c r="C10"/>
  <c r="A15"/>
  <c r="I15"/>
  <c r="C31"/>
  <c r="F14" i="32"/>
  <c r="F20" i="52"/>
  <c r="I26"/>
  <c r="I8" i="6"/>
  <c r="I8" i="52"/>
  <c r="C11" i="6"/>
  <c r="C11" i="52"/>
  <c r="C13" i="41"/>
  <c r="C13" i="52"/>
  <c r="C9" i="41"/>
  <c r="C9" i="52"/>
  <c r="A9"/>
  <c r="I9"/>
  <c r="A13"/>
  <c r="I13"/>
  <c r="I24" i="32"/>
  <c r="C10" i="41"/>
  <c r="I24" i="52"/>
  <c r="I30"/>
  <c r="E10"/>
  <c r="E15"/>
  <c r="E22"/>
  <c r="F19"/>
  <c r="F30"/>
  <c r="F11"/>
  <c r="F11" i="6"/>
  <c r="F21" i="52"/>
  <c r="F27"/>
  <c r="F15"/>
  <c r="F15" i="6"/>
  <c r="F13" i="52"/>
  <c r="F13" i="6"/>
  <c r="F9" i="52"/>
  <c r="F9" i="6"/>
  <c r="E27"/>
  <c r="E27" i="52"/>
  <c r="E25" i="6"/>
  <c r="E25" i="52"/>
  <c r="E13" i="6"/>
  <c r="E13" i="52"/>
  <c r="C17"/>
  <c r="E29" i="6"/>
  <c r="E29" i="52"/>
  <c r="E17" i="6"/>
  <c r="E17" i="52"/>
  <c r="E23" i="41"/>
  <c r="E23" i="52"/>
  <c r="E30" i="6"/>
  <c r="E30" i="52"/>
  <c r="F17"/>
  <c r="I17"/>
  <c r="A17"/>
  <c r="E31" i="6"/>
  <c r="E31" i="52"/>
  <c r="E16" i="41"/>
  <c r="E14" i="32"/>
  <c r="E14" i="52"/>
  <c r="E19" i="6"/>
  <c r="E19" i="52"/>
  <c r="E9" i="6"/>
  <c r="E9" i="52"/>
  <c r="F16"/>
  <c r="A16"/>
  <c r="I16"/>
  <c r="F30" i="32"/>
  <c r="I27"/>
  <c r="F27"/>
  <c r="F20"/>
  <c r="I11"/>
  <c r="E20"/>
  <c r="E11" i="41"/>
  <c r="C15"/>
  <c r="G15" i="18"/>
  <c r="U31"/>
  <c r="G18"/>
  <c r="G19" s="1"/>
  <c r="G21"/>
  <c r="G30" s="1"/>
  <c r="I29" i="32"/>
  <c r="A29"/>
  <c r="C23"/>
  <c r="A23"/>
  <c r="F16"/>
  <c r="A16"/>
  <c r="F21"/>
  <c r="A21"/>
  <c r="F28"/>
  <c r="A28"/>
  <c r="F15"/>
  <c r="A15"/>
  <c r="F17"/>
  <c r="A17"/>
  <c r="E30"/>
  <c r="F26"/>
  <c r="C22"/>
  <c r="I23"/>
  <c r="I21"/>
  <c r="C19" i="41"/>
  <c r="C25"/>
  <c r="I28" i="32"/>
  <c r="C11"/>
  <c r="F11"/>
  <c r="I25"/>
  <c r="C27" i="6"/>
  <c r="C27" i="41"/>
  <c r="F8" i="32"/>
  <c r="E19" i="41"/>
  <c r="A19"/>
  <c r="E24"/>
  <c r="A24"/>
  <c r="A22"/>
  <c r="C22"/>
  <c r="E15"/>
  <c r="A15"/>
  <c r="E18"/>
  <c r="A18"/>
  <c r="C29" i="6"/>
  <c r="C29" i="41"/>
  <c r="E27"/>
  <c r="A27"/>
  <c r="E25"/>
  <c r="A25"/>
  <c r="I30" i="32"/>
  <c r="E12" i="41"/>
  <c r="E30"/>
  <c r="I15" i="32"/>
  <c r="E25"/>
  <c r="I19"/>
  <c r="E15"/>
  <c r="E22" i="41"/>
  <c r="C21"/>
  <c r="F22" i="32"/>
  <c r="F25"/>
  <c r="F18"/>
  <c r="C11" i="41"/>
  <c r="E17"/>
  <c r="C17" i="6"/>
  <c r="C17" i="41"/>
  <c r="E29"/>
  <c r="A29"/>
  <c r="E26"/>
  <c r="A26"/>
  <c r="E14"/>
  <c r="A14"/>
  <c r="E28"/>
  <c r="A28"/>
  <c r="I8" i="32"/>
  <c r="I26"/>
  <c r="E31" i="41"/>
  <c r="E13"/>
  <c r="E9" i="32"/>
  <c r="E9" i="41"/>
  <c r="E11" i="32"/>
  <c r="E11" i="6"/>
  <c r="E21" i="32"/>
  <c r="E21" i="41"/>
  <c r="E10" i="32"/>
  <c r="E10" i="41"/>
  <c r="E23" i="32"/>
  <c r="E23" i="6"/>
  <c r="E20"/>
  <c r="E20" i="41"/>
  <c r="E8" i="32"/>
  <c r="E8" i="41"/>
  <c r="I17" i="32"/>
  <c r="F19"/>
  <c r="E21" i="6"/>
  <c r="F29" i="32"/>
  <c r="E19"/>
  <c r="I12"/>
  <c r="F12"/>
  <c r="E27"/>
  <c r="C29"/>
  <c r="C17"/>
  <c r="E16"/>
  <c r="E17"/>
  <c r="E29"/>
  <c r="E16" i="6"/>
  <c r="E14"/>
  <c r="E12" i="32"/>
  <c r="I22" i="6"/>
  <c r="I22" i="32"/>
  <c r="E28" i="6"/>
  <c r="E28" i="32"/>
  <c r="I14"/>
  <c r="I14" i="6"/>
  <c r="C25" i="32"/>
  <c r="C25" i="6"/>
  <c r="G29" i="27"/>
  <c r="G17"/>
  <c r="G33"/>
  <c r="G21"/>
  <c r="C21" i="6"/>
  <c r="C21" i="32"/>
  <c r="I13"/>
  <c r="F13"/>
  <c r="I16"/>
  <c r="E8" i="6"/>
  <c r="C10" i="32"/>
  <c r="F10"/>
  <c r="E10" i="6"/>
  <c r="E15"/>
  <c r="E24"/>
  <c r="E22"/>
  <c r="E22" i="32"/>
  <c r="G25" i="27"/>
  <c r="G13"/>
  <c r="C13" i="6"/>
  <c r="C13" i="32"/>
  <c r="C9" i="6"/>
  <c r="C9" i="32"/>
  <c r="E18" i="6"/>
  <c r="E18" i="32"/>
  <c r="I10" i="6"/>
  <c r="I10" i="32"/>
  <c r="E26"/>
  <c r="E26" i="6"/>
  <c r="C31"/>
  <c r="C31" i="32"/>
  <c r="G19" i="27"/>
  <c r="G31"/>
  <c r="G35"/>
  <c r="G23"/>
  <c r="F9" i="32"/>
  <c r="I9"/>
  <c r="I31"/>
  <c r="F31"/>
  <c r="I18" i="6"/>
  <c r="I18" i="32"/>
  <c r="I20" i="6"/>
  <c r="I20" i="32"/>
  <c r="C15" i="6"/>
  <c r="C15" i="32"/>
  <c r="C19" i="6"/>
  <c r="C19" i="32"/>
  <c r="E13"/>
  <c r="E31"/>
  <c r="F23"/>
  <c r="C27"/>
  <c r="R10" i="23"/>
  <c r="Y9"/>
  <c r="E12" i="6" l="1"/>
  <c r="C18" i="41"/>
  <c r="C18" i="52"/>
  <c r="C8" i="41"/>
  <c r="C8" i="52"/>
  <c r="C26" i="41"/>
  <c r="C26" i="52"/>
  <c r="C12" i="41"/>
  <c r="C12" i="52"/>
  <c r="C30" i="41"/>
  <c r="C30" i="52"/>
  <c r="C20" i="41"/>
  <c r="C20" i="52"/>
  <c r="C14" i="41"/>
  <c r="C14" i="52"/>
  <c r="C24" i="41"/>
  <c r="C24" i="52"/>
  <c r="C16" i="41"/>
  <c r="C16" i="52"/>
  <c r="C28" i="41"/>
  <c r="C28" i="52"/>
  <c r="Y25" i="18"/>
  <c r="Z25" s="1"/>
  <c r="Y26"/>
  <c r="Z26" s="1"/>
  <c r="Y31"/>
  <c r="Y22"/>
  <c r="Z22" s="1"/>
  <c r="U8" s="1"/>
  <c r="Y24"/>
  <c r="Z24" s="1"/>
  <c r="U10" s="1"/>
  <c r="Y23"/>
  <c r="Z23" s="1"/>
  <c r="U9" s="1"/>
  <c r="B40" i="35" s="1"/>
  <c r="Y29" i="18"/>
  <c r="Z29" s="1"/>
  <c r="Y20"/>
  <c r="Z20" s="1"/>
  <c r="U6" s="1"/>
  <c r="Y27"/>
  <c r="Z27" s="1"/>
  <c r="Y28"/>
  <c r="Z28" s="1"/>
  <c r="Y21"/>
  <c r="Z21" s="1"/>
  <c r="U7" s="1"/>
  <c r="U14"/>
  <c r="AQ21" i="27"/>
  <c r="U11" i="18"/>
  <c r="AQ15" i="27"/>
  <c r="B37" i="35"/>
  <c r="AQ13" i="27"/>
  <c r="AQ16"/>
  <c r="AQ14"/>
  <c r="B33" i="24"/>
  <c r="D41" s="1"/>
  <c r="C12" i="6"/>
  <c r="C12" i="32"/>
  <c r="C18" i="6"/>
  <c r="C18" i="32"/>
  <c r="C8" i="6"/>
  <c r="C8" i="32"/>
  <c r="C24" i="6"/>
  <c r="C24" i="32"/>
  <c r="C14" i="6"/>
  <c r="C14" i="32"/>
  <c r="C26" i="6"/>
  <c r="C26" i="32"/>
  <c r="C28" i="6"/>
  <c r="C28" i="32"/>
  <c r="C30" i="6"/>
  <c r="C30" i="32"/>
  <c r="C20" i="6"/>
  <c r="C20" i="32"/>
  <c r="C16" i="6"/>
  <c r="C16" i="32"/>
  <c r="Y10" i="23"/>
  <c r="R11"/>
  <c r="Y11" s="1"/>
  <c r="B41" i="24" l="1"/>
  <c r="B43" s="1"/>
  <c r="D43"/>
  <c r="AQ18" i="27"/>
  <c r="B39" i="35"/>
  <c r="U12" i="18"/>
  <c r="AQ17" i="27"/>
  <c r="AQ22"/>
  <c r="AP22" s="1"/>
  <c r="U15" i="18"/>
  <c r="AQ24" i="27"/>
  <c r="AQ23"/>
  <c r="B41" i="35"/>
  <c r="U13" i="18"/>
  <c r="B38" i="35"/>
  <c r="AQ20" i="27"/>
  <c r="AQ19"/>
  <c r="V6" i="18"/>
  <c r="AQ25" i="27"/>
  <c r="AP25" s="1"/>
  <c r="AP13"/>
  <c r="AQ26"/>
  <c r="AP26" s="1"/>
  <c r="AP14"/>
  <c r="AP15"/>
  <c r="AQ27"/>
  <c r="AP27" s="1"/>
  <c r="AQ33"/>
  <c r="AP33" s="1"/>
  <c r="AP21"/>
  <c r="AQ28"/>
  <c r="AP28" s="1"/>
  <c r="AP16"/>
  <c r="G12" i="18"/>
  <c r="G13" s="1"/>
  <c r="D21"/>
  <c r="D19"/>
  <c r="D17"/>
  <c r="D15"/>
  <c r="D13"/>
  <c r="C11"/>
  <c r="D11" s="1"/>
  <c r="AQ34" i="27" l="1"/>
  <c r="AP34" s="1"/>
  <c r="AP24"/>
  <c r="AQ36"/>
  <c r="AP36" s="1"/>
  <c r="AQ31"/>
  <c r="AP31" s="1"/>
  <c r="AP19"/>
  <c r="AP18"/>
  <c r="AQ30"/>
  <c r="AP30" s="1"/>
  <c r="V11" i="18"/>
  <c r="AQ32" i="27"/>
  <c r="AP32" s="1"/>
  <c r="AP20"/>
  <c r="AP23"/>
  <c r="AQ35"/>
  <c r="AP35" s="1"/>
  <c r="AP17"/>
  <c r="AQ29"/>
  <c r="AP29" s="1"/>
  <c r="D23" i="18"/>
  <c r="D27" s="1"/>
  <c r="B2" i="6" l="1"/>
  <c r="G82" i="18" l="1"/>
  <c r="I82" s="1"/>
  <c r="G81"/>
  <c r="I81" s="1"/>
  <c r="L80"/>
  <c r="O80" s="1"/>
  <c r="G80"/>
  <c r="I80" s="1"/>
  <c r="G68"/>
  <c r="F68"/>
  <c r="E68"/>
  <c r="H65"/>
  <c r="I65" s="1"/>
  <c r="H64"/>
  <c r="I64" s="1"/>
  <c r="H62"/>
  <c r="I62" s="1"/>
  <c r="H61"/>
  <c r="I61" s="1"/>
  <c r="H58"/>
  <c r="I58" s="1"/>
  <c r="H57"/>
  <c r="I57" s="1"/>
  <c r="H56"/>
  <c r="I56" s="1"/>
  <c r="X54"/>
  <c r="Q54"/>
  <c r="H54"/>
  <c r="J54" s="1"/>
  <c r="I53"/>
  <c r="H53"/>
  <c r="J53" s="1"/>
  <c r="H52"/>
  <c r="J52" s="1"/>
  <c r="H47"/>
  <c r="J47" s="1"/>
  <c r="H46"/>
  <c r="J46" s="1"/>
  <c r="Y45"/>
  <c r="H45"/>
  <c r="J45" s="1"/>
  <c r="J73" s="1"/>
  <c r="Y44"/>
  <c r="H44"/>
  <c r="J44" s="1"/>
  <c r="H42"/>
  <c r="H41"/>
  <c r="J41" s="1"/>
  <c r="H40"/>
  <c r="I40" s="1"/>
  <c r="E37"/>
  <c r="K65" s="1"/>
  <c r="K32" i="17"/>
  <c r="H32"/>
  <c r="G32"/>
  <c r="J32" s="1"/>
  <c r="F32"/>
  <c r="E32"/>
  <c r="D32"/>
  <c r="I32" s="1"/>
  <c r="K31"/>
  <c r="H31"/>
  <c r="G31"/>
  <c r="J31" s="1"/>
  <c r="F31"/>
  <c r="E31"/>
  <c r="D31"/>
  <c r="I31" s="1"/>
  <c r="K30"/>
  <c r="H30"/>
  <c r="G30"/>
  <c r="J30" s="1"/>
  <c r="F30"/>
  <c r="E30"/>
  <c r="D30"/>
  <c r="I30" s="1"/>
  <c r="K29"/>
  <c r="H29"/>
  <c r="G29"/>
  <c r="J29" s="1"/>
  <c r="F29"/>
  <c r="E29"/>
  <c r="D29"/>
  <c r="I29" s="1"/>
  <c r="K28"/>
  <c r="H28"/>
  <c r="G28"/>
  <c r="J28" s="1"/>
  <c r="F28"/>
  <c r="E28"/>
  <c r="D28"/>
  <c r="I28" s="1"/>
  <c r="K27"/>
  <c r="H27"/>
  <c r="G27"/>
  <c r="J27" s="1"/>
  <c r="F27"/>
  <c r="E27"/>
  <c r="D27"/>
  <c r="I27" s="1"/>
  <c r="K26"/>
  <c r="H26"/>
  <c r="G26"/>
  <c r="J26" s="1"/>
  <c r="F26"/>
  <c r="E26"/>
  <c r="D26"/>
  <c r="I26" s="1"/>
  <c r="K25"/>
  <c r="H25"/>
  <c r="G25"/>
  <c r="J25" s="1"/>
  <c r="F25"/>
  <c r="E25"/>
  <c r="D25"/>
  <c r="I25" s="1"/>
  <c r="K24"/>
  <c r="H24"/>
  <c r="G24"/>
  <c r="J24" s="1"/>
  <c r="F24"/>
  <c r="E24"/>
  <c r="D24"/>
  <c r="I24" s="1"/>
  <c r="K23"/>
  <c r="H23"/>
  <c r="G23"/>
  <c r="J23" s="1"/>
  <c r="F23"/>
  <c r="E23"/>
  <c r="D23"/>
  <c r="I23" s="1"/>
  <c r="K22"/>
  <c r="H22"/>
  <c r="G22"/>
  <c r="J22" s="1"/>
  <c r="F22"/>
  <c r="E22"/>
  <c r="D22"/>
  <c r="I22" s="1"/>
  <c r="K21"/>
  <c r="H21"/>
  <c r="G21"/>
  <c r="J21" s="1"/>
  <c r="F21"/>
  <c r="E21"/>
  <c r="D21"/>
  <c r="I21" s="1"/>
  <c r="K20"/>
  <c r="H20"/>
  <c r="G20"/>
  <c r="J20" s="1"/>
  <c r="F20"/>
  <c r="E20"/>
  <c r="D20"/>
  <c r="I20" s="1"/>
  <c r="K19"/>
  <c r="H19"/>
  <c r="G19"/>
  <c r="J19" s="1"/>
  <c r="F19"/>
  <c r="E19"/>
  <c r="D19"/>
  <c r="I19" s="1"/>
  <c r="K18"/>
  <c r="H18"/>
  <c r="G18"/>
  <c r="J18" s="1"/>
  <c r="F18"/>
  <c r="E18"/>
  <c r="D18"/>
  <c r="I18" s="1"/>
  <c r="K17"/>
  <c r="H17"/>
  <c r="G17"/>
  <c r="J17" s="1"/>
  <c r="F17"/>
  <c r="E17"/>
  <c r="D17"/>
  <c r="I17" s="1"/>
  <c r="K16"/>
  <c r="H16"/>
  <c r="G16"/>
  <c r="J16" s="1"/>
  <c r="F16"/>
  <c r="E16"/>
  <c r="D16"/>
  <c r="I16" s="1"/>
  <c r="K15"/>
  <c r="H15"/>
  <c r="G15"/>
  <c r="J15" s="1"/>
  <c r="F15"/>
  <c r="E15"/>
  <c r="D15"/>
  <c r="I15" s="1"/>
  <c r="H14"/>
  <c r="G14"/>
  <c r="F14"/>
  <c r="E14"/>
  <c r="D14"/>
  <c r="I14" s="1"/>
  <c r="K13"/>
  <c r="H13"/>
  <c r="G13"/>
  <c r="J13" s="1"/>
  <c r="F13"/>
  <c r="E13"/>
  <c r="D13"/>
  <c r="I13" s="1"/>
  <c r="K12"/>
  <c r="H12"/>
  <c r="G12"/>
  <c r="J12" s="1"/>
  <c r="F12"/>
  <c r="E12"/>
  <c r="D12"/>
  <c r="I12" s="1"/>
  <c r="K11"/>
  <c r="H11"/>
  <c r="G11"/>
  <c r="J11" s="1"/>
  <c r="F11"/>
  <c r="E11"/>
  <c r="D11"/>
  <c r="I11" s="1"/>
  <c r="K10"/>
  <c r="H10"/>
  <c r="G10"/>
  <c r="F10"/>
  <c r="E10"/>
  <c r="D10"/>
  <c r="H9"/>
  <c r="G9"/>
  <c r="J9" s="1"/>
  <c r="F9"/>
  <c r="I9" s="1"/>
  <c r="E9"/>
  <c r="D9"/>
  <c r="K9" s="1"/>
  <c r="H8"/>
  <c r="G8"/>
  <c r="F8"/>
  <c r="E8"/>
  <c r="D8"/>
  <c r="K8" s="1"/>
  <c r="K7"/>
  <c r="H7"/>
  <c r="G7"/>
  <c r="J7" s="1"/>
  <c r="F7"/>
  <c r="I7" s="1"/>
  <c r="E7"/>
  <c r="D7"/>
  <c r="K6"/>
  <c r="H6"/>
  <c r="G6"/>
  <c r="F6"/>
  <c r="E6"/>
  <c r="D6"/>
  <c r="H5"/>
  <c r="G5"/>
  <c r="J5" s="1"/>
  <c r="F5"/>
  <c r="I5" s="1"/>
  <c r="E5"/>
  <c r="D5"/>
  <c r="K5" s="1"/>
  <c r="F20" i="12"/>
  <c r="E20"/>
  <c r="M205" i="11"/>
  <c r="M204"/>
  <c r="M203"/>
  <c r="M202"/>
  <c r="M201"/>
  <c r="M200"/>
  <c r="M199"/>
  <c r="M198"/>
  <c r="M206" s="1"/>
  <c r="M197"/>
  <c r="O162"/>
  <c r="M162"/>
  <c r="O161"/>
  <c r="M161"/>
  <c r="O160"/>
  <c r="O163" s="1"/>
  <c r="M160"/>
  <c r="M163" s="1"/>
  <c r="M127"/>
  <c r="M126"/>
  <c r="M125"/>
  <c r="M64"/>
  <c r="L64"/>
  <c r="K64"/>
  <c r="K46"/>
  <c r="Q45"/>
  <c r="P45"/>
  <c r="N45"/>
  <c r="R45" s="1"/>
  <c r="M45"/>
  <c r="P44"/>
  <c r="Q44" s="1"/>
  <c r="R44" s="1"/>
  <c r="N44"/>
  <c r="M44"/>
  <c r="Q43"/>
  <c r="R43" s="1"/>
  <c r="P43"/>
  <c r="N43"/>
  <c r="M43"/>
  <c r="Q42"/>
  <c r="P42"/>
  <c r="M42"/>
  <c r="N42" s="1"/>
  <c r="R42" s="1"/>
  <c r="Q41"/>
  <c r="P41"/>
  <c r="N41"/>
  <c r="R41" s="1"/>
  <c r="M41"/>
  <c r="P40"/>
  <c r="Q40" s="1"/>
  <c r="N40"/>
  <c r="N46" s="1"/>
  <c r="M40"/>
  <c r="K34"/>
  <c r="N34" s="1"/>
  <c r="Q33"/>
  <c r="O33"/>
  <c r="N33"/>
  <c r="M33"/>
  <c r="L33"/>
  <c r="M32"/>
  <c r="L32"/>
  <c r="L31"/>
  <c r="M31" s="1"/>
  <c r="M34" s="1"/>
  <c r="N30"/>
  <c r="M30"/>
  <c r="L30"/>
  <c r="N28"/>
  <c r="Q24"/>
  <c r="S24" s="1"/>
  <c r="P24"/>
  <c r="O24"/>
  <c r="M24"/>
  <c r="K24"/>
  <c r="R22"/>
  <c r="Q22"/>
  <c r="S22" s="1"/>
  <c r="U22" s="1"/>
  <c r="O22"/>
  <c r="N22"/>
  <c r="S21"/>
  <c r="U21" s="1"/>
  <c r="R21"/>
  <c r="Q21"/>
  <c r="O21"/>
  <c r="N21"/>
  <c r="R19"/>
  <c r="Q19"/>
  <c r="S19" s="1"/>
  <c r="U19" s="1"/>
  <c r="O19"/>
  <c r="N19"/>
  <c r="S18"/>
  <c r="U18" s="1"/>
  <c r="R18"/>
  <c r="Q18"/>
  <c r="O18"/>
  <c r="N18"/>
  <c r="R17"/>
  <c r="Q17"/>
  <c r="S17" s="1"/>
  <c r="U17" s="1"/>
  <c r="O17"/>
  <c r="N17"/>
  <c r="S16"/>
  <c r="U16" s="1"/>
  <c r="R16"/>
  <c r="Q16"/>
  <c r="O16"/>
  <c r="N16"/>
  <c r="R15"/>
  <c r="Q15"/>
  <c r="S15" s="1"/>
  <c r="U15" s="1"/>
  <c r="O15"/>
  <c r="N15"/>
  <c r="S14"/>
  <c r="U14" s="1"/>
  <c r="R14"/>
  <c r="Q14"/>
  <c r="O14"/>
  <c r="N14"/>
  <c r="R12"/>
  <c r="Q12"/>
  <c r="S12" s="1"/>
  <c r="U12" s="1"/>
  <c r="O12"/>
  <c r="N12"/>
  <c r="S11"/>
  <c r="U11" s="1"/>
  <c r="R11"/>
  <c r="Q11"/>
  <c r="O11"/>
  <c r="N11"/>
  <c r="R10"/>
  <c r="Q10"/>
  <c r="S10" s="1"/>
  <c r="U10" s="1"/>
  <c r="O10"/>
  <c r="N10"/>
  <c r="S9"/>
  <c r="U9" s="1"/>
  <c r="R9"/>
  <c r="R24" s="1"/>
  <c r="Q9"/>
  <c r="O9"/>
  <c r="N9"/>
  <c r="K58" i="18" l="1"/>
  <c r="J57"/>
  <c r="J71" s="1"/>
  <c r="J61"/>
  <c r="J64"/>
  <c r="J58"/>
  <c r="K61"/>
  <c r="J65"/>
  <c r="J40"/>
  <c r="J70" s="1"/>
  <c r="K56"/>
  <c r="K62"/>
  <c r="K42"/>
  <c r="I47"/>
  <c r="J56"/>
  <c r="K57"/>
  <c r="J62"/>
  <c r="K64"/>
  <c r="K14" i="17"/>
  <c r="J14"/>
  <c r="H68" i="18"/>
  <c r="K41"/>
  <c r="I42"/>
  <c r="I44"/>
  <c r="K45"/>
  <c r="M80"/>
  <c r="K44"/>
  <c r="K40"/>
  <c r="I41"/>
  <c r="J42"/>
  <c r="I45"/>
  <c r="I73" s="1"/>
  <c r="I46"/>
  <c r="I71" s="1"/>
  <c r="I52"/>
  <c r="I54"/>
  <c r="I72" s="1"/>
  <c r="J72"/>
  <c r="I83"/>
  <c r="K46"/>
  <c r="K47"/>
  <c r="K52"/>
  <c r="K53"/>
  <c r="K54"/>
  <c r="J6" i="17"/>
  <c r="J8"/>
  <c r="J10"/>
  <c r="I6"/>
  <c r="I8"/>
  <c r="I10"/>
  <c r="Q46" i="11"/>
  <c r="R46" s="1"/>
  <c r="R40"/>
  <c r="U24"/>
  <c r="N31"/>
  <c r="N32"/>
  <c r="M43" i="18" l="1"/>
  <c r="N43" s="1"/>
  <c r="K68"/>
  <c r="I70"/>
  <c r="J68"/>
  <c r="I74"/>
  <c r="J74"/>
  <c r="I68"/>
  <c r="Q47" i="11"/>
  <c r="F21" i="35" l="1"/>
  <c r="G21" s="1"/>
  <c r="H21" s="1"/>
  <c r="I21" s="1"/>
  <c r="J21" s="1"/>
  <c r="K21" s="1"/>
  <c r="L21" s="1"/>
  <c r="M21" s="1"/>
  <c r="N21" s="1"/>
  <c r="O21" s="1"/>
  <c r="P21" s="1"/>
  <c r="Q21" s="1"/>
  <c r="R21" s="1"/>
  <c r="S21" s="1"/>
  <c r="T21" s="1"/>
  <c r="U21" s="1"/>
  <c r="V21" s="1"/>
  <c r="W21" s="1"/>
  <c r="X21" s="1"/>
  <c r="C45" i="24" l="1"/>
  <c r="B45"/>
  <c r="E16" i="36" l="1"/>
  <c r="F16" l="1"/>
  <c r="G16" s="1"/>
  <c r="H16" l="1"/>
  <c r="I16" l="1"/>
  <c r="J16" l="1"/>
  <c r="K16" l="1"/>
  <c r="L16" l="1"/>
  <c r="M16" l="1"/>
  <c r="N16" l="1"/>
  <c r="O16" l="1"/>
  <c r="P16" l="1"/>
  <c r="Q16" l="1"/>
  <c r="R16" l="1"/>
  <c r="S16" l="1"/>
  <c r="T16" l="1"/>
  <c r="U16" l="1"/>
  <c r="V16" l="1"/>
  <c r="W16" l="1"/>
  <c r="X16" l="1"/>
  <c r="Z16" l="1"/>
  <c r="Z33" l="1"/>
  <c r="Y33" s="1"/>
  <c r="Z35"/>
  <c r="Y35" s="1"/>
  <c r="Z32"/>
  <c r="Y32" s="1"/>
  <c r="Z34"/>
  <c r="Y34" s="1"/>
  <c r="Z31"/>
  <c r="Z37" l="1"/>
  <c r="Y31"/>
  <c r="Y37" l="1"/>
  <c r="B137" i="35" l="1"/>
  <c r="B19" i="36"/>
  <c r="R27" i="35" l="1"/>
  <c r="R39" s="1"/>
  <c r="R50" s="1"/>
  <c r="X5" i="56" s="1"/>
  <c r="I27" i="35"/>
  <c r="I39" s="1"/>
  <c r="I50" s="1"/>
  <c r="O5" i="56" s="1"/>
  <c r="F27" i="35"/>
  <c r="F39" s="1"/>
  <c r="F50" s="1"/>
  <c r="L5" i="56" s="1"/>
  <c r="S27" i="35"/>
  <c r="S39" s="1"/>
  <c r="S50" s="1"/>
  <c r="Y5" i="56" s="1"/>
  <c r="O27" i="35"/>
  <c r="O39" s="1"/>
  <c r="O50" s="1"/>
  <c r="U5" i="56" s="1"/>
  <c r="L27" i="35"/>
  <c r="L39" s="1"/>
  <c r="L50" s="1"/>
  <c r="R5" i="56" s="1"/>
  <c r="U27" i="35"/>
  <c r="U39" s="1"/>
  <c r="U50" s="1"/>
  <c r="AA5" i="56" s="1"/>
  <c r="T27" i="35"/>
  <c r="T39" s="1"/>
  <c r="T50" s="1"/>
  <c r="Z5" i="56" s="1"/>
  <c r="K27" i="35"/>
  <c r="K39" s="1"/>
  <c r="K50" s="1"/>
  <c r="Q5" i="56" s="1"/>
  <c r="E27" i="35"/>
  <c r="M27"/>
  <c r="M39" s="1"/>
  <c r="M50" s="1"/>
  <c r="S5" i="56" s="1"/>
  <c r="X27" i="35"/>
  <c r="X39" s="1"/>
  <c r="X50" s="1"/>
  <c r="AD5" i="56" s="1"/>
  <c r="Q27" i="35"/>
  <c r="Q39" s="1"/>
  <c r="Q50" s="1"/>
  <c r="W5" i="56" s="1"/>
  <c r="W27" i="35"/>
  <c r="W39" s="1"/>
  <c r="W50" s="1"/>
  <c r="AC5" i="56" s="1"/>
  <c r="P27" i="35"/>
  <c r="P39" s="1"/>
  <c r="P50" s="1"/>
  <c r="V5" i="56" s="1"/>
  <c r="H27" i="35"/>
  <c r="H39" s="1"/>
  <c r="H50" s="1"/>
  <c r="N5" i="56" s="1"/>
  <c r="N27" i="35"/>
  <c r="N39" s="1"/>
  <c r="N50" s="1"/>
  <c r="T5" i="56" s="1"/>
  <c r="J27" i="35"/>
  <c r="J39" s="1"/>
  <c r="J50" s="1"/>
  <c r="P5" i="56" s="1"/>
  <c r="G27" i="35"/>
  <c r="G39" s="1"/>
  <c r="G50" s="1"/>
  <c r="M5" i="56" s="1"/>
  <c r="V27" i="35"/>
  <c r="V39" s="1"/>
  <c r="V50" s="1"/>
  <c r="AB5" i="56" s="1"/>
  <c r="T35" i="36"/>
  <c r="G35"/>
  <c r="W35"/>
  <c r="I35"/>
  <c r="N35"/>
  <c r="P35"/>
  <c r="S35"/>
  <c r="E35"/>
  <c r="U35"/>
  <c r="J35"/>
  <c r="V35"/>
  <c r="H35"/>
  <c r="X35"/>
  <c r="K35"/>
  <c r="F35"/>
  <c r="M35"/>
  <c r="R35"/>
  <c r="L35"/>
  <c r="O35"/>
  <c r="Q35"/>
  <c r="P34"/>
  <c r="R34"/>
  <c r="S34"/>
  <c r="I34"/>
  <c r="J34"/>
  <c r="F34"/>
  <c r="E34"/>
  <c r="H34"/>
  <c r="K34"/>
  <c r="Q34"/>
  <c r="T34"/>
  <c r="G34"/>
  <c r="W34"/>
  <c r="M34"/>
  <c r="V34"/>
  <c r="L34"/>
  <c r="O34"/>
  <c r="U34"/>
  <c r="X34"/>
  <c r="N34"/>
  <c r="J26" i="35"/>
  <c r="J38" s="1"/>
  <c r="J49" s="1"/>
  <c r="P4" i="56" s="1"/>
  <c r="H26" i="35"/>
  <c r="H38" s="1"/>
  <c r="H49" s="1"/>
  <c r="N4" i="56" s="1"/>
  <c r="E26" i="35"/>
  <c r="K26"/>
  <c r="K38" s="1"/>
  <c r="K49" s="1"/>
  <c r="Q4" i="56" s="1"/>
  <c r="N26" i="35"/>
  <c r="N38" s="1"/>
  <c r="N49" s="1"/>
  <c r="T4" i="56" s="1"/>
  <c r="R26" i="35"/>
  <c r="R38" s="1"/>
  <c r="R49" s="1"/>
  <c r="X4" i="56" s="1"/>
  <c r="X26" i="35"/>
  <c r="X38" s="1"/>
  <c r="X49" s="1"/>
  <c r="AD4" i="56" s="1"/>
  <c r="I26" i="35"/>
  <c r="I38" s="1"/>
  <c r="I49" s="1"/>
  <c r="O4" i="56" s="1"/>
  <c r="U26" i="35"/>
  <c r="U38" s="1"/>
  <c r="U49" s="1"/>
  <c r="AA4" i="56" s="1"/>
  <c r="W26" i="35"/>
  <c r="W38" s="1"/>
  <c r="W49" s="1"/>
  <c r="AC4" i="56" s="1"/>
  <c r="M26" i="35"/>
  <c r="M38" s="1"/>
  <c r="M49" s="1"/>
  <c r="S4" i="56" s="1"/>
  <c r="L26" i="35"/>
  <c r="L38" s="1"/>
  <c r="L49" s="1"/>
  <c r="R4" i="56" s="1"/>
  <c r="Q26" i="35"/>
  <c r="Q38" s="1"/>
  <c r="Q49" s="1"/>
  <c r="W4" i="56" s="1"/>
  <c r="S26" i="35"/>
  <c r="S38" s="1"/>
  <c r="S49" s="1"/>
  <c r="Y4" i="56" s="1"/>
  <c r="G26" i="35"/>
  <c r="G38" s="1"/>
  <c r="G49" s="1"/>
  <c r="M4" i="56" s="1"/>
  <c r="F26" i="35"/>
  <c r="F38" s="1"/>
  <c r="F49" s="1"/>
  <c r="L4" i="56" s="1"/>
  <c r="T26" i="35"/>
  <c r="T38" s="1"/>
  <c r="T49" s="1"/>
  <c r="Z4" i="56" s="1"/>
  <c r="O26" i="35"/>
  <c r="O38" s="1"/>
  <c r="O49" s="1"/>
  <c r="U4" i="56" s="1"/>
  <c r="P26" i="35"/>
  <c r="P38" s="1"/>
  <c r="P49" s="1"/>
  <c r="V4" i="56" s="1"/>
  <c r="V26" i="35"/>
  <c r="V38" s="1"/>
  <c r="V49" s="1"/>
  <c r="AB4" i="56" s="1"/>
  <c r="S32" i="36"/>
  <c r="J32"/>
  <c r="E32"/>
  <c r="P32"/>
  <c r="U32"/>
  <c r="F32"/>
  <c r="L32"/>
  <c r="K32"/>
  <c r="R32"/>
  <c r="H32"/>
  <c r="G32"/>
  <c r="W32"/>
  <c r="N32"/>
  <c r="Q32"/>
  <c r="T32"/>
  <c r="O32"/>
  <c r="V32"/>
  <c r="I32"/>
  <c r="M32"/>
  <c r="X32"/>
  <c r="O33"/>
  <c r="G33"/>
  <c r="V33"/>
  <c r="L33"/>
  <c r="I33"/>
  <c r="K33"/>
  <c r="R33"/>
  <c r="X33"/>
  <c r="W33"/>
  <c r="Q33"/>
  <c r="S33"/>
  <c r="J33"/>
  <c r="E33"/>
  <c r="P33"/>
  <c r="U33"/>
  <c r="M33"/>
  <c r="H33"/>
  <c r="F33"/>
  <c r="N33"/>
  <c r="T33"/>
  <c r="M28" i="35"/>
  <c r="M40" s="1"/>
  <c r="M51" s="1"/>
  <c r="S6" i="56" s="1"/>
  <c r="W28" i="35"/>
  <c r="W40" s="1"/>
  <c r="W51" s="1"/>
  <c r="AC6" i="56" s="1"/>
  <c r="T28" i="35"/>
  <c r="T40" s="1"/>
  <c r="T51" s="1"/>
  <c r="Z6" i="56" s="1"/>
  <c r="K28" i="35"/>
  <c r="K40" s="1"/>
  <c r="K51" s="1"/>
  <c r="Q6" i="56" s="1"/>
  <c r="J28" i="35"/>
  <c r="J40" s="1"/>
  <c r="J51" s="1"/>
  <c r="P6" i="56" s="1"/>
  <c r="V28" i="35"/>
  <c r="V40" s="1"/>
  <c r="V51" s="1"/>
  <c r="AB6" i="56" s="1"/>
  <c r="O28" i="35"/>
  <c r="O40" s="1"/>
  <c r="O51" s="1"/>
  <c r="U6" i="56" s="1"/>
  <c r="S28" i="35"/>
  <c r="S40" s="1"/>
  <c r="S51" s="1"/>
  <c r="Y6" i="56" s="1"/>
  <c r="X28" i="35"/>
  <c r="X40" s="1"/>
  <c r="X51" s="1"/>
  <c r="AD6" i="56" s="1"/>
  <c r="Q28" i="35"/>
  <c r="Q40" s="1"/>
  <c r="Q51" s="1"/>
  <c r="W6" i="56" s="1"/>
  <c r="E28" i="35"/>
  <c r="N28"/>
  <c r="N40" s="1"/>
  <c r="N51" s="1"/>
  <c r="T6" i="56" s="1"/>
  <c r="H28" i="35"/>
  <c r="H40" s="1"/>
  <c r="H51" s="1"/>
  <c r="N6" i="56" s="1"/>
  <c r="G28" i="35"/>
  <c r="G40" s="1"/>
  <c r="G51" s="1"/>
  <c r="M6" i="56" s="1"/>
  <c r="R28" i="35"/>
  <c r="R40" s="1"/>
  <c r="R51" s="1"/>
  <c r="X6" i="56" s="1"/>
  <c r="I28" i="35"/>
  <c r="I40" s="1"/>
  <c r="I51" s="1"/>
  <c r="O6" i="56" s="1"/>
  <c r="L28" i="35"/>
  <c r="L40" s="1"/>
  <c r="L51" s="1"/>
  <c r="R6" i="56" s="1"/>
  <c r="F28" i="35"/>
  <c r="F40" s="1"/>
  <c r="F51" s="1"/>
  <c r="L6" i="56" s="1"/>
  <c r="U28" i="35"/>
  <c r="U40" s="1"/>
  <c r="U51" s="1"/>
  <c r="AA6" i="56" s="1"/>
  <c r="P28" i="35"/>
  <c r="P40" s="1"/>
  <c r="P51" s="1"/>
  <c r="V6" i="56" s="1"/>
  <c r="S31" i="36"/>
  <c r="J31"/>
  <c r="M31"/>
  <c r="P31"/>
  <c r="Q31"/>
  <c r="O31"/>
  <c r="L31"/>
  <c r="K31"/>
  <c r="R31"/>
  <c r="X31"/>
  <c r="G31"/>
  <c r="W31"/>
  <c r="N31"/>
  <c r="U31"/>
  <c r="T31"/>
  <c r="F31"/>
  <c r="V31"/>
  <c r="E31"/>
  <c r="I31"/>
  <c r="H31"/>
  <c r="G19"/>
  <c r="I19"/>
  <c r="E19"/>
  <c r="F19"/>
  <c r="H19"/>
  <c r="F29" i="35"/>
  <c r="F41" s="1"/>
  <c r="F52" s="1"/>
  <c r="L7" i="56" s="1"/>
  <c r="T29" i="35"/>
  <c r="T41" s="1"/>
  <c r="T52" s="1"/>
  <c r="Z7" i="56" s="1"/>
  <c r="O29" i="35"/>
  <c r="O41" s="1"/>
  <c r="O52" s="1"/>
  <c r="U7" i="56" s="1"/>
  <c r="L29" i="35"/>
  <c r="L41" s="1"/>
  <c r="L52" s="1"/>
  <c r="R7" i="56" s="1"/>
  <c r="P29" i="35"/>
  <c r="P41" s="1"/>
  <c r="P52" s="1"/>
  <c r="V7" i="56" s="1"/>
  <c r="K29" i="35"/>
  <c r="K41" s="1"/>
  <c r="K52" s="1"/>
  <c r="Q7" i="56" s="1"/>
  <c r="X29" i="35"/>
  <c r="X41" s="1"/>
  <c r="X52" s="1"/>
  <c r="AD7" i="56" s="1"/>
  <c r="S29" i="35"/>
  <c r="S41" s="1"/>
  <c r="S52" s="1"/>
  <c r="Y7" i="56" s="1"/>
  <c r="V29" i="35"/>
  <c r="V41" s="1"/>
  <c r="V52" s="1"/>
  <c r="AB7" i="56" s="1"/>
  <c r="G29" i="35"/>
  <c r="G41" s="1"/>
  <c r="G52" s="1"/>
  <c r="M7" i="56" s="1"/>
  <c r="N29" i="35"/>
  <c r="N41" s="1"/>
  <c r="N52" s="1"/>
  <c r="T7" i="56" s="1"/>
  <c r="U29" i="35"/>
  <c r="U41" s="1"/>
  <c r="U52" s="1"/>
  <c r="AA7" i="56" s="1"/>
  <c r="E29" i="35"/>
  <c r="R29"/>
  <c r="R41" s="1"/>
  <c r="R52" s="1"/>
  <c r="X7" i="56" s="1"/>
  <c r="J29" i="35"/>
  <c r="J41" s="1"/>
  <c r="J52" s="1"/>
  <c r="P7" i="56" s="1"/>
  <c r="I29" i="35"/>
  <c r="I41" s="1"/>
  <c r="I52" s="1"/>
  <c r="O7" i="56" s="1"/>
  <c r="W29" i="35"/>
  <c r="W41" s="1"/>
  <c r="W52" s="1"/>
  <c r="AC7" i="56" s="1"/>
  <c r="M29" i="35"/>
  <c r="M41" s="1"/>
  <c r="M52" s="1"/>
  <c r="S7" i="56" s="1"/>
  <c r="H29" i="35"/>
  <c r="H41" s="1"/>
  <c r="H52" s="1"/>
  <c r="N7" i="56" s="1"/>
  <c r="Q29" i="35"/>
  <c r="Q41" s="1"/>
  <c r="Q52" s="1"/>
  <c r="W7" i="56" s="1"/>
  <c r="L25" i="35"/>
  <c r="M25"/>
  <c r="G25"/>
  <c r="I25"/>
  <c r="J25"/>
  <c r="U25"/>
  <c r="O25"/>
  <c r="Q25"/>
  <c r="F25"/>
  <c r="H25"/>
  <c r="P25"/>
  <c r="V25"/>
  <c r="K25"/>
  <c r="R25"/>
  <c r="W25"/>
  <c r="X25"/>
  <c r="E25"/>
  <c r="S25"/>
  <c r="N25"/>
  <c r="T25"/>
  <c r="E37" i="36" l="1"/>
  <c r="I42"/>
  <c r="I52" s="1"/>
  <c r="I74" s="1"/>
  <c r="O9" i="56" s="1"/>
  <c r="I44" i="36"/>
  <c r="I54" s="1"/>
  <c r="I76" s="1"/>
  <c r="O11" i="56" s="1"/>
  <c r="I41" i="36"/>
  <c r="I43"/>
  <c r="I53" s="1"/>
  <c r="I75" s="1"/>
  <c r="O10" i="56" s="1"/>
  <c r="I45" i="36"/>
  <c r="I55" s="1"/>
  <c r="I77" s="1"/>
  <c r="O12" i="56" s="1"/>
  <c r="I23" i="36"/>
  <c r="U37"/>
  <c r="X37"/>
  <c r="O37"/>
  <c r="J37"/>
  <c r="E39" i="35"/>
  <c r="Y27"/>
  <c r="N37"/>
  <c r="N31"/>
  <c r="W31"/>
  <c r="W37"/>
  <c r="P31"/>
  <c r="P37"/>
  <c r="O37"/>
  <c r="O31"/>
  <c r="G37"/>
  <c r="G31"/>
  <c r="E45" i="36"/>
  <c r="E55" s="1"/>
  <c r="E42"/>
  <c r="E52" s="1"/>
  <c r="E43"/>
  <c r="E53" s="1"/>
  <c r="E44"/>
  <c r="E54" s="1"/>
  <c r="E23"/>
  <c r="E24" s="1"/>
  <c r="F24" s="1"/>
  <c r="G24" s="1"/>
  <c r="H24" s="1"/>
  <c r="I24" s="1"/>
  <c r="E41"/>
  <c r="T37"/>
  <c r="L37"/>
  <c r="Y28" i="35"/>
  <c r="E40"/>
  <c r="Y26"/>
  <c r="E38"/>
  <c r="Y25"/>
  <c r="E31"/>
  <c r="E37"/>
  <c r="K37"/>
  <c r="K31"/>
  <c r="F31"/>
  <c r="F37"/>
  <c r="J31"/>
  <c r="J37"/>
  <c r="L31"/>
  <c r="L37"/>
  <c r="Y29"/>
  <c r="E41"/>
  <c r="H45" i="36"/>
  <c r="H55" s="1"/>
  <c r="H77" s="1"/>
  <c r="N12" i="56" s="1"/>
  <c r="H43" i="36"/>
  <c r="H53" s="1"/>
  <c r="H75" s="1"/>
  <c r="N10" i="56" s="1"/>
  <c r="H42" i="36"/>
  <c r="H52" s="1"/>
  <c r="H74" s="1"/>
  <c r="N9" i="56" s="1"/>
  <c r="H44" i="36"/>
  <c r="H54" s="1"/>
  <c r="H76" s="1"/>
  <c r="N11" i="56" s="1"/>
  <c r="H41" i="36"/>
  <c r="H51" s="1"/>
  <c r="H23"/>
  <c r="G45"/>
  <c r="G55" s="1"/>
  <c r="G77" s="1"/>
  <c r="M12" i="56" s="1"/>
  <c r="G23" i="36"/>
  <c r="G41"/>
  <c r="G51" s="1"/>
  <c r="G43"/>
  <c r="G53" s="1"/>
  <c r="G75" s="1"/>
  <c r="M10" i="56" s="1"/>
  <c r="G44" i="36"/>
  <c r="G54" s="1"/>
  <c r="G76" s="1"/>
  <c r="M11" i="56" s="1"/>
  <c r="G42" i="36"/>
  <c r="G52" s="1"/>
  <c r="G74" s="1"/>
  <c r="M9" i="56" s="1"/>
  <c r="V37" i="36"/>
  <c r="N37"/>
  <c r="R37"/>
  <c r="Q37"/>
  <c r="S37"/>
  <c r="S31" i="35"/>
  <c r="S37"/>
  <c r="R31"/>
  <c r="R37"/>
  <c r="H31"/>
  <c r="H37"/>
  <c r="U31"/>
  <c r="U37"/>
  <c r="M31"/>
  <c r="M37"/>
  <c r="I37" i="36"/>
  <c r="G37"/>
  <c r="M37"/>
  <c r="T37" i="35"/>
  <c r="T31"/>
  <c r="X37"/>
  <c r="X31"/>
  <c r="V37"/>
  <c r="V31"/>
  <c r="Q37"/>
  <c r="Q31"/>
  <c r="I31"/>
  <c r="I37"/>
  <c r="F44" i="36"/>
  <c r="F54" s="1"/>
  <c r="F76" s="1"/>
  <c r="L11" i="56" s="1"/>
  <c r="F41" i="36"/>
  <c r="F51" s="1"/>
  <c r="F45"/>
  <c r="F55" s="1"/>
  <c r="F77" s="1"/>
  <c r="L12" i="56" s="1"/>
  <c r="F42" i="36"/>
  <c r="F52" s="1"/>
  <c r="F74" s="1"/>
  <c r="L9" i="56" s="1"/>
  <c r="F43" i="36"/>
  <c r="F53" s="1"/>
  <c r="F75" s="1"/>
  <c r="L10" i="56" s="1"/>
  <c r="F23" i="36"/>
  <c r="H37"/>
  <c r="F37"/>
  <c r="W37"/>
  <c r="K37"/>
  <c r="P37"/>
  <c r="Y31" i="35" l="1"/>
  <c r="H73" i="36"/>
  <c r="H57"/>
  <c r="I48" i="35"/>
  <c r="I43"/>
  <c r="I138" s="1"/>
  <c r="G73" i="36"/>
  <c r="G57"/>
  <c r="H43" i="35"/>
  <c r="H138" s="1"/>
  <c r="H48"/>
  <c r="E52"/>
  <c r="Y41"/>
  <c r="X48"/>
  <c r="X43"/>
  <c r="X138" s="1"/>
  <c r="V43"/>
  <c r="V138" s="1"/>
  <c r="V48"/>
  <c r="T43"/>
  <c r="T138" s="1"/>
  <c r="T48"/>
  <c r="K43"/>
  <c r="K138" s="1"/>
  <c r="K48"/>
  <c r="Y38"/>
  <c r="E49"/>
  <c r="E63" i="36"/>
  <c r="F63" s="1"/>
  <c r="G63" s="1"/>
  <c r="H63" s="1"/>
  <c r="I63" s="1"/>
  <c r="E75"/>
  <c r="K10" i="56" s="1"/>
  <c r="G43" i="35"/>
  <c r="G138" s="1"/>
  <c r="G48"/>
  <c r="N48"/>
  <c r="N43"/>
  <c r="N138" s="1"/>
  <c r="G47" i="36"/>
  <c r="H47"/>
  <c r="M48" i="35"/>
  <c r="M43"/>
  <c r="M138" s="1"/>
  <c r="S43"/>
  <c r="S138" s="1"/>
  <c r="S48"/>
  <c r="J43"/>
  <c r="J138" s="1"/>
  <c r="J48"/>
  <c r="E64" i="36"/>
  <c r="F64" s="1"/>
  <c r="G64" s="1"/>
  <c r="H64" s="1"/>
  <c r="I64" s="1"/>
  <c r="E76"/>
  <c r="K11" i="56" s="1"/>
  <c r="P48" i="35"/>
  <c r="P43"/>
  <c r="P138" s="1"/>
  <c r="Q48"/>
  <c r="Q43"/>
  <c r="Q138" s="1"/>
  <c r="E51"/>
  <c r="Y40"/>
  <c r="E65" i="36"/>
  <c r="F65" s="1"/>
  <c r="G65" s="1"/>
  <c r="H65" s="1"/>
  <c r="I65" s="1"/>
  <c r="E77"/>
  <c r="K12" i="56" s="1"/>
  <c r="O48" i="35"/>
  <c r="O43"/>
  <c r="O138" s="1"/>
  <c r="E50"/>
  <c r="Y39"/>
  <c r="F73" i="36"/>
  <c r="F57"/>
  <c r="U48" i="35"/>
  <c r="U43"/>
  <c r="U138" s="1"/>
  <c r="R48"/>
  <c r="R43"/>
  <c r="R138" s="1"/>
  <c r="L43"/>
  <c r="L138" s="1"/>
  <c r="L48"/>
  <c r="F43"/>
  <c r="F138" s="1"/>
  <c r="F48"/>
  <c r="E43"/>
  <c r="E48"/>
  <c r="Y37"/>
  <c r="E51" i="36"/>
  <c r="E47"/>
  <c r="E74"/>
  <c r="K9" i="56" s="1"/>
  <c r="E62" i="36"/>
  <c r="F62" s="1"/>
  <c r="G62" s="1"/>
  <c r="H62" s="1"/>
  <c r="I62" s="1"/>
  <c r="W48" i="35"/>
  <c r="W43"/>
  <c r="W138" s="1"/>
  <c r="I47" i="36"/>
  <c r="F47"/>
  <c r="I51"/>
  <c r="Q140" i="35" l="1"/>
  <c r="Q145"/>
  <c r="Q146" s="1"/>
  <c r="V19" i="36"/>
  <c r="V145" i="35"/>
  <c r="V146" s="1"/>
  <c r="V140"/>
  <c r="G100" i="36"/>
  <c r="G96"/>
  <c r="G103"/>
  <c r="G93"/>
  <c r="G86"/>
  <c r="G115"/>
  <c r="G111"/>
  <c r="G106"/>
  <c r="G104"/>
  <c r="G85"/>
  <c r="G122" s="1"/>
  <c r="M8" i="56"/>
  <c r="G113" i="36"/>
  <c r="G92"/>
  <c r="G88"/>
  <c r="G98"/>
  <c r="G95"/>
  <c r="G114"/>
  <c r="G97"/>
  <c r="G134" s="1"/>
  <c r="G112"/>
  <c r="G94"/>
  <c r="G131" s="1"/>
  <c r="G89"/>
  <c r="G90"/>
  <c r="G91"/>
  <c r="G105"/>
  <c r="G108"/>
  <c r="G79"/>
  <c r="G99"/>
  <c r="G136" s="1"/>
  <c r="G116"/>
  <c r="G101"/>
  <c r="G138" s="1"/>
  <c r="G102"/>
  <c r="G87"/>
  <c r="G109"/>
  <c r="G107"/>
  <c r="G110"/>
  <c r="F145" i="35"/>
  <c r="F146" s="1"/>
  <c r="F140"/>
  <c r="K19" i="36"/>
  <c r="R76" i="35"/>
  <c r="R73"/>
  <c r="R71"/>
  <c r="R70"/>
  <c r="R86"/>
  <c r="R75"/>
  <c r="R54"/>
  <c r="R67"/>
  <c r="X3" i="56"/>
  <c r="R77" i="35"/>
  <c r="R69"/>
  <c r="R88"/>
  <c r="R72"/>
  <c r="R85"/>
  <c r="R64"/>
  <c r="R63"/>
  <c r="R74"/>
  <c r="R65"/>
  <c r="R90"/>
  <c r="R60"/>
  <c r="R97" s="1"/>
  <c r="R84"/>
  <c r="R68"/>
  <c r="R62"/>
  <c r="R87"/>
  <c r="R79"/>
  <c r="R78"/>
  <c r="R115" s="1"/>
  <c r="R91"/>
  <c r="R80"/>
  <c r="R83"/>
  <c r="R81"/>
  <c r="R89"/>
  <c r="R61"/>
  <c r="R98" s="1"/>
  <c r="R66"/>
  <c r="R82"/>
  <c r="L8" i="56"/>
  <c r="F93" i="36"/>
  <c r="F112"/>
  <c r="F111"/>
  <c r="F109"/>
  <c r="F108"/>
  <c r="F106"/>
  <c r="F99"/>
  <c r="F114"/>
  <c r="F97"/>
  <c r="F79"/>
  <c r="F90"/>
  <c r="F94"/>
  <c r="F110"/>
  <c r="F89"/>
  <c r="F95"/>
  <c r="F113"/>
  <c r="F107"/>
  <c r="F87"/>
  <c r="F98"/>
  <c r="F88"/>
  <c r="F102"/>
  <c r="F96"/>
  <c r="F85"/>
  <c r="F122" s="1"/>
  <c r="F91"/>
  <c r="F115"/>
  <c r="F101"/>
  <c r="F100"/>
  <c r="F137" s="1"/>
  <c r="F86"/>
  <c r="F104"/>
  <c r="F116"/>
  <c r="F103"/>
  <c r="F92"/>
  <c r="F129" s="1"/>
  <c r="F105"/>
  <c r="O64" i="35"/>
  <c r="O89"/>
  <c r="O72"/>
  <c r="O91"/>
  <c r="O76"/>
  <c r="O84"/>
  <c r="O74"/>
  <c r="O87"/>
  <c r="O65"/>
  <c r="O102" s="1"/>
  <c r="O88"/>
  <c r="O63"/>
  <c r="O68"/>
  <c r="O85"/>
  <c r="O66"/>
  <c r="O82"/>
  <c r="O81"/>
  <c r="U3" i="56"/>
  <c r="O69" i="35"/>
  <c r="O54"/>
  <c r="O79"/>
  <c r="O62"/>
  <c r="O77"/>
  <c r="O71"/>
  <c r="O60"/>
  <c r="O97" s="1"/>
  <c r="O80"/>
  <c r="O78"/>
  <c r="O83"/>
  <c r="O120" s="1"/>
  <c r="O67"/>
  <c r="O70"/>
  <c r="O73"/>
  <c r="O75"/>
  <c r="O112" s="1"/>
  <c r="O61"/>
  <c r="O98" s="1"/>
  <c r="O90"/>
  <c r="O86"/>
  <c r="K6" i="56"/>
  <c r="Y51" i="35"/>
  <c r="AE6" i="56" s="1"/>
  <c r="P64" i="35"/>
  <c r="P71"/>
  <c r="P78"/>
  <c r="P63"/>
  <c r="P73"/>
  <c r="P88"/>
  <c r="P85"/>
  <c r="P77"/>
  <c r="V3" i="56"/>
  <c r="P54" i="35"/>
  <c r="P79"/>
  <c r="P116" s="1"/>
  <c r="P72"/>
  <c r="P62"/>
  <c r="P75"/>
  <c r="P60"/>
  <c r="P97" s="1"/>
  <c r="P61"/>
  <c r="P86"/>
  <c r="P84"/>
  <c r="P76"/>
  <c r="P87"/>
  <c r="P67"/>
  <c r="P69"/>
  <c r="P65"/>
  <c r="P66"/>
  <c r="P82"/>
  <c r="P91"/>
  <c r="P83"/>
  <c r="P70"/>
  <c r="P68"/>
  <c r="P81"/>
  <c r="P80"/>
  <c r="P117" s="1"/>
  <c r="P90"/>
  <c r="P89"/>
  <c r="P74"/>
  <c r="J140"/>
  <c r="J145"/>
  <c r="J146" s="1"/>
  <c r="O19" i="36"/>
  <c r="M66" i="35"/>
  <c r="M82"/>
  <c r="M83"/>
  <c r="M80"/>
  <c r="M78"/>
  <c r="M70"/>
  <c r="M72"/>
  <c r="M84"/>
  <c r="M90"/>
  <c r="M68"/>
  <c r="M75"/>
  <c r="M77"/>
  <c r="M62"/>
  <c r="M64"/>
  <c r="M87"/>
  <c r="M69"/>
  <c r="M73"/>
  <c r="M89"/>
  <c r="M54"/>
  <c r="M79"/>
  <c r="M74"/>
  <c r="M111" s="1"/>
  <c r="S3" i="56"/>
  <c r="M81" i="35"/>
  <c r="M86"/>
  <c r="M67"/>
  <c r="M104" s="1"/>
  <c r="M88"/>
  <c r="M71"/>
  <c r="M65"/>
  <c r="M91"/>
  <c r="M128" s="1"/>
  <c r="M76"/>
  <c r="M85"/>
  <c r="M61"/>
  <c r="M63"/>
  <c r="M100" s="1"/>
  <c r="M60"/>
  <c r="M97" s="1"/>
  <c r="N145"/>
  <c r="N146" s="1"/>
  <c r="N140"/>
  <c r="S19" i="36"/>
  <c r="K79" i="35"/>
  <c r="K72"/>
  <c r="K77"/>
  <c r="K69"/>
  <c r="K82"/>
  <c r="K83"/>
  <c r="K90"/>
  <c r="K64"/>
  <c r="K86"/>
  <c r="K80"/>
  <c r="K89"/>
  <c r="K54"/>
  <c r="K84"/>
  <c r="K88"/>
  <c r="K63"/>
  <c r="K66"/>
  <c r="K73"/>
  <c r="K74"/>
  <c r="K75"/>
  <c r="K76"/>
  <c r="K81"/>
  <c r="K65"/>
  <c r="K61"/>
  <c r="K78"/>
  <c r="K70"/>
  <c r="K60"/>
  <c r="K97" s="1"/>
  <c r="Q3" i="56"/>
  <c r="K91" i="35"/>
  <c r="K87"/>
  <c r="K124" s="1"/>
  <c r="K68"/>
  <c r="K71"/>
  <c r="K62"/>
  <c r="K67"/>
  <c r="K85"/>
  <c r="V79"/>
  <c r="V88"/>
  <c r="V54"/>
  <c r="V71"/>
  <c r="V85"/>
  <c r="V60"/>
  <c r="V97" s="1"/>
  <c r="V86"/>
  <c r="V80"/>
  <c r="V69"/>
  <c r="V63"/>
  <c r="V72"/>
  <c r="V77"/>
  <c r="V64"/>
  <c r="V73"/>
  <c r="V74"/>
  <c r="AB3" i="56"/>
  <c r="V83" i="35"/>
  <c r="V78"/>
  <c r="V84"/>
  <c r="V75"/>
  <c r="V89"/>
  <c r="V62"/>
  <c r="V90"/>
  <c r="V76"/>
  <c r="V68"/>
  <c r="V91"/>
  <c r="V70"/>
  <c r="V87"/>
  <c r="V82"/>
  <c r="V66"/>
  <c r="V67"/>
  <c r="V61"/>
  <c r="V81"/>
  <c r="V65"/>
  <c r="I73" i="36"/>
  <c r="I57"/>
  <c r="W82" i="35"/>
  <c r="W72"/>
  <c r="W60"/>
  <c r="W97" s="1"/>
  <c r="W66"/>
  <c r="W91"/>
  <c r="W54"/>
  <c r="W81"/>
  <c r="W85"/>
  <c r="W77"/>
  <c r="W88"/>
  <c r="W64"/>
  <c r="W84"/>
  <c r="W65"/>
  <c r="W75"/>
  <c r="W90"/>
  <c r="W80"/>
  <c r="W76"/>
  <c r="W78"/>
  <c r="W69"/>
  <c r="W73"/>
  <c r="W70"/>
  <c r="AC3" i="56"/>
  <c r="W79" i="35"/>
  <c r="W89"/>
  <c r="W67"/>
  <c r="W68"/>
  <c r="W63"/>
  <c r="W71"/>
  <c r="W87"/>
  <c r="W83"/>
  <c r="W61"/>
  <c r="W98" s="1"/>
  <c r="W74"/>
  <c r="W111" s="1"/>
  <c r="W62"/>
  <c r="W86"/>
  <c r="E57" i="36"/>
  <c r="E61"/>
  <c r="E73"/>
  <c r="F66" i="35"/>
  <c r="F83"/>
  <c r="F80"/>
  <c r="F60"/>
  <c r="F97" s="1"/>
  <c r="F61"/>
  <c r="L3" i="56"/>
  <c r="F82" i="35"/>
  <c r="F76"/>
  <c r="F81"/>
  <c r="F91"/>
  <c r="F75"/>
  <c r="F65"/>
  <c r="F62"/>
  <c r="F99" s="1"/>
  <c r="F63"/>
  <c r="F90"/>
  <c r="F69"/>
  <c r="F72"/>
  <c r="F86"/>
  <c r="F87"/>
  <c r="F64"/>
  <c r="F67"/>
  <c r="F88"/>
  <c r="F71"/>
  <c r="F85"/>
  <c r="F84"/>
  <c r="F68"/>
  <c r="F54"/>
  <c r="F89"/>
  <c r="F79"/>
  <c r="F70"/>
  <c r="F74"/>
  <c r="F77"/>
  <c r="F114" s="1"/>
  <c r="F73"/>
  <c r="F110" s="1"/>
  <c r="F78"/>
  <c r="R145"/>
  <c r="R146" s="1"/>
  <c r="R140"/>
  <c r="W19" i="36"/>
  <c r="O145" i="35"/>
  <c r="O146" s="1"/>
  <c r="O140"/>
  <c r="T19" i="36"/>
  <c r="P145" i="35"/>
  <c r="P146" s="1"/>
  <c r="P140"/>
  <c r="U19" i="36"/>
  <c r="J67" i="35"/>
  <c r="J80"/>
  <c r="J89"/>
  <c r="J64"/>
  <c r="J86"/>
  <c r="J63"/>
  <c r="J72"/>
  <c r="J65"/>
  <c r="P3" i="56"/>
  <c r="J70" i="35"/>
  <c r="J54"/>
  <c r="J69"/>
  <c r="J84"/>
  <c r="J73"/>
  <c r="J68"/>
  <c r="J77"/>
  <c r="J60"/>
  <c r="J97" s="1"/>
  <c r="J76"/>
  <c r="J87"/>
  <c r="J71"/>
  <c r="J74"/>
  <c r="J81"/>
  <c r="J118" s="1"/>
  <c r="J83"/>
  <c r="J61"/>
  <c r="J79"/>
  <c r="J88"/>
  <c r="J78"/>
  <c r="J90"/>
  <c r="J82"/>
  <c r="J62"/>
  <c r="J66"/>
  <c r="J75"/>
  <c r="J85"/>
  <c r="J122" s="1"/>
  <c r="J91"/>
  <c r="M145"/>
  <c r="M146" s="1"/>
  <c r="M140"/>
  <c r="R19" i="36"/>
  <c r="G140" i="35"/>
  <c r="G145"/>
  <c r="G146" s="1"/>
  <c r="L19" i="36"/>
  <c r="T145" i="35"/>
  <c r="T146" s="1"/>
  <c r="T140"/>
  <c r="X75"/>
  <c r="X81"/>
  <c r="X87"/>
  <c r="X73"/>
  <c r="X74"/>
  <c r="X78"/>
  <c r="X67"/>
  <c r="X83"/>
  <c r="X85"/>
  <c r="X62"/>
  <c r="X88"/>
  <c r="X91"/>
  <c r="X80"/>
  <c r="X61"/>
  <c r="X65"/>
  <c r="X82"/>
  <c r="AD3" i="56"/>
  <c r="X64" i="35"/>
  <c r="X89"/>
  <c r="X54"/>
  <c r="X66"/>
  <c r="X79"/>
  <c r="X116" s="1"/>
  <c r="X70"/>
  <c r="X71"/>
  <c r="X69"/>
  <c r="X76"/>
  <c r="X90"/>
  <c r="X86"/>
  <c r="X84"/>
  <c r="X72"/>
  <c r="X60"/>
  <c r="X97" s="1"/>
  <c r="X68"/>
  <c r="X77"/>
  <c r="X63"/>
  <c r="X100" s="1"/>
  <c r="H140"/>
  <c r="H145"/>
  <c r="H146" s="1"/>
  <c r="M19" i="36"/>
  <c r="I69" i="35"/>
  <c r="I83"/>
  <c r="I76"/>
  <c r="I74"/>
  <c r="I63"/>
  <c r="I65"/>
  <c r="I80"/>
  <c r="I73"/>
  <c r="I68"/>
  <c r="I89"/>
  <c r="I75"/>
  <c r="I84"/>
  <c r="I87"/>
  <c r="I60"/>
  <c r="I97" s="1"/>
  <c r="I54"/>
  <c r="I78"/>
  <c r="I61"/>
  <c r="I77"/>
  <c r="I72"/>
  <c r="I88"/>
  <c r="I85"/>
  <c r="I81"/>
  <c r="I66"/>
  <c r="I91"/>
  <c r="I86"/>
  <c r="I90"/>
  <c r="I127" s="1"/>
  <c r="I64"/>
  <c r="I70"/>
  <c r="O3" i="56"/>
  <c r="I62" i="35"/>
  <c r="I82"/>
  <c r="I79"/>
  <c r="I116" s="1"/>
  <c r="I67"/>
  <c r="I71"/>
  <c r="K3" i="56"/>
  <c r="E85" i="35"/>
  <c r="E60"/>
  <c r="E97" s="1"/>
  <c r="E82"/>
  <c r="E73"/>
  <c r="E86"/>
  <c r="E74"/>
  <c r="Y48"/>
  <c r="E66"/>
  <c r="E76"/>
  <c r="E67"/>
  <c r="E84"/>
  <c r="E80"/>
  <c r="E72"/>
  <c r="E77"/>
  <c r="E54"/>
  <c r="E62"/>
  <c r="E83"/>
  <c r="E68"/>
  <c r="E105" s="1"/>
  <c r="E71"/>
  <c r="E70"/>
  <c r="E75"/>
  <c r="E87"/>
  <c r="E81"/>
  <c r="E64"/>
  <c r="E79"/>
  <c r="E78"/>
  <c r="E115" s="1"/>
  <c r="E63"/>
  <c r="E65"/>
  <c r="E91"/>
  <c r="E69"/>
  <c r="E106" s="1"/>
  <c r="E89"/>
  <c r="E90"/>
  <c r="E61"/>
  <c r="E88"/>
  <c r="L60"/>
  <c r="L97" s="1"/>
  <c r="L73"/>
  <c r="L54"/>
  <c r="L89"/>
  <c r="L79"/>
  <c r="L77"/>
  <c r="L88"/>
  <c r="L87"/>
  <c r="L71"/>
  <c r="L83"/>
  <c r="L69"/>
  <c r="L81"/>
  <c r="L62"/>
  <c r="L72"/>
  <c r="L91"/>
  <c r="R3" i="56"/>
  <c r="L86" i="35"/>
  <c r="L74"/>
  <c r="L111" s="1"/>
  <c r="L63"/>
  <c r="L70"/>
  <c r="L65"/>
  <c r="L90"/>
  <c r="L85"/>
  <c r="L78"/>
  <c r="L68"/>
  <c r="L61"/>
  <c r="L75"/>
  <c r="L64"/>
  <c r="L76"/>
  <c r="L66"/>
  <c r="L82"/>
  <c r="L67"/>
  <c r="L80"/>
  <c r="L117" s="1"/>
  <c r="L84"/>
  <c r="L121" s="1"/>
  <c r="U140"/>
  <c r="U145"/>
  <c r="U146" s="1"/>
  <c r="S64"/>
  <c r="S88"/>
  <c r="S66"/>
  <c r="S78"/>
  <c r="S84"/>
  <c r="S63"/>
  <c r="S81"/>
  <c r="S75"/>
  <c r="S87"/>
  <c r="S65"/>
  <c r="Y3" i="56"/>
  <c r="S60" i="35"/>
  <c r="S97" s="1"/>
  <c r="S54"/>
  <c r="S91"/>
  <c r="S85"/>
  <c r="S70"/>
  <c r="S69"/>
  <c r="S77"/>
  <c r="S79"/>
  <c r="S67"/>
  <c r="S73"/>
  <c r="S83"/>
  <c r="S82"/>
  <c r="S119" s="1"/>
  <c r="S62"/>
  <c r="S71"/>
  <c r="S74"/>
  <c r="S86"/>
  <c r="S123" s="1"/>
  <c r="S90"/>
  <c r="S80"/>
  <c r="S72"/>
  <c r="S61"/>
  <c r="S89"/>
  <c r="S76"/>
  <c r="S68"/>
  <c r="T3" i="56"/>
  <c r="N87" i="35"/>
  <c r="N80"/>
  <c r="N76"/>
  <c r="N60"/>
  <c r="N97" s="1"/>
  <c r="N66"/>
  <c r="N88"/>
  <c r="N77"/>
  <c r="N67"/>
  <c r="N86"/>
  <c r="N75"/>
  <c r="N78"/>
  <c r="N65"/>
  <c r="N64"/>
  <c r="N70"/>
  <c r="N84"/>
  <c r="N82"/>
  <c r="N91"/>
  <c r="N90"/>
  <c r="N73"/>
  <c r="N79"/>
  <c r="N81"/>
  <c r="N71"/>
  <c r="N108" s="1"/>
  <c r="N62"/>
  <c r="N69"/>
  <c r="N63"/>
  <c r="N72"/>
  <c r="N68"/>
  <c r="N61"/>
  <c r="N98" s="1"/>
  <c r="N89"/>
  <c r="N85"/>
  <c r="N54"/>
  <c r="N74"/>
  <c r="N83"/>
  <c r="K145"/>
  <c r="K146" s="1"/>
  <c r="K140"/>
  <c r="P19" i="36"/>
  <c r="K7" i="56"/>
  <c r="Y52" i="35"/>
  <c r="AE7" i="56" s="1"/>
  <c r="N8"/>
  <c r="H113" i="36"/>
  <c r="H96"/>
  <c r="H79"/>
  <c r="H86"/>
  <c r="H98"/>
  <c r="H99"/>
  <c r="H94"/>
  <c r="H112"/>
  <c r="H115"/>
  <c r="H107"/>
  <c r="H108"/>
  <c r="H97"/>
  <c r="H114"/>
  <c r="H87"/>
  <c r="H102"/>
  <c r="H100"/>
  <c r="H104"/>
  <c r="H105"/>
  <c r="H91"/>
  <c r="H95"/>
  <c r="H106"/>
  <c r="H88"/>
  <c r="H125" s="1"/>
  <c r="H101"/>
  <c r="H103"/>
  <c r="H92"/>
  <c r="H109"/>
  <c r="H90"/>
  <c r="H116"/>
  <c r="H110"/>
  <c r="H93"/>
  <c r="H111"/>
  <c r="H89"/>
  <c r="H85"/>
  <c r="H122" s="1"/>
  <c r="W145" i="35"/>
  <c r="W146" s="1"/>
  <c r="W140"/>
  <c r="E138"/>
  <c r="Y43"/>
  <c r="L140"/>
  <c r="L145"/>
  <c r="L146" s="1"/>
  <c r="Q19" i="36"/>
  <c r="U65" i="35"/>
  <c r="U79"/>
  <c r="U61"/>
  <c r="U73"/>
  <c r="U82"/>
  <c r="U89"/>
  <c r="U62"/>
  <c r="U60"/>
  <c r="U97" s="1"/>
  <c r="U88"/>
  <c r="U75"/>
  <c r="U63"/>
  <c r="U100" s="1"/>
  <c r="U90"/>
  <c r="U74"/>
  <c r="U83"/>
  <c r="U91"/>
  <c r="U72"/>
  <c r="U80"/>
  <c r="U69"/>
  <c r="U86"/>
  <c r="U76"/>
  <c r="AA3" i="56"/>
  <c r="U77" i="35"/>
  <c r="U66"/>
  <c r="U84"/>
  <c r="U87"/>
  <c r="U67"/>
  <c r="U54"/>
  <c r="U64"/>
  <c r="U68"/>
  <c r="U85"/>
  <c r="U78"/>
  <c r="U81"/>
  <c r="U71"/>
  <c r="U70"/>
  <c r="U107" s="1"/>
  <c r="Y50"/>
  <c r="AE5" i="56" s="1"/>
  <c r="K5"/>
  <c r="Q82" i="35"/>
  <c r="Q84"/>
  <c r="Q69"/>
  <c r="Q77"/>
  <c r="Q66"/>
  <c r="Q81"/>
  <c r="Q80"/>
  <c r="Q61"/>
  <c r="Q60"/>
  <c r="Q97" s="1"/>
  <c r="Q89"/>
  <c r="W3" i="56"/>
  <c r="Q79" i="35"/>
  <c r="Q72"/>
  <c r="Q73"/>
  <c r="Q64"/>
  <c r="Q67"/>
  <c r="Q62"/>
  <c r="Q54"/>
  <c r="Q68"/>
  <c r="Q71"/>
  <c r="Q88"/>
  <c r="Q90"/>
  <c r="Q83"/>
  <c r="Q76"/>
  <c r="Q91"/>
  <c r="Q70"/>
  <c r="Q75"/>
  <c r="Q63"/>
  <c r="Q85"/>
  <c r="Q86"/>
  <c r="Q78"/>
  <c r="Q74"/>
  <c r="Q87"/>
  <c r="Q65"/>
  <c r="S140"/>
  <c r="S145"/>
  <c r="S146" s="1"/>
  <c r="X19" i="36"/>
  <c r="G83" i="35"/>
  <c r="G88"/>
  <c r="G62"/>
  <c r="G66"/>
  <c r="G87"/>
  <c r="G71"/>
  <c r="G84"/>
  <c r="G64"/>
  <c r="G68"/>
  <c r="G63"/>
  <c r="G82"/>
  <c r="G61"/>
  <c r="G73"/>
  <c r="G80"/>
  <c r="G54"/>
  <c r="G75"/>
  <c r="G69"/>
  <c r="G106" s="1"/>
  <c r="G77"/>
  <c r="G70"/>
  <c r="G89"/>
  <c r="G85"/>
  <c r="G86"/>
  <c r="G81"/>
  <c r="G78"/>
  <c r="G79"/>
  <c r="M3" i="56"/>
  <c r="G65" i="35"/>
  <c r="G60"/>
  <c r="G97" s="1"/>
  <c r="G91"/>
  <c r="G76"/>
  <c r="G67"/>
  <c r="G74"/>
  <c r="G72"/>
  <c r="G90"/>
  <c r="K4" i="56"/>
  <c r="Y49" i="35"/>
  <c r="AE4" i="56" s="1"/>
  <c r="T65" i="35"/>
  <c r="T81"/>
  <c r="T82"/>
  <c r="T78"/>
  <c r="T66"/>
  <c r="T91"/>
  <c r="T88"/>
  <c r="T72"/>
  <c r="T84"/>
  <c r="T86"/>
  <c r="T79"/>
  <c r="T64"/>
  <c r="T69"/>
  <c r="T71"/>
  <c r="T54"/>
  <c r="T83"/>
  <c r="T77"/>
  <c r="T75"/>
  <c r="T76"/>
  <c r="T89"/>
  <c r="T87"/>
  <c r="T73"/>
  <c r="T90"/>
  <c r="Z3" i="56"/>
  <c r="T68" i="35"/>
  <c r="T85"/>
  <c r="T63"/>
  <c r="T62"/>
  <c r="T80"/>
  <c r="T70"/>
  <c r="T74"/>
  <c r="T67"/>
  <c r="T61"/>
  <c r="T60"/>
  <c r="T97" s="1"/>
  <c r="X140"/>
  <c r="X145"/>
  <c r="X146" s="1"/>
  <c r="H81"/>
  <c r="H73"/>
  <c r="H54"/>
  <c r="H68"/>
  <c r="H74"/>
  <c r="H91"/>
  <c r="H77"/>
  <c r="H71"/>
  <c r="H70"/>
  <c r="H66"/>
  <c r="H69"/>
  <c r="H72"/>
  <c r="H83"/>
  <c r="H82"/>
  <c r="H78"/>
  <c r="H115" s="1"/>
  <c r="H65"/>
  <c r="H89"/>
  <c r="H63"/>
  <c r="H84"/>
  <c r="N3" i="56"/>
  <c r="H87" i="35"/>
  <c r="H75"/>
  <c r="H61"/>
  <c r="H80"/>
  <c r="H85"/>
  <c r="H76"/>
  <c r="H62"/>
  <c r="H88"/>
  <c r="H67"/>
  <c r="H86"/>
  <c r="H90"/>
  <c r="H79"/>
  <c r="H64"/>
  <c r="H60"/>
  <c r="H97" s="1"/>
  <c r="I145"/>
  <c r="I146" s="1"/>
  <c r="I140"/>
  <c r="N19" i="36"/>
  <c r="H151" l="1"/>
  <c r="X126" i="35"/>
  <c r="X127"/>
  <c r="R128"/>
  <c r="C10"/>
  <c r="F104"/>
  <c r="E125"/>
  <c r="V113"/>
  <c r="H109"/>
  <c r="Q127"/>
  <c r="I123"/>
  <c r="J102"/>
  <c r="F142" i="36"/>
  <c r="N109" i="35"/>
  <c r="N115"/>
  <c r="E102"/>
  <c r="O115"/>
  <c r="R119"/>
  <c r="G149" i="36"/>
  <c r="E123" i="35"/>
  <c r="G144" i="36"/>
  <c r="I108" i="35"/>
  <c r="X107"/>
  <c r="F126"/>
  <c r="F101"/>
  <c r="W99"/>
  <c r="W107"/>
  <c r="W102"/>
  <c r="M98"/>
  <c r="M102"/>
  <c r="M106"/>
  <c r="P123"/>
  <c r="R109"/>
  <c r="V110"/>
  <c r="M127"/>
  <c r="P118"/>
  <c r="O110"/>
  <c r="T103"/>
  <c r="H106"/>
  <c r="T100"/>
  <c r="T127"/>
  <c r="T116"/>
  <c r="G104"/>
  <c r="G102"/>
  <c r="G121"/>
  <c r="G99"/>
  <c r="Q111"/>
  <c r="Q100"/>
  <c r="Q104"/>
  <c r="Q98"/>
  <c r="U118"/>
  <c r="U121"/>
  <c r="U113"/>
  <c r="U109"/>
  <c r="U127"/>
  <c r="H126" i="36"/>
  <c r="H153"/>
  <c r="H137"/>
  <c r="H134"/>
  <c r="H123"/>
  <c r="N105" i="35"/>
  <c r="N99"/>
  <c r="N121"/>
  <c r="S105"/>
  <c r="S120"/>
  <c r="S128"/>
  <c r="S100"/>
  <c r="L127"/>
  <c r="L120"/>
  <c r="E107"/>
  <c r="E99"/>
  <c r="E117"/>
  <c r="E110"/>
  <c r="I112"/>
  <c r="X123"/>
  <c r="F121"/>
  <c r="V128"/>
  <c r="P121"/>
  <c r="R102"/>
  <c r="H149" i="36"/>
  <c r="S122" i="35"/>
  <c r="H113"/>
  <c r="U99"/>
  <c r="X125"/>
  <c r="P105"/>
  <c r="H99"/>
  <c r="H140" i="36"/>
  <c r="H132"/>
  <c r="N114" i="35"/>
  <c r="H129" i="36"/>
  <c r="L100" i="35"/>
  <c r="E120"/>
  <c r="E109"/>
  <c r="H126"/>
  <c r="H118"/>
  <c r="T105"/>
  <c r="T121"/>
  <c r="G116"/>
  <c r="Q110"/>
  <c r="U120"/>
  <c r="H146" i="36"/>
  <c r="N126" i="35"/>
  <c r="N118"/>
  <c r="N128"/>
  <c r="S107"/>
  <c r="L124"/>
  <c r="I122"/>
  <c r="I98"/>
  <c r="I100"/>
  <c r="X113"/>
  <c r="X98"/>
  <c r="X115"/>
  <c r="X118"/>
  <c r="J112"/>
  <c r="J127"/>
  <c r="J98"/>
  <c r="J106"/>
  <c r="F108"/>
  <c r="F124"/>
  <c r="F127"/>
  <c r="W108"/>
  <c r="W126"/>
  <c r="W110"/>
  <c r="W117"/>
  <c r="W103"/>
  <c r="V98"/>
  <c r="V124"/>
  <c r="V112"/>
  <c r="V117"/>
  <c r="V108"/>
  <c r="K122"/>
  <c r="K105"/>
  <c r="K111"/>
  <c r="K125"/>
  <c r="K117"/>
  <c r="K120"/>
  <c r="K109"/>
  <c r="M122"/>
  <c r="M108"/>
  <c r="M118"/>
  <c r="M124"/>
  <c r="M120"/>
  <c r="P127"/>
  <c r="P103"/>
  <c r="P124"/>
  <c r="P98"/>
  <c r="P114"/>
  <c r="P100"/>
  <c r="O104"/>
  <c r="O118"/>
  <c r="O128"/>
  <c r="F152" i="36"/>
  <c r="F139"/>
  <c r="F144"/>
  <c r="F147"/>
  <c r="F134"/>
  <c r="F130"/>
  <c r="R117" i="35"/>
  <c r="R124"/>
  <c r="R100"/>
  <c r="R104"/>
  <c r="R107"/>
  <c r="G126" i="36"/>
  <c r="G151"/>
  <c r="G123"/>
  <c r="N110" i="35"/>
  <c r="N113"/>
  <c r="S109"/>
  <c r="S111"/>
  <c r="S114"/>
  <c r="S102"/>
  <c r="S125"/>
  <c r="L103"/>
  <c r="L98"/>
  <c r="L109"/>
  <c r="L114"/>
  <c r="E127"/>
  <c r="E101"/>
  <c r="J125"/>
  <c r="J110"/>
  <c r="F116"/>
  <c r="H127"/>
  <c r="H121"/>
  <c r="T125"/>
  <c r="G107"/>
  <c r="Q108"/>
  <c r="T104"/>
  <c r="G111"/>
  <c r="Q124"/>
  <c r="Q122"/>
  <c r="Q128"/>
  <c r="Q119"/>
  <c r="U108"/>
  <c r="U105"/>
  <c r="U117"/>
  <c r="H147" i="36"/>
  <c r="H143"/>
  <c r="H152"/>
  <c r="N119" i="35"/>
  <c r="N102"/>
  <c r="N104"/>
  <c r="S98"/>
  <c r="S116"/>
  <c r="S118"/>
  <c r="L119"/>
  <c r="L106"/>
  <c r="L125"/>
  <c r="E98"/>
  <c r="E116"/>
  <c r="E112"/>
  <c r="E122"/>
  <c r="X121"/>
  <c r="K104"/>
  <c r="K107"/>
  <c r="F123" i="36"/>
  <c r="F128"/>
  <c r="I104" i="35"/>
  <c r="X109"/>
  <c r="J108"/>
  <c r="J114"/>
  <c r="J101"/>
  <c r="F111"/>
  <c r="F119"/>
  <c r="F117"/>
  <c r="W121"/>
  <c r="K102"/>
  <c r="M112"/>
  <c r="P107"/>
  <c r="P109"/>
  <c r="O116"/>
  <c r="O124"/>
  <c r="F141" i="36"/>
  <c r="G129"/>
  <c r="G141"/>
  <c r="G137"/>
  <c r="H123" i="35"/>
  <c r="H112"/>
  <c r="H100"/>
  <c r="H119"/>
  <c r="H103"/>
  <c r="H128"/>
  <c r="H110"/>
  <c r="T107"/>
  <c r="T122"/>
  <c r="T110"/>
  <c r="T112"/>
  <c r="T128"/>
  <c r="T118"/>
  <c r="G127"/>
  <c r="G113"/>
  <c r="G123"/>
  <c r="G117"/>
  <c r="G100"/>
  <c r="G108"/>
  <c r="G125"/>
  <c r="Q115"/>
  <c r="Q112"/>
  <c r="Q120"/>
  <c r="Q105"/>
  <c r="Q101"/>
  <c r="Q117"/>
  <c r="U115"/>
  <c r="U103"/>
  <c r="U123"/>
  <c r="U128"/>
  <c r="U98"/>
  <c r="N125"/>
  <c r="S113"/>
  <c r="S108"/>
  <c r="I118"/>
  <c r="I114"/>
  <c r="I126"/>
  <c r="I102"/>
  <c r="I120"/>
  <c r="X104"/>
  <c r="X124"/>
  <c r="J119"/>
  <c r="J116"/>
  <c r="J111"/>
  <c r="J121"/>
  <c r="J104"/>
  <c r="F122"/>
  <c r="F106"/>
  <c r="W124"/>
  <c r="W113"/>
  <c r="W128"/>
  <c r="W119"/>
  <c r="V105"/>
  <c r="V126"/>
  <c r="V101"/>
  <c r="V122"/>
  <c r="V116"/>
  <c r="K108"/>
  <c r="K100"/>
  <c r="K114"/>
  <c r="M116"/>
  <c r="M114"/>
  <c r="P126"/>
  <c r="P119"/>
  <c r="O127"/>
  <c r="O107"/>
  <c r="O122"/>
  <c r="O113"/>
  <c r="O101"/>
  <c r="F138" i="36"/>
  <c r="F133"/>
  <c r="F124"/>
  <c r="F126"/>
  <c r="F149"/>
  <c r="R103" i="35"/>
  <c r="R120"/>
  <c r="R116"/>
  <c r="R111"/>
  <c r="R123"/>
  <c r="R113"/>
  <c r="G147" i="36"/>
  <c r="G125"/>
  <c r="G133"/>
  <c r="L149" i="35"/>
  <c r="L147"/>
  <c r="Y138"/>
  <c r="Y150" s="1"/>
  <c r="E145"/>
  <c r="E140"/>
  <c r="Y140" s="1"/>
  <c r="J19" i="36"/>
  <c r="L23"/>
  <c r="L42"/>
  <c r="L52" s="1"/>
  <c r="L74" s="1"/>
  <c r="R9" i="56" s="1"/>
  <c r="L44" i="36"/>
  <c r="L54" s="1"/>
  <c r="L76" s="1"/>
  <c r="R11" i="56" s="1"/>
  <c r="L41" i="36"/>
  <c r="L45"/>
  <c r="L55" s="1"/>
  <c r="L77" s="1"/>
  <c r="R12" i="56" s="1"/>
  <c r="L43" i="36"/>
  <c r="L53" s="1"/>
  <c r="L75" s="1"/>
  <c r="R10" i="56" s="1"/>
  <c r="F61" i="36"/>
  <c r="E67"/>
  <c r="K45"/>
  <c r="K55" s="1"/>
  <c r="K77" s="1"/>
  <c r="Q12" i="56" s="1"/>
  <c r="K43" i="36"/>
  <c r="K53" s="1"/>
  <c r="K75" s="1"/>
  <c r="Q10" i="56" s="1"/>
  <c r="K42" i="36"/>
  <c r="K52" s="1"/>
  <c r="K74" s="1"/>
  <c r="Q9" i="56" s="1"/>
  <c r="K41" i="36"/>
  <c r="K23"/>
  <c r="K44"/>
  <c r="K54" s="1"/>
  <c r="K76" s="1"/>
  <c r="Q11" i="56" s="1"/>
  <c r="P42" i="36"/>
  <c r="P52" s="1"/>
  <c r="P74" s="1"/>
  <c r="V9" i="56" s="1"/>
  <c r="P41" i="36"/>
  <c r="P45"/>
  <c r="P55" s="1"/>
  <c r="P77" s="1"/>
  <c r="V12" i="56" s="1"/>
  <c r="P44" i="36"/>
  <c r="P54" s="1"/>
  <c r="P76" s="1"/>
  <c r="V11" i="56" s="1"/>
  <c r="P23" i="36"/>
  <c r="P43"/>
  <c r="P53" s="1"/>
  <c r="P75" s="1"/>
  <c r="V10" i="56" s="1"/>
  <c r="T149" i="35"/>
  <c r="T147"/>
  <c r="R45" i="36"/>
  <c r="R55" s="1"/>
  <c r="R77" s="1"/>
  <c r="X12" i="56" s="1"/>
  <c r="R44" i="36"/>
  <c r="R54" s="1"/>
  <c r="R76" s="1"/>
  <c r="X11" i="56" s="1"/>
  <c r="R23" i="36"/>
  <c r="R42"/>
  <c r="R52" s="1"/>
  <c r="R74" s="1"/>
  <c r="X9" i="56" s="1"/>
  <c r="R43" i="36"/>
  <c r="R53" s="1"/>
  <c r="R75" s="1"/>
  <c r="X10" i="56" s="1"/>
  <c r="R41" i="36"/>
  <c r="T43"/>
  <c r="T53" s="1"/>
  <c r="T75" s="1"/>
  <c r="Z10" i="56" s="1"/>
  <c r="T44" i="36"/>
  <c r="T54" s="1"/>
  <c r="T76" s="1"/>
  <c r="Z11" i="56" s="1"/>
  <c r="T45" i="36"/>
  <c r="T55" s="1"/>
  <c r="T77" s="1"/>
  <c r="Z12" i="56" s="1"/>
  <c r="T23" i="36"/>
  <c r="T41"/>
  <c r="T42"/>
  <c r="T52" s="1"/>
  <c r="T74" s="1"/>
  <c r="Z9" i="56" s="1"/>
  <c r="E93" i="36"/>
  <c r="E105"/>
  <c r="K8" i="56"/>
  <c r="E99" i="36"/>
  <c r="E116"/>
  <c r="E103"/>
  <c r="E94"/>
  <c r="E115"/>
  <c r="E92"/>
  <c r="E109"/>
  <c r="E108"/>
  <c r="E110"/>
  <c r="E113"/>
  <c r="E89"/>
  <c r="E79"/>
  <c r="E101"/>
  <c r="E112"/>
  <c r="E97"/>
  <c r="E88"/>
  <c r="E90"/>
  <c r="E98"/>
  <c r="E102"/>
  <c r="E95"/>
  <c r="E132" s="1"/>
  <c r="E106"/>
  <c r="E100"/>
  <c r="E86"/>
  <c r="E91"/>
  <c r="E85"/>
  <c r="E122" s="1"/>
  <c r="E111"/>
  <c r="E87"/>
  <c r="E124" s="1"/>
  <c r="E104"/>
  <c r="E107"/>
  <c r="E96"/>
  <c r="E114"/>
  <c r="O43"/>
  <c r="O53" s="1"/>
  <c r="O75" s="1"/>
  <c r="U10" i="56" s="1"/>
  <c r="O45" i="36"/>
  <c r="O55" s="1"/>
  <c r="O77" s="1"/>
  <c r="U12" i="56" s="1"/>
  <c r="O42" i="36"/>
  <c r="O52" s="1"/>
  <c r="O74" s="1"/>
  <c r="U9" i="56" s="1"/>
  <c r="O41" i="36"/>
  <c r="O23"/>
  <c r="O44"/>
  <c r="O54" s="1"/>
  <c r="O76" s="1"/>
  <c r="U11" i="56" s="1"/>
  <c r="N44" i="36"/>
  <c r="N54" s="1"/>
  <c r="N76" s="1"/>
  <c r="T11" i="56" s="1"/>
  <c r="N41" i="36"/>
  <c r="N43"/>
  <c r="N53" s="1"/>
  <c r="N75" s="1"/>
  <c r="T10" i="56" s="1"/>
  <c r="N45" i="36"/>
  <c r="N55" s="1"/>
  <c r="N77" s="1"/>
  <c r="T12" i="56" s="1"/>
  <c r="N23" i="36"/>
  <c r="N42"/>
  <c r="N52" s="1"/>
  <c r="N74" s="1"/>
  <c r="T9" i="56" s="1"/>
  <c r="K149" i="35"/>
  <c r="K147"/>
  <c r="Y85"/>
  <c r="Y73"/>
  <c r="Y79"/>
  <c r="Y65"/>
  <c r="Y77"/>
  <c r="Y60"/>
  <c r="Y97" s="1"/>
  <c r="Y64"/>
  <c r="Y78"/>
  <c r="Y89"/>
  <c r="Y75"/>
  <c r="Y86"/>
  <c r="Y76"/>
  <c r="Y91"/>
  <c r="Y70"/>
  <c r="Y71"/>
  <c r="Y62"/>
  <c r="Y82"/>
  <c r="Y90"/>
  <c r="AE3" i="56"/>
  <c r="Y87" i="35"/>
  <c r="Y83"/>
  <c r="Y120" s="1"/>
  <c r="Y80"/>
  <c r="Y88"/>
  <c r="Y84"/>
  <c r="Y63"/>
  <c r="Y74"/>
  <c r="Y111" s="1"/>
  <c r="Y67"/>
  <c r="Y81"/>
  <c r="Y54"/>
  <c r="Y66"/>
  <c r="Y61"/>
  <c r="Y72"/>
  <c r="Y69"/>
  <c r="Y68"/>
  <c r="M43" i="36"/>
  <c r="M53" s="1"/>
  <c r="M75" s="1"/>
  <c r="S10" i="56" s="1"/>
  <c r="M41" i="36"/>
  <c r="M23"/>
  <c r="M42"/>
  <c r="M52" s="1"/>
  <c r="M74" s="1"/>
  <c r="S9" i="56" s="1"/>
  <c r="M45" i="36"/>
  <c r="M55" s="1"/>
  <c r="M77" s="1"/>
  <c r="S12" i="56" s="1"/>
  <c r="M44" i="36"/>
  <c r="M54" s="1"/>
  <c r="M76" s="1"/>
  <c r="S11" i="56" s="1"/>
  <c r="G149" i="35"/>
  <c r="G147"/>
  <c r="M149"/>
  <c r="M147"/>
  <c r="O149"/>
  <c r="O147"/>
  <c r="I99" i="36"/>
  <c r="I85"/>
  <c r="I122" s="1"/>
  <c r="I91"/>
  <c r="I92"/>
  <c r="I97"/>
  <c r="I87"/>
  <c r="I102"/>
  <c r="I86"/>
  <c r="I103"/>
  <c r="I96"/>
  <c r="I101"/>
  <c r="I109"/>
  <c r="I106"/>
  <c r="I114"/>
  <c r="I79"/>
  <c r="I116"/>
  <c r="I95"/>
  <c r="I111"/>
  <c r="I100"/>
  <c r="I90"/>
  <c r="I115"/>
  <c r="O8" i="56"/>
  <c r="I104" i="36"/>
  <c r="I110"/>
  <c r="I147" s="1"/>
  <c r="I93"/>
  <c r="I94"/>
  <c r="I107"/>
  <c r="I108"/>
  <c r="I112"/>
  <c r="I105"/>
  <c r="I88"/>
  <c r="I89"/>
  <c r="I98"/>
  <c r="I135" s="1"/>
  <c r="I113"/>
  <c r="T108" i="35"/>
  <c r="T123"/>
  <c r="E103"/>
  <c r="I124"/>
  <c r="I106"/>
  <c r="X101"/>
  <c r="X99"/>
  <c r="F112"/>
  <c r="M109"/>
  <c r="F145" i="36"/>
  <c r="R125" i="35"/>
  <c r="H98"/>
  <c r="H114"/>
  <c r="T119"/>
  <c r="G118"/>
  <c r="G119"/>
  <c r="Q113"/>
  <c r="Q116"/>
  <c r="Q114"/>
  <c r="H150" i="36"/>
  <c r="N106" i="35"/>
  <c r="S103"/>
  <c r="L112"/>
  <c r="L128"/>
  <c r="E128"/>
  <c r="I99"/>
  <c r="X102"/>
  <c r="F113"/>
  <c r="W104"/>
  <c r="W114"/>
  <c r="V119"/>
  <c r="V120"/>
  <c r="K112"/>
  <c r="K127"/>
  <c r="M121"/>
  <c r="M117"/>
  <c r="P104"/>
  <c r="P99"/>
  <c r="O117"/>
  <c r="O99"/>
  <c r="F153" i="36"/>
  <c r="F143"/>
  <c r="H101" i="35"/>
  <c r="H104"/>
  <c r="H122"/>
  <c r="H124"/>
  <c r="H120"/>
  <c r="H107"/>
  <c r="H111"/>
  <c r="T98"/>
  <c r="T117"/>
  <c r="T124"/>
  <c r="T114"/>
  <c r="T106"/>
  <c r="T102"/>
  <c r="G109"/>
  <c r="G128"/>
  <c r="G122"/>
  <c r="G110"/>
  <c r="G105"/>
  <c r="G124"/>
  <c r="G120"/>
  <c r="Q102"/>
  <c r="Q123"/>
  <c r="Q107"/>
  <c r="Q126"/>
  <c r="Q118"/>
  <c r="Q121"/>
  <c r="U122"/>
  <c r="U104"/>
  <c r="U114"/>
  <c r="U106"/>
  <c r="U112"/>
  <c r="U126"/>
  <c r="U116"/>
  <c r="H148" i="36"/>
  <c r="H127"/>
  <c r="H138"/>
  <c r="H128"/>
  <c r="H139"/>
  <c r="H145"/>
  <c r="H131"/>
  <c r="N122" i="35"/>
  <c r="N127"/>
  <c r="N107"/>
  <c r="N112"/>
  <c r="N117"/>
  <c r="S117"/>
  <c r="S110"/>
  <c r="S106"/>
  <c r="S124"/>
  <c r="S121"/>
  <c r="S101"/>
  <c r="L113"/>
  <c r="L105"/>
  <c r="L102"/>
  <c r="L123"/>
  <c r="L99"/>
  <c r="L108"/>
  <c r="L116"/>
  <c r="E126"/>
  <c r="E100"/>
  <c r="E118"/>
  <c r="E108"/>
  <c r="E121"/>
  <c r="E119"/>
  <c r="I107"/>
  <c r="I128"/>
  <c r="I125"/>
  <c r="I115"/>
  <c r="I121"/>
  <c r="I110"/>
  <c r="I111"/>
  <c r="X114"/>
  <c r="X106"/>
  <c r="X103"/>
  <c r="X117"/>
  <c r="X122"/>
  <c r="X111"/>
  <c r="X112"/>
  <c r="J103"/>
  <c r="J115"/>
  <c r="J120"/>
  <c r="J124"/>
  <c r="J105"/>
  <c r="J109"/>
  <c r="J126"/>
  <c r="F115"/>
  <c r="F107"/>
  <c r="F105"/>
  <c r="F125"/>
  <c r="F123"/>
  <c r="F100"/>
  <c r="F128"/>
  <c r="F120"/>
  <c r="W100"/>
  <c r="W116"/>
  <c r="W106"/>
  <c r="W127"/>
  <c r="W101"/>
  <c r="W118"/>
  <c r="V104"/>
  <c r="V107"/>
  <c r="V127"/>
  <c r="V121"/>
  <c r="V111"/>
  <c r="V109"/>
  <c r="V123"/>
  <c r="K118"/>
  <c r="K110"/>
  <c r="K121"/>
  <c r="K123"/>
  <c r="K119"/>
  <c r="K116"/>
  <c r="M113"/>
  <c r="M125"/>
  <c r="M126"/>
  <c r="M101"/>
  <c r="M105"/>
  <c r="M107"/>
  <c r="M119"/>
  <c r="P120"/>
  <c r="P102"/>
  <c r="P113"/>
  <c r="P122"/>
  <c r="P115"/>
  <c r="O108"/>
  <c r="O119"/>
  <c r="O100"/>
  <c r="O111"/>
  <c r="O109"/>
  <c r="F125" i="36"/>
  <c r="F150"/>
  <c r="F131"/>
  <c r="F151"/>
  <c r="F146"/>
  <c r="R126" i="35"/>
  <c r="R99"/>
  <c r="R127"/>
  <c r="R101"/>
  <c r="R106"/>
  <c r="R108"/>
  <c r="G146" i="36"/>
  <c r="G153"/>
  <c r="G142"/>
  <c r="G132"/>
  <c r="G150"/>
  <c r="G143"/>
  <c r="G130"/>
  <c r="U41"/>
  <c r="U42"/>
  <c r="U52" s="1"/>
  <c r="U74" s="1"/>
  <c r="AA9" i="56" s="1"/>
  <c r="U45" i="36"/>
  <c r="U55" s="1"/>
  <c r="U77" s="1"/>
  <c r="AA12" i="56" s="1"/>
  <c r="U44" i="36"/>
  <c r="U54" s="1"/>
  <c r="U76" s="1"/>
  <c r="AA11" i="56" s="1"/>
  <c r="U23" i="36"/>
  <c r="U43"/>
  <c r="U53" s="1"/>
  <c r="U75" s="1"/>
  <c r="AA10" i="56" s="1"/>
  <c r="R149" i="35"/>
  <c r="R147"/>
  <c r="N149"/>
  <c r="N147"/>
  <c r="J149"/>
  <c r="J147"/>
  <c r="Q149"/>
  <c r="Q147"/>
  <c r="I149"/>
  <c r="I147"/>
  <c r="S149"/>
  <c r="S147"/>
  <c r="Q42" i="36"/>
  <c r="Q52" s="1"/>
  <c r="Q74" s="1"/>
  <c r="W9" i="56" s="1"/>
  <c r="Q43" i="36"/>
  <c r="Q53" s="1"/>
  <c r="Q75" s="1"/>
  <c r="W10" i="56" s="1"/>
  <c r="Q41" i="36"/>
  <c r="Q23"/>
  <c r="Q44"/>
  <c r="Q54" s="1"/>
  <c r="Q76" s="1"/>
  <c r="W11" i="56" s="1"/>
  <c r="Q45" i="36"/>
  <c r="Q55" s="1"/>
  <c r="Q77" s="1"/>
  <c r="W12" i="56" s="1"/>
  <c r="V45" i="36"/>
  <c r="V55" s="1"/>
  <c r="V77" s="1"/>
  <c r="AB12" i="56" s="1"/>
  <c r="V42" i="36"/>
  <c r="V52" s="1"/>
  <c r="V74" s="1"/>
  <c r="AB9" i="56" s="1"/>
  <c r="V23" i="36"/>
  <c r="V41"/>
  <c r="V44"/>
  <c r="V54" s="1"/>
  <c r="V76" s="1"/>
  <c r="AB11" i="56" s="1"/>
  <c r="V43" i="36"/>
  <c r="V53" s="1"/>
  <c r="V75" s="1"/>
  <c r="AB10" i="56" s="1"/>
  <c r="X149" i="35"/>
  <c r="X147"/>
  <c r="X43" i="36"/>
  <c r="X53" s="1"/>
  <c r="X75" s="1"/>
  <c r="AD10" i="56" s="1"/>
  <c r="X23" i="36"/>
  <c r="X41"/>
  <c r="X45"/>
  <c r="X55" s="1"/>
  <c r="X77" s="1"/>
  <c r="AD12" i="56" s="1"/>
  <c r="X44" i="36"/>
  <c r="X54" s="1"/>
  <c r="X76" s="1"/>
  <c r="AD11" i="56" s="1"/>
  <c r="X42" i="36"/>
  <c r="X52" s="1"/>
  <c r="X74" s="1"/>
  <c r="AD9" i="56" s="1"/>
  <c r="W149" i="35"/>
  <c r="W147"/>
  <c r="U149"/>
  <c r="U147"/>
  <c r="H149"/>
  <c r="H147"/>
  <c r="P149"/>
  <c r="P147"/>
  <c r="W44" i="36"/>
  <c r="W54" s="1"/>
  <c r="W76" s="1"/>
  <c r="AC11" i="56" s="1"/>
  <c r="W45" i="36"/>
  <c r="W55" s="1"/>
  <c r="W77" s="1"/>
  <c r="AC12" i="56" s="1"/>
  <c r="W41" i="36"/>
  <c r="W43"/>
  <c r="W53" s="1"/>
  <c r="W75" s="1"/>
  <c r="AC10" i="56" s="1"/>
  <c r="W23" i="36"/>
  <c r="W42"/>
  <c r="W52" s="1"/>
  <c r="W74" s="1"/>
  <c r="AC9" i="56" s="1"/>
  <c r="S45" i="36"/>
  <c r="S55" s="1"/>
  <c r="S77" s="1"/>
  <c r="Y12" i="56" s="1"/>
  <c r="S43" i="36"/>
  <c r="S53" s="1"/>
  <c r="S75" s="1"/>
  <c r="Y10" i="56" s="1"/>
  <c r="S44" i="36"/>
  <c r="S54" s="1"/>
  <c r="S76" s="1"/>
  <c r="Y11" i="56" s="1"/>
  <c r="S42" i="36"/>
  <c r="S52" s="1"/>
  <c r="S74" s="1"/>
  <c r="Y9" i="56" s="1"/>
  <c r="S41" i="36"/>
  <c r="S23"/>
  <c r="F149" i="35"/>
  <c r="F147"/>
  <c r="V149"/>
  <c r="V147"/>
  <c r="G114"/>
  <c r="Q106"/>
  <c r="L110"/>
  <c r="I105"/>
  <c r="W122"/>
  <c r="V114"/>
  <c r="O105"/>
  <c r="G145" i="36"/>
  <c r="T111" i="35"/>
  <c r="T113"/>
  <c r="U101"/>
  <c r="U110"/>
  <c r="H141" i="36"/>
  <c r="H135"/>
  <c r="N111" i="35"/>
  <c r="N116"/>
  <c r="L122"/>
  <c r="E113"/>
  <c r="J123"/>
  <c r="F102"/>
  <c r="V118"/>
  <c r="V106"/>
  <c r="K98"/>
  <c r="K126"/>
  <c r="M123"/>
  <c r="P110"/>
  <c r="P101"/>
  <c r="R121"/>
  <c r="G139" i="36"/>
  <c r="G127"/>
  <c r="G152"/>
  <c r="H116" i="35"/>
  <c r="H125"/>
  <c r="H117"/>
  <c r="H102"/>
  <c r="H108"/>
  <c r="H105"/>
  <c r="T99"/>
  <c r="T126"/>
  <c r="T120"/>
  <c r="T101"/>
  <c r="T109"/>
  <c r="T115"/>
  <c r="G115"/>
  <c r="G126"/>
  <c r="G112"/>
  <c r="G98"/>
  <c r="G101"/>
  <c r="G103"/>
  <c r="Q125"/>
  <c r="Q99"/>
  <c r="Q109"/>
  <c r="Q103"/>
  <c r="U124"/>
  <c r="U111"/>
  <c r="U125"/>
  <c r="U119"/>
  <c r="U102"/>
  <c r="H130" i="36"/>
  <c r="H142"/>
  <c r="H124"/>
  <c r="H144"/>
  <c r="H136"/>
  <c r="H133"/>
  <c r="N120" i="35"/>
  <c r="N100"/>
  <c r="N101"/>
  <c r="N123"/>
  <c r="N103"/>
  <c r="N124"/>
  <c r="S126"/>
  <c r="S127"/>
  <c r="S99"/>
  <c r="S104"/>
  <c r="S112"/>
  <c r="S115"/>
  <c r="L104"/>
  <c r="L101"/>
  <c r="L115"/>
  <c r="L107"/>
  <c r="L118"/>
  <c r="L126"/>
  <c r="E124"/>
  <c r="E114"/>
  <c r="E104"/>
  <c r="E111"/>
  <c r="I119"/>
  <c r="I101"/>
  <c r="I103"/>
  <c r="I109"/>
  <c r="I117"/>
  <c r="I113"/>
  <c r="X105"/>
  <c r="X108"/>
  <c r="X119"/>
  <c r="X128"/>
  <c r="X120"/>
  <c r="X110"/>
  <c r="J128"/>
  <c r="J99"/>
  <c r="J113"/>
  <c r="J107"/>
  <c r="J100"/>
  <c r="J117"/>
  <c r="F109"/>
  <c r="F118"/>
  <c r="F98"/>
  <c r="F103"/>
  <c r="W123"/>
  <c r="W120"/>
  <c r="W105"/>
  <c r="W115"/>
  <c r="W112"/>
  <c r="W125"/>
  <c r="W109"/>
  <c r="V102"/>
  <c r="V103"/>
  <c r="V99"/>
  <c r="V115"/>
  <c r="V100"/>
  <c r="V125"/>
  <c r="K99"/>
  <c r="K128"/>
  <c r="K115"/>
  <c r="K113"/>
  <c r="K103"/>
  <c r="K101"/>
  <c r="K106"/>
  <c r="M110"/>
  <c r="M99"/>
  <c r="M115"/>
  <c r="M103"/>
  <c r="P111"/>
  <c r="P128"/>
  <c r="P106"/>
  <c r="P112"/>
  <c r="P125"/>
  <c r="P108"/>
  <c r="O123"/>
  <c r="O114"/>
  <c r="O106"/>
  <c r="O103"/>
  <c r="O125"/>
  <c r="O121"/>
  <c r="O126"/>
  <c r="F140" i="36"/>
  <c r="F135"/>
  <c r="F132"/>
  <c r="F127"/>
  <c r="F136"/>
  <c r="F148"/>
  <c r="R118" i="35"/>
  <c r="R105"/>
  <c r="R122"/>
  <c r="R114"/>
  <c r="R112"/>
  <c r="R110"/>
  <c r="G124" i="36"/>
  <c r="G128"/>
  <c r="G135"/>
  <c r="G148"/>
  <c r="G140"/>
  <c r="E144" l="1"/>
  <c r="E130" i="35"/>
  <c r="E131" s="1"/>
  <c r="M130"/>
  <c r="G130"/>
  <c r="U130"/>
  <c r="R130"/>
  <c r="T130"/>
  <c r="S130"/>
  <c r="O130"/>
  <c r="V130"/>
  <c r="W130"/>
  <c r="N130"/>
  <c r="F130"/>
  <c r="P130"/>
  <c r="X130"/>
  <c r="L130"/>
  <c r="H130"/>
  <c r="Q130"/>
  <c r="K130"/>
  <c r="J130"/>
  <c r="I130"/>
  <c r="I153" i="36"/>
  <c r="Y105" i="35"/>
  <c r="Y117"/>
  <c r="E126" i="36"/>
  <c r="E146"/>
  <c r="I123"/>
  <c r="Y110" i="35"/>
  <c r="E123" i="36"/>
  <c r="E139"/>
  <c r="E142"/>
  <c r="Y100" i="35"/>
  <c r="Y103"/>
  <c r="I149" i="36"/>
  <c r="I125"/>
  <c r="E148"/>
  <c r="E137"/>
  <c r="I126"/>
  <c r="Y127" i="35"/>
  <c r="E151" i="36"/>
  <c r="E134"/>
  <c r="H155"/>
  <c r="G155"/>
  <c r="F155"/>
  <c r="I145"/>
  <c r="I129"/>
  <c r="Y107" i="35"/>
  <c r="I152" i="36"/>
  <c r="I132"/>
  <c r="I143"/>
  <c r="I140"/>
  <c r="I134"/>
  <c r="Y125" i="35"/>
  <c r="Y123"/>
  <c r="Y101"/>
  <c r="Y116"/>
  <c r="E128" i="36"/>
  <c r="E145"/>
  <c r="E131"/>
  <c r="U47"/>
  <c r="U51"/>
  <c r="N47"/>
  <c r="N51"/>
  <c r="O47"/>
  <c r="O51"/>
  <c r="J44"/>
  <c r="J54" s="1"/>
  <c r="J43"/>
  <c r="J53" s="1"/>
  <c r="J23"/>
  <c r="J45"/>
  <c r="J55" s="1"/>
  <c r="J42"/>
  <c r="J52" s="1"/>
  <c r="J41"/>
  <c r="Z19"/>
  <c r="J24"/>
  <c r="K24" s="1"/>
  <c r="L24" s="1"/>
  <c r="M24" s="1"/>
  <c r="N24" s="1"/>
  <c r="O24" s="1"/>
  <c r="P24" s="1"/>
  <c r="Q24" s="1"/>
  <c r="R24" s="1"/>
  <c r="S24" s="1"/>
  <c r="T24" s="1"/>
  <c r="U24" s="1"/>
  <c r="V24" s="1"/>
  <c r="W24" s="1"/>
  <c r="X24" s="1"/>
  <c r="T47"/>
  <c r="T51"/>
  <c r="V47"/>
  <c r="V51"/>
  <c r="G61"/>
  <c r="F67"/>
  <c r="Y112" i="35"/>
  <c r="E140" i="36"/>
  <c r="I130"/>
  <c r="I136"/>
  <c r="Y108" i="35"/>
  <c r="I144" i="36"/>
  <c r="I141"/>
  <c r="I137"/>
  <c r="I138"/>
  <c r="I139"/>
  <c r="I128"/>
  <c r="Y106" i="35"/>
  <c r="Y119"/>
  <c r="Y128"/>
  <c r="Y126"/>
  <c r="Y114"/>
  <c r="Y122"/>
  <c r="E133" i="36"/>
  <c r="E135"/>
  <c r="E149"/>
  <c r="E150"/>
  <c r="E129"/>
  <c r="E153"/>
  <c r="E130"/>
  <c r="S47"/>
  <c r="S51"/>
  <c r="W47"/>
  <c r="W51"/>
  <c r="Q47"/>
  <c r="Q51"/>
  <c r="R47"/>
  <c r="R51"/>
  <c r="P47"/>
  <c r="P51"/>
  <c r="K47"/>
  <c r="K51"/>
  <c r="L47"/>
  <c r="L51"/>
  <c r="X47"/>
  <c r="X51"/>
  <c r="M47"/>
  <c r="M51"/>
  <c r="Y145" i="35"/>
  <c r="E146"/>
  <c r="I127" i="36"/>
  <c r="I146"/>
  <c r="Y98" i="35"/>
  <c r="Y104"/>
  <c r="E141" i="36"/>
  <c r="E125"/>
  <c r="I150"/>
  <c r="I142"/>
  <c r="I131"/>
  <c r="I148"/>
  <c r="I151"/>
  <c r="I133"/>
  <c r="I124"/>
  <c r="Y109" i="35"/>
  <c r="Y118"/>
  <c r="Y121"/>
  <c r="Y124"/>
  <c r="Y99"/>
  <c r="Y113"/>
  <c r="Y115"/>
  <c r="Y102"/>
  <c r="E143" i="36"/>
  <c r="E127"/>
  <c r="E138"/>
  <c r="E147"/>
  <c r="E152"/>
  <c r="E136"/>
  <c r="Y131" i="35" l="1"/>
  <c r="F131"/>
  <c r="G131" s="1"/>
  <c r="H131" s="1"/>
  <c r="I131" s="1"/>
  <c r="J131" s="1"/>
  <c r="K131" s="1"/>
  <c r="L131" s="1"/>
  <c r="M131" s="1"/>
  <c r="N131" s="1"/>
  <c r="O131" s="1"/>
  <c r="P131" s="1"/>
  <c r="Q131" s="1"/>
  <c r="R131" s="1"/>
  <c r="S131" s="1"/>
  <c r="T131" s="1"/>
  <c r="U131" s="1"/>
  <c r="V131" s="1"/>
  <c r="W131" s="1"/>
  <c r="X131" s="1"/>
  <c r="I155" i="36"/>
  <c r="E155"/>
  <c r="Z44"/>
  <c r="Z42"/>
  <c r="Z43"/>
  <c r="Z24"/>
  <c r="Z45"/>
  <c r="Z46"/>
  <c r="Z41"/>
  <c r="Z47"/>
  <c r="L57"/>
  <c r="L73"/>
  <c r="P57"/>
  <c r="P73"/>
  <c r="S57"/>
  <c r="S73"/>
  <c r="V73"/>
  <c r="V57"/>
  <c r="J77"/>
  <c r="P12" i="56" s="1"/>
  <c r="J65" i="36"/>
  <c r="K65" s="1"/>
  <c r="L65" s="1"/>
  <c r="M65" s="1"/>
  <c r="N65" s="1"/>
  <c r="O65" s="1"/>
  <c r="P65" s="1"/>
  <c r="Q65" s="1"/>
  <c r="R65" s="1"/>
  <c r="S65" s="1"/>
  <c r="T65" s="1"/>
  <c r="U65" s="1"/>
  <c r="V65" s="1"/>
  <c r="W65" s="1"/>
  <c r="X65" s="1"/>
  <c r="O57"/>
  <c r="O73"/>
  <c r="U73"/>
  <c r="U57"/>
  <c r="G67"/>
  <c r="H61"/>
  <c r="J74"/>
  <c r="P9" i="56" s="1"/>
  <c r="J62" i="36"/>
  <c r="K62" s="1"/>
  <c r="L62" s="1"/>
  <c r="M62" s="1"/>
  <c r="N62" s="1"/>
  <c r="O62" s="1"/>
  <c r="P62" s="1"/>
  <c r="Q62" s="1"/>
  <c r="R62" s="1"/>
  <c r="S62" s="1"/>
  <c r="T62" s="1"/>
  <c r="U62" s="1"/>
  <c r="V62" s="1"/>
  <c r="W62" s="1"/>
  <c r="X62" s="1"/>
  <c r="J76"/>
  <c r="P11" i="56" s="1"/>
  <c r="J64" i="36"/>
  <c r="K64" s="1"/>
  <c r="L64" s="1"/>
  <c r="M64" s="1"/>
  <c r="N64" s="1"/>
  <c r="O64" s="1"/>
  <c r="P64" s="1"/>
  <c r="Q64" s="1"/>
  <c r="R64" s="1"/>
  <c r="S64" s="1"/>
  <c r="T64" s="1"/>
  <c r="U64" s="1"/>
  <c r="V64" s="1"/>
  <c r="W64" s="1"/>
  <c r="X64" s="1"/>
  <c r="M73"/>
  <c r="M57"/>
  <c r="Q73"/>
  <c r="Q57"/>
  <c r="Y146" i="35"/>
  <c r="E149"/>
  <c r="Y149" s="1"/>
  <c r="E147"/>
  <c r="X57" i="36"/>
  <c r="X73"/>
  <c r="K57"/>
  <c r="K73"/>
  <c r="R73"/>
  <c r="R57"/>
  <c r="W73"/>
  <c r="W57"/>
  <c r="T73"/>
  <c r="T57"/>
  <c r="J47"/>
  <c r="J51"/>
  <c r="J75"/>
  <c r="P10" i="56" s="1"/>
  <c r="J63" i="36"/>
  <c r="K63" s="1"/>
  <c r="L63" s="1"/>
  <c r="M63" s="1"/>
  <c r="N63" s="1"/>
  <c r="O63" s="1"/>
  <c r="P63" s="1"/>
  <c r="Q63" s="1"/>
  <c r="R63" s="1"/>
  <c r="S63" s="1"/>
  <c r="T63" s="1"/>
  <c r="U63" s="1"/>
  <c r="V63" s="1"/>
  <c r="W63" s="1"/>
  <c r="X63" s="1"/>
  <c r="N73"/>
  <c r="N57"/>
  <c r="O87" l="1"/>
  <c r="O115"/>
  <c r="O114"/>
  <c r="O99"/>
  <c r="O105"/>
  <c r="O109"/>
  <c r="O104"/>
  <c r="O90"/>
  <c r="O94"/>
  <c r="O113"/>
  <c r="O112"/>
  <c r="O97"/>
  <c r="O103"/>
  <c r="O89"/>
  <c r="O96"/>
  <c r="O91"/>
  <c r="O128" s="1"/>
  <c r="O98"/>
  <c r="O95"/>
  <c r="O92"/>
  <c r="U8" i="56"/>
  <c r="O93" i="36"/>
  <c r="O107"/>
  <c r="O85"/>
  <c r="O122" s="1"/>
  <c r="O102"/>
  <c r="O88"/>
  <c r="O125" s="1"/>
  <c r="O100"/>
  <c r="O116"/>
  <c r="O110"/>
  <c r="O79"/>
  <c r="O108"/>
  <c r="O106"/>
  <c r="O86"/>
  <c r="O111"/>
  <c r="O101"/>
  <c r="O138" s="1"/>
  <c r="P115"/>
  <c r="P79"/>
  <c r="P110"/>
  <c r="P112"/>
  <c r="P92"/>
  <c r="P104"/>
  <c r="P86"/>
  <c r="P88"/>
  <c r="P90"/>
  <c r="P85"/>
  <c r="P122" s="1"/>
  <c r="P87"/>
  <c r="P124" s="1"/>
  <c r="P97"/>
  <c r="P103"/>
  <c r="P105"/>
  <c r="P142" s="1"/>
  <c r="P93"/>
  <c r="P108"/>
  <c r="P111"/>
  <c r="P96"/>
  <c r="P98"/>
  <c r="P100"/>
  <c r="V8" i="56"/>
  <c r="P107" i="36"/>
  <c r="P114"/>
  <c r="P91"/>
  <c r="P99"/>
  <c r="P101"/>
  <c r="P102"/>
  <c r="P116"/>
  <c r="P106"/>
  <c r="P89"/>
  <c r="P113"/>
  <c r="P95"/>
  <c r="P109"/>
  <c r="P94"/>
  <c r="X109"/>
  <c r="X96"/>
  <c r="X88"/>
  <c r="X85"/>
  <c r="X122" s="1"/>
  <c r="X97"/>
  <c r="X113"/>
  <c r="X99"/>
  <c r="X105"/>
  <c r="X114"/>
  <c r="X92"/>
  <c r="X91"/>
  <c r="X107"/>
  <c r="X104"/>
  <c r="X86"/>
  <c r="X95"/>
  <c r="X94"/>
  <c r="X87"/>
  <c r="X79"/>
  <c r="X103"/>
  <c r="X110"/>
  <c r="X115"/>
  <c r="X93"/>
  <c r="X130" s="1"/>
  <c r="X98"/>
  <c r="X100"/>
  <c r="X106"/>
  <c r="X112"/>
  <c r="X101"/>
  <c r="X89"/>
  <c r="AD8" i="56"/>
  <c r="X108" i="36"/>
  <c r="X102"/>
  <c r="X116"/>
  <c r="X111"/>
  <c r="X90"/>
  <c r="M88"/>
  <c r="M116"/>
  <c r="M103"/>
  <c r="S8" i="56"/>
  <c r="M85" i="36"/>
  <c r="M122" s="1"/>
  <c r="M110"/>
  <c r="M102"/>
  <c r="M106"/>
  <c r="M100"/>
  <c r="M97"/>
  <c r="M92"/>
  <c r="M105"/>
  <c r="M113"/>
  <c r="M101"/>
  <c r="M79"/>
  <c r="M114"/>
  <c r="M91"/>
  <c r="M109"/>
  <c r="M93"/>
  <c r="M104"/>
  <c r="M111"/>
  <c r="M90"/>
  <c r="M96"/>
  <c r="M87"/>
  <c r="M107"/>
  <c r="M115"/>
  <c r="M99"/>
  <c r="M94"/>
  <c r="M95"/>
  <c r="M86"/>
  <c r="M89"/>
  <c r="M108"/>
  <c r="M112"/>
  <c r="M149" s="1"/>
  <c r="M98"/>
  <c r="M135" s="1"/>
  <c r="U99"/>
  <c r="U88"/>
  <c r="U108"/>
  <c r="U102"/>
  <c r="U85"/>
  <c r="U122" s="1"/>
  <c r="U91"/>
  <c r="U112"/>
  <c r="U113"/>
  <c r="U95"/>
  <c r="U96"/>
  <c r="U116"/>
  <c r="U100"/>
  <c r="U89"/>
  <c r="U104"/>
  <c r="U86"/>
  <c r="U105"/>
  <c r="U90"/>
  <c r="U127" s="1"/>
  <c r="U101"/>
  <c r="U107"/>
  <c r="U109"/>
  <c r="U115"/>
  <c r="AA8" i="56"/>
  <c r="U111" i="36"/>
  <c r="U106"/>
  <c r="U143" s="1"/>
  <c r="U87"/>
  <c r="U79"/>
  <c r="U110"/>
  <c r="U94"/>
  <c r="U97"/>
  <c r="U103"/>
  <c r="U93"/>
  <c r="U92"/>
  <c r="U114"/>
  <c r="U98"/>
  <c r="Y77"/>
  <c r="AE12" i="56" s="1"/>
  <c r="Y45" i="36"/>
  <c r="Y76"/>
  <c r="AE11" i="56" s="1"/>
  <c r="Y44" i="36"/>
  <c r="N103"/>
  <c r="N90"/>
  <c r="N96"/>
  <c r="T8" i="56"/>
  <c r="N112" i="36"/>
  <c r="N114"/>
  <c r="N88"/>
  <c r="N99"/>
  <c r="N116"/>
  <c r="N91"/>
  <c r="N128" s="1"/>
  <c r="N100"/>
  <c r="N92"/>
  <c r="N111"/>
  <c r="N85"/>
  <c r="N122" s="1"/>
  <c r="N105"/>
  <c r="N108"/>
  <c r="N106"/>
  <c r="N93"/>
  <c r="N97"/>
  <c r="N134" s="1"/>
  <c r="N115"/>
  <c r="N109"/>
  <c r="N98"/>
  <c r="N110"/>
  <c r="N94"/>
  <c r="N86"/>
  <c r="N113"/>
  <c r="N79"/>
  <c r="N102"/>
  <c r="N101"/>
  <c r="N95"/>
  <c r="N104"/>
  <c r="N107"/>
  <c r="N89"/>
  <c r="N87"/>
  <c r="W104"/>
  <c r="W103"/>
  <c r="W88"/>
  <c r="W98"/>
  <c r="W90"/>
  <c r="W95"/>
  <c r="W110"/>
  <c r="W86"/>
  <c r="W94"/>
  <c r="W112"/>
  <c r="W99"/>
  <c r="W109"/>
  <c r="W92"/>
  <c r="W85"/>
  <c r="W122" s="1"/>
  <c r="W87"/>
  <c r="W111"/>
  <c r="W105"/>
  <c r="W142" s="1"/>
  <c r="W100"/>
  <c r="W115"/>
  <c r="W97"/>
  <c r="W79"/>
  <c r="W91"/>
  <c r="W108"/>
  <c r="W96"/>
  <c r="W93"/>
  <c r="W101"/>
  <c r="W138" s="1"/>
  <c r="W113"/>
  <c r="W116"/>
  <c r="AC8" i="56"/>
  <c r="W114" i="36"/>
  <c r="W106"/>
  <c r="W102"/>
  <c r="W89"/>
  <c r="W107"/>
  <c r="S98"/>
  <c r="S108"/>
  <c r="S107"/>
  <c r="S101"/>
  <c r="S96"/>
  <c r="S109"/>
  <c r="S146" s="1"/>
  <c r="S85"/>
  <c r="S122" s="1"/>
  <c r="S91"/>
  <c r="S87"/>
  <c r="S95"/>
  <c r="S104"/>
  <c r="S90"/>
  <c r="S100"/>
  <c r="S111"/>
  <c r="S113"/>
  <c r="S116"/>
  <c r="S86"/>
  <c r="S94"/>
  <c r="S93"/>
  <c r="S105"/>
  <c r="S89"/>
  <c r="S97"/>
  <c r="S106"/>
  <c r="S110"/>
  <c r="S114"/>
  <c r="S112"/>
  <c r="S149" s="1"/>
  <c r="S99"/>
  <c r="S79"/>
  <c r="S88"/>
  <c r="S125" s="1"/>
  <c r="S92"/>
  <c r="S115"/>
  <c r="S103"/>
  <c r="Y8" i="56"/>
  <c r="S102" i="36"/>
  <c r="L96"/>
  <c r="L93"/>
  <c r="L104"/>
  <c r="L98"/>
  <c r="L89"/>
  <c r="L113"/>
  <c r="L97"/>
  <c r="L114"/>
  <c r="L108"/>
  <c r="L92"/>
  <c r="L79"/>
  <c r="L100"/>
  <c r="L90"/>
  <c r="L109"/>
  <c r="L102"/>
  <c r="L111"/>
  <c r="L95"/>
  <c r="L94"/>
  <c r="L131" s="1"/>
  <c r="L112"/>
  <c r="L115"/>
  <c r="L152" s="1"/>
  <c r="L110"/>
  <c r="L107"/>
  <c r="L88"/>
  <c r="L85"/>
  <c r="L122" s="1"/>
  <c r="L99"/>
  <c r="L101"/>
  <c r="L103"/>
  <c r="L86"/>
  <c r="L123" s="1"/>
  <c r="L105"/>
  <c r="L116"/>
  <c r="R8" i="56"/>
  <c r="L87" i="36"/>
  <c r="L124" s="1"/>
  <c r="L91"/>
  <c r="L128" s="1"/>
  <c r="L106"/>
  <c r="Y42"/>
  <c r="Y74"/>
  <c r="AE9" i="56" s="1"/>
  <c r="T88" i="36"/>
  <c r="T89"/>
  <c r="T103"/>
  <c r="T109"/>
  <c r="T105"/>
  <c r="T79"/>
  <c r="T97"/>
  <c r="T98"/>
  <c r="T90"/>
  <c r="T91"/>
  <c r="T95"/>
  <c r="T93"/>
  <c r="T116"/>
  <c r="T108"/>
  <c r="T114"/>
  <c r="T110"/>
  <c r="T147" s="1"/>
  <c r="T94"/>
  <c r="T106"/>
  <c r="T99"/>
  <c r="T101"/>
  <c r="T87"/>
  <c r="T86"/>
  <c r="Z8" i="56"/>
  <c r="T92" i="36"/>
  <c r="T112"/>
  <c r="T104"/>
  <c r="T113"/>
  <c r="T100"/>
  <c r="T111"/>
  <c r="T107"/>
  <c r="T144" s="1"/>
  <c r="T102"/>
  <c r="T85"/>
  <c r="T122" s="1"/>
  <c r="T115"/>
  <c r="T96"/>
  <c r="R89"/>
  <c r="R93"/>
  <c r="R116"/>
  <c r="R115"/>
  <c r="X8" i="56"/>
  <c r="R99" i="36"/>
  <c r="R88"/>
  <c r="R102"/>
  <c r="R105"/>
  <c r="R113"/>
  <c r="R98"/>
  <c r="R96"/>
  <c r="R79"/>
  <c r="R86"/>
  <c r="R112"/>
  <c r="R108"/>
  <c r="R91"/>
  <c r="R107"/>
  <c r="R97"/>
  <c r="R114"/>
  <c r="R94"/>
  <c r="R92"/>
  <c r="R95"/>
  <c r="R110"/>
  <c r="R101"/>
  <c r="R100"/>
  <c r="R137" s="1"/>
  <c r="R87"/>
  <c r="R90"/>
  <c r="R106"/>
  <c r="R143" s="1"/>
  <c r="R111"/>
  <c r="R109"/>
  <c r="R103"/>
  <c r="R140" s="1"/>
  <c r="R85"/>
  <c r="R122" s="1"/>
  <c r="R104"/>
  <c r="H67"/>
  <c r="I61"/>
  <c r="Y24"/>
  <c r="AB77"/>
  <c r="Z77" s="1"/>
  <c r="AB75"/>
  <c r="Z75" s="1"/>
  <c r="AB74"/>
  <c r="Z74" s="1"/>
  <c r="AB73"/>
  <c r="Z73" s="1"/>
  <c r="AB76"/>
  <c r="Z76" s="1"/>
  <c r="J73"/>
  <c r="J57"/>
  <c r="K93"/>
  <c r="K102"/>
  <c r="K115"/>
  <c r="K103"/>
  <c r="K99"/>
  <c r="Q8" i="56"/>
  <c r="K113" i="36"/>
  <c r="K94"/>
  <c r="K107"/>
  <c r="K91"/>
  <c r="K98"/>
  <c r="K88"/>
  <c r="K106"/>
  <c r="K101"/>
  <c r="K92"/>
  <c r="K85"/>
  <c r="K122" s="1"/>
  <c r="K100"/>
  <c r="K137" s="1"/>
  <c r="K104"/>
  <c r="K79"/>
  <c r="K108"/>
  <c r="K110"/>
  <c r="K116"/>
  <c r="K87"/>
  <c r="K89"/>
  <c r="K126" s="1"/>
  <c r="K112"/>
  <c r="K97"/>
  <c r="K90"/>
  <c r="K111"/>
  <c r="K86"/>
  <c r="K96"/>
  <c r="K114"/>
  <c r="K109"/>
  <c r="K146" s="1"/>
  <c r="K95"/>
  <c r="K105"/>
  <c r="K142" s="1"/>
  <c r="Q100"/>
  <c r="Q104"/>
  <c r="Q114"/>
  <c r="Q92"/>
  <c r="Q102"/>
  <c r="W8" i="56"/>
  <c r="Q106" i="36"/>
  <c r="Q112"/>
  <c r="Q113"/>
  <c r="Q85"/>
  <c r="Q122" s="1"/>
  <c r="Q89"/>
  <c r="Q88"/>
  <c r="Q98"/>
  <c r="Q87"/>
  <c r="Q115"/>
  <c r="Q90"/>
  <c r="Q116"/>
  <c r="Q107"/>
  <c r="Q97"/>
  <c r="Q105"/>
  <c r="Q93"/>
  <c r="Q79"/>
  <c r="Q109"/>
  <c r="Q94"/>
  <c r="Q101"/>
  <c r="Q138" s="1"/>
  <c r="Q95"/>
  <c r="Q99"/>
  <c r="Q91"/>
  <c r="Q128" s="1"/>
  <c r="Q108"/>
  <c r="Q96"/>
  <c r="Q110"/>
  <c r="Q86"/>
  <c r="Q111"/>
  <c r="Q103"/>
  <c r="V79"/>
  <c r="V98"/>
  <c r="V116"/>
  <c r="V92"/>
  <c r="V110"/>
  <c r="AB8" i="56"/>
  <c r="V89" i="36"/>
  <c r="V115"/>
  <c r="V85"/>
  <c r="V122" s="1"/>
  <c r="V103"/>
  <c r="V88"/>
  <c r="V100"/>
  <c r="V112"/>
  <c r="V99"/>
  <c r="V136" s="1"/>
  <c r="V90"/>
  <c r="V127" s="1"/>
  <c r="V105"/>
  <c r="V91"/>
  <c r="V106"/>
  <c r="V87"/>
  <c r="V101"/>
  <c r="V104"/>
  <c r="V114"/>
  <c r="V93"/>
  <c r="V107"/>
  <c r="V97"/>
  <c r="V113"/>
  <c r="V86"/>
  <c r="V111"/>
  <c r="V108"/>
  <c r="V109"/>
  <c r="V95"/>
  <c r="V96"/>
  <c r="V102"/>
  <c r="V94"/>
  <c r="Y73"/>
  <c r="Y41"/>
  <c r="Y43"/>
  <c r="Y75"/>
  <c r="AE10" i="56" s="1"/>
  <c r="C10" i="36" l="1"/>
  <c r="O145"/>
  <c r="Y47"/>
  <c r="Z79"/>
  <c r="M130"/>
  <c r="K151"/>
  <c r="L127"/>
  <c r="L140"/>
  <c r="X139"/>
  <c r="Q152"/>
  <c r="T133"/>
  <c r="T141"/>
  <c r="L150"/>
  <c r="S127"/>
  <c r="S138"/>
  <c r="W144"/>
  <c r="W151"/>
  <c r="W137"/>
  <c r="N144"/>
  <c r="N139"/>
  <c r="M145"/>
  <c r="M151"/>
  <c r="X129"/>
  <c r="X133"/>
  <c r="P153"/>
  <c r="P128"/>
  <c r="P137"/>
  <c r="P149"/>
  <c r="O144"/>
  <c r="O150"/>
  <c r="O152"/>
  <c r="V138"/>
  <c r="Q147"/>
  <c r="L142"/>
  <c r="L126"/>
  <c r="S152"/>
  <c r="N141"/>
  <c r="M126"/>
  <c r="W130"/>
  <c r="X152"/>
  <c r="V141"/>
  <c r="R131"/>
  <c r="T139"/>
  <c r="T136"/>
  <c r="S136"/>
  <c r="W126"/>
  <c r="N147"/>
  <c r="U124"/>
  <c r="M133"/>
  <c r="M129"/>
  <c r="Q133"/>
  <c r="N150"/>
  <c r="U146"/>
  <c r="M123"/>
  <c r="M138"/>
  <c r="X126"/>
  <c r="X137"/>
  <c r="O123"/>
  <c r="T137"/>
  <c r="V132"/>
  <c r="V123"/>
  <c r="V130"/>
  <c r="V153"/>
  <c r="Q148"/>
  <c r="Q145"/>
  <c r="Q130"/>
  <c r="Q153"/>
  <c r="Q135"/>
  <c r="Q150"/>
  <c r="Q137"/>
  <c r="K127"/>
  <c r="K124"/>
  <c r="K129"/>
  <c r="K135"/>
  <c r="K150"/>
  <c r="R146"/>
  <c r="R124"/>
  <c r="R132"/>
  <c r="R134"/>
  <c r="R149"/>
  <c r="R153"/>
  <c r="T152"/>
  <c r="T148"/>
  <c r="T149"/>
  <c r="T124"/>
  <c r="T131"/>
  <c r="T127"/>
  <c r="T142"/>
  <c r="L136"/>
  <c r="L147"/>
  <c r="L132"/>
  <c r="L145"/>
  <c r="S143"/>
  <c r="S130"/>
  <c r="S150"/>
  <c r="S141"/>
  <c r="W129"/>
  <c r="W141"/>
  <c r="N137"/>
  <c r="N125"/>
  <c r="N133"/>
  <c r="U151"/>
  <c r="U134"/>
  <c r="U126"/>
  <c r="U132"/>
  <c r="U136"/>
  <c r="M136"/>
  <c r="M139"/>
  <c r="X148"/>
  <c r="X143"/>
  <c r="X124"/>
  <c r="X141"/>
  <c r="X151"/>
  <c r="X134"/>
  <c r="X146"/>
  <c r="P150"/>
  <c r="P139"/>
  <c r="P135"/>
  <c r="P130"/>
  <c r="P123"/>
  <c r="P147"/>
  <c r="O148"/>
  <c r="O130"/>
  <c r="O135"/>
  <c r="O140"/>
  <c r="O142"/>
  <c r="O124"/>
  <c r="V150"/>
  <c r="K138"/>
  <c r="R129"/>
  <c r="V148"/>
  <c r="V144"/>
  <c r="V142"/>
  <c r="V137"/>
  <c r="V152"/>
  <c r="V129"/>
  <c r="Q132"/>
  <c r="Q144"/>
  <c r="Q124"/>
  <c r="K148"/>
  <c r="K145"/>
  <c r="K131"/>
  <c r="K140"/>
  <c r="R127"/>
  <c r="R151"/>
  <c r="R145"/>
  <c r="R139"/>
  <c r="T123"/>
  <c r="L153"/>
  <c r="L138"/>
  <c r="S140"/>
  <c r="S147"/>
  <c r="W149"/>
  <c r="W140"/>
  <c r="N131"/>
  <c r="N152"/>
  <c r="N129"/>
  <c r="N136"/>
  <c r="U140"/>
  <c r="U138"/>
  <c r="M124"/>
  <c r="X127"/>
  <c r="X145"/>
  <c r="X123"/>
  <c r="P132"/>
  <c r="P145"/>
  <c r="P134"/>
  <c r="O137"/>
  <c r="L149"/>
  <c r="S133"/>
  <c r="W124"/>
  <c r="W136"/>
  <c r="W147"/>
  <c r="N123"/>
  <c r="U130"/>
  <c r="U147"/>
  <c r="U144"/>
  <c r="M148"/>
  <c r="X138"/>
  <c r="X132"/>
  <c r="P143"/>
  <c r="O129"/>
  <c r="Q127"/>
  <c r="K133"/>
  <c r="J105"/>
  <c r="J99"/>
  <c r="J107"/>
  <c r="J110"/>
  <c r="J93"/>
  <c r="J86"/>
  <c r="J111"/>
  <c r="J85"/>
  <c r="J122" s="1"/>
  <c r="J88"/>
  <c r="J94"/>
  <c r="J98"/>
  <c r="J89"/>
  <c r="J106"/>
  <c r="J143" s="1"/>
  <c r="J100"/>
  <c r="J137" s="1"/>
  <c r="J104"/>
  <c r="J108"/>
  <c r="J96"/>
  <c r="J90"/>
  <c r="J113"/>
  <c r="J97"/>
  <c r="J102"/>
  <c r="J95"/>
  <c r="J132" s="1"/>
  <c r="J109"/>
  <c r="J92"/>
  <c r="J103"/>
  <c r="J140" s="1"/>
  <c r="J112"/>
  <c r="J116"/>
  <c r="J114"/>
  <c r="J91"/>
  <c r="J101"/>
  <c r="J138" s="1"/>
  <c r="P8" i="56"/>
  <c r="J79" i="36"/>
  <c r="J87"/>
  <c r="J115"/>
  <c r="K152"/>
  <c r="R135"/>
  <c r="T153"/>
  <c r="T125"/>
  <c r="L133"/>
  <c r="S144"/>
  <c r="W131"/>
  <c r="W127"/>
  <c r="U152"/>
  <c r="M140"/>
  <c r="P151"/>
  <c r="O131"/>
  <c r="Q140"/>
  <c r="Q141"/>
  <c r="R147"/>
  <c r="T143"/>
  <c r="T128"/>
  <c r="L144"/>
  <c r="S153"/>
  <c r="W128"/>
  <c r="U141"/>
  <c r="U128"/>
  <c r="U125"/>
  <c r="M131"/>
  <c r="M141"/>
  <c r="M142"/>
  <c r="M143"/>
  <c r="X150"/>
  <c r="O146"/>
  <c r="V139"/>
  <c r="V145"/>
  <c r="V134"/>
  <c r="V128"/>
  <c r="V149"/>
  <c r="V147"/>
  <c r="Q136"/>
  <c r="Q146"/>
  <c r="Q134"/>
  <c r="Q126"/>
  <c r="Q143"/>
  <c r="Q151"/>
  <c r="K132"/>
  <c r="K123"/>
  <c r="K149"/>
  <c r="K147"/>
  <c r="K143"/>
  <c r="K144"/>
  <c r="K136"/>
  <c r="K130"/>
  <c r="R138"/>
  <c r="R128"/>
  <c r="R142"/>
  <c r="R126"/>
  <c r="T150"/>
  <c r="T151"/>
  <c r="T132"/>
  <c r="T134"/>
  <c r="T140"/>
  <c r="L125"/>
  <c r="L139"/>
  <c r="L134"/>
  <c r="L141"/>
  <c r="S151"/>
  <c r="S126"/>
  <c r="S123"/>
  <c r="S137"/>
  <c r="S124"/>
  <c r="S135"/>
  <c r="W143"/>
  <c r="W150"/>
  <c r="W145"/>
  <c r="W152"/>
  <c r="W125"/>
  <c r="N126"/>
  <c r="N138"/>
  <c r="N146"/>
  <c r="N143"/>
  <c r="N148"/>
  <c r="N153"/>
  <c r="N149"/>
  <c r="N140"/>
  <c r="U148"/>
  <c r="U123"/>
  <c r="U153"/>
  <c r="U149"/>
  <c r="U145"/>
  <c r="M132"/>
  <c r="M144"/>
  <c r="M128"/>
  <c r="M150"/>
  <c r="M137"/>
  <c r="M125"/>
  <c r="X135"/>
  <c r="X140"/>
  <c r="X128"/>
  <c r="X136"/>
  <c r="X125"/>
  <c r="P146"/>
  <c r="P136"/>
  <c r="P148"/>
  <c r="P140"/>
  <c r="P127"/>
  <c r="P129"/>
  <c r="P152"/>
  <c r="O143"/>
  <c r="O153"/>
  <c r="O133"/>
  <c r="O149"/>
  <c r="O141"/>
  <c r="O151"/>
  <c r="Y95"/>
  <c r="Y89"/>
  <c r="Y93"/>
  <c r="Y86"/>
  <c r="Y96"/>
  <c r="Y133" s="1"/>
  <c r="Y79"/>
  <c r="Y98"/>
  <c r="Y97"/>
  <c r="AE8" i="56"/>
  <c r="Y87" i="36"/>
  <c r="Y104"/>
  <c r="Y91"/>
  <c r="Y92"/>
  <c r="Y99"/>
  <c r="Y85"/>
  <c r="Y122" s="1"/>
  <c r="Y94"/>
  <c r="Y113"/>
  <c r="Y107"/>
  <c r="Y103"/>
  <c r="Y115"/>
  <c r="Y101"/>
  <c r="Y109"/>
  <c r="Y90"/>
  <c r="Y88"/>
  <c r="Y114"/>
  <c r="Y151" s="1"/>
  <c r="Y110"/>
  <c r="Y108"/>
  <c r="Y102"/>
  <c r="Y106"/>
  <c r="Y112"/>
  <c r="Y111"/>
  <c r="Y100"/>
  <c r="Y105"/>
  <c r="Y116"/>
  <c r="I67"/>
  <c r="J61"/>
  <c r="V124"/>
  <c r="V125"/>
  <c r="V126"/>
  <c r="Q139"/>
  <c r="R125"/>
  <c r="N142"/>
  <c r="V133"/>
  <c r="K125"/>
  <c r="R133"/>
  <c r="R152"/>
  <c r="T145"/>
  <c r="T126"/>
  <c r="L143"/>
  <c r="L146"/>
  <c r="L129"/>
  <c r="L130"/>
  <c r="S142"/>
  <c r="S128"/>
  <c r="W132"/>
  <c r="N145"/>
  <c r="U135"/>
  <c r="U133"/>
  <c r="X149"/>
  <c r="P125"/>
  <c r="O132"/>
  <c r="O126"/>
  <c r="V131"/>
  <c r="V146"/>
  <c r="V151"/>
  <c r="V143"/>
  <c r="V140"/>
  <c r="V135"/>
  <c r="Q123"/>
  <c r="Q131"/>
  <c r="Q142"/>
  <c r="Q125"/>
  <c r="Q149"/>
  <c r="Q129"/>
  <c r="K134"/>
  <c r="K153"/>
  <c r="K141"/>
  <c r="K128"/>
  <c r="K139"/>
  <c r="R141"/>
  <c r="R148"/>
  <c r="R144"/>
  <c r="R123"/>
  <c r="R150"/>
  <c r="R136"/>
  <c r="R130"/>
  <c r="T129"/>
  <c r="T138"/>
  <c r="T130"/>
  <c r="T135"/>
  <c r="T146"/>
  <c r="L148"/>
  <c r="L137"/>
  <c r="L151"/>
  <c r="L135"/>
  <c r="S139"/>
  <c r="S129"/>
  <c r="S134"/>
  <c r="S131"/>
  <c r="S148"/>
  <c r="S132"/>
  <c r="S145"/>
  <c r="W139"/>
  <c r="W153"/>
  <c r="W133"/>
  <c r="W134"/>
  <c r="W148"/>
  <c r="W146"/>
  <c r="W123"/>
  <c r="W135"/>
  <c r="N124"/>
  <c r="N132"/>
  <c r="N135"/>
  <c r="N130"/>
  <c r="N151"/>
  <c r="N127"/>
  <c r="U129"/>
  <c r="U131"/>
  <c r="U142"/>
  <c r="U137"/>
  <c r="U150"/>
  <c r="U139"/>
  <c r="M152"/>
  <c r="M127"/>
  <c r="M146"/>
  <c r="M134"/>
  <c r="M147"/>
  <c r="M153"/>
  <c r="X153"/>
  <c r="X147"/>
  <c r="X131"/>
  <c r="X144"/>
  <c r="X142"/>
  <c r="P131"/>
  <c r="P126"/>
  <c r="P138"/>
  <c r="P144"/>
  <c r="P133"/>
  <c r="P141"/>
  <c r="O147"/>
  <c r="O139"/>
  <c r="O134"/>
  <c r="O127"/>
  <c r="O136"/>
  <c r="N155" l="1"/>
  <c r="R155"/>
  <c r="M155"/>
  <c r="S155"/>
  <c r="W155"/>
  <c r="Q155"/>
  <c r="O155"/>
  <c r="X155"/>
  <c r="K155"/>
  <c r="U155"/>
  <c r="L155"/>
  <c r="V155"/>
  <c r="T155"/>
  <c r="P155"/>
  <c r="Y147"/>
  <c r="J146"/>
  <c r="Y140"/>
  <c r="Y135"/>
  <c r="Y130"/>
  <c r="J141"/>
  <c r="J135"/>
  <c r="J148"/>
  <c r="J144"/>
  <c r="Y139"/>
  <c r="J134"/>
  <c r="J131"/>
  <c r="Y134"/>
  <c r="J126"/>
  <c r="Y129"/>
  <c r="Y153"/>
  <c r="Y149"/>
  <c r="Y146"/>
  <c r="Y144"/>
  <c r="Y136"/>
  <c r="Y124"/>
  <c r="Y126"/>
  <c r="J152"/>
  <c r="J149"/>
  <c r="J127"/>
  <c r="J123"/>
  <c r="J136"/>
  <c r="Y145"/>
  <c r="Y127"/>
  <c r="J153"/>
  <c r="J150"/>
  <c r="Y142"/>
  <c r="Y143"/>
  <c r="Y138"/>
  <c r="Y150"/>
  <c r="Y132"/>
  <c r="J124"/>
  <c r="J128"/>
  <c r="J139"/>
  <c r="J133"/>
  <c r="J125"/>
  <c r="J130"/>
  <c r="J142"/>
  <c r="K61"/>
  <c r="J67"/>
  <c r="Y148"/>
  <c r="Y141"/>
  <c r="Y137"/>
  <c r="Y125"/>
  <c r="Y152"/>
  <c r="Y131"/>
  <c r="Y128"/>
  <c r="Y123"/>
  <c r="J151"/>
  <c r="J129"/>
  <c r="J145"/>
  <c r="J147"/>
  <c r="J155" l="1"/>
  <c r="Y156"/>
  <c r="K67"/>
  <c r="L61"/>
  <c r="E156" l="1"/>
  <c r="F156" s="1"/>
  <c r="G156" s="1"/>
  <c r="H156" s="1"/>
  <c r="I156" s="1"/>
  <c r="J156" s="1"/>
  <c r="K156" s="1"/>
  <c r="L156" s="1"/>
  <c r="M156" s="1"/>
  <c r="N156" s="1"/>
  <c r="O156" s="1"/>
  <c r="P156" s="1"/>
  <c r="Q156" s="1"/>
  <c r="R156" s="1"/>
  <c r="S156" s="1"/>
  <c r="T156" s="1"/>
  <c r="U156" s="1"/>
  <c r="V156" s="1"/>
  <c r="W156" s="1"/>
  <c r="X156" s="1"/>
  <c r="L67"/>
  <c r="M61"/>
  <c r="N61" l="1"/>
  <c r="M67"/>
  <c r="N67" l="1"/>
  <c r="O61"/>
  <c r="O67" l="1"/>
  <c r="P61"/>
  <c r="Q61" l="1"/>
  <c r="P67"/>
  <c r="Q67" l="1"/>
  <c r="R61"/>
  <c r="S61" l="1"/>
  <c r="R67"/>
  <c r="S67" l="1"/>
  <c r="T61"/>
  <c r="T67" l="1"/>
  <c r="U61"/>
  <c r="U67" l="1"/>
  <c r="V61"/>
  <c r="W61" l="1"/>
  <c r="V67"/>
  <c r="X61" l="1"/>
  <c r="X67" s="1"/>
  <c r="W67"/>
</calcChain>
</file>

<file path=xl/comments1.xml><?xml version="1.0" encoding="utf-8"?>
<comments xmlns="http://schemas.openxmlformats.org/spreadsheetml/2006/main">
  <authors>
    <author>Charlie Grist</author>
  </authors>
  <commentList>
    <comment ref="A1" authorId="0">
      <text>
        <r>
          <rPr>
            <b/>
            <sz val="9"/>
            <color indexed="81"/>
            <rFont val="Tahoma"/>
            <family val="2"/>
          </rPr>
          <t>Charlie Grist:</t>
        </r>
        <r>
          <rPr>
            <sz val="9"/>
            <color indexed="81"/>
            <rFont val="Tahoma"/>
            <family val="2"/>
          </rPr>
          <t xml:space="preserve">
Lookup in ComMaster</t>
        </r>
      </text>
    </comment>
    <comment ref="B1" authorId="0">
      <text>
        <r>
          <rPr>
            <b/>
            <sz val="9"/>
            <color indexed="81"/>
            <rFont val="Tahoma"/>
            <family val="2"/>
          </rPr>
          <t>Charlie Grist:</t>
        </r>
        <r>
          <rPr>
            <sz val="9"/>
            <color indexed="81"/>
            <rFont val="Tahoma"/>
            <family val="2"/>
          </rPr>
          <t xml:space="preserve">
New, NR, Retro</t>
        </r>
      </text>
    </comment>
    <comment ref="C1" authorId="0">
      <text>
        <r>
          <rPr>
            <b/>
            <sz val="9"/>
            <color indexed="81"/>
            <rFont val="Tahoma"/>
            <family val="2"/>
          </rPr>
          <t>Charlie Grist:</t>
        </r>
        <r>
          <rPr>
            <sz val="9"/>
            <color indexed="81"/>
            <rFont val="Tahoma"/>
            <family val="2"/>
          </rPr>
          <t xml:space="preserve">
Measure Index Name</t>
        </r>
      </text>
    </comment>
    <comment ref="E1" authorId="0">
      <text>
        <r>
          <rPr>
            <b/>
            <sz val="9"/>
            <color indexed="81"/>
            <rFont val="Tahoma"/>
            <family val="2"/>
          </rPr>
          <t>Charlie Grist:</t>
        </r>
        <r>
          <rPr>
            <sz val="9"/>
            <color indexed="81"/>
            <rFont val="Tahoma"/>
            <family val="2"/>
          </rPr>
          <t xml:space="preserve">
Use Massoud's Names</t>
        </r>
      </text>
    </comment>
    <comment ref="F1" authorId="0">
      <text>
        <r>
          <rPr>
            <b/>
            <sz val="9"/>
            <color indexed="81"/>
            <rFont val="Tahoma"/>
            <family val="2"/>
          </rPr>
          <t>Charlie Grist:</t>
        </r>
        <r>
          <rPr>
            <sz val="9"/>
            <color indexed="81"/>
            <rFont val="Tahoma"/>
            <family val="2"/>
          </rPr>
          <t xml:space="preserve">
From Shaped Savings column 14</t>
        </r>
      </text>
    </comment>
    <comment ref="G1" authorId="0">
      <text>
        <r>
          <rPr>
            <b/>
            <sz val="9"/>
            <color indexed="81"/>
            <rFont val="Tahoma"/>
            <family val="2"/>
          </rPr>
          <t>Charlie Grist:</t>
        </r>
        <r>
          <rPr>
            <sz val="9"/>
            <color indexed="81"/>
            <rFont val="Tahoma"/>
            <family val="2"/>
          </rPr>
          <t xml:space="preserve">
From SC or from Shaped Savings column 3.
</t>
        </r>
      </text>
    </comment>
    <comment ref="H1" authorId="0">
      <text>
        <r>
          <rPr>
            <b/>
            <sz val="9"/>
            <color indexed="81"/>
            <rFont val="Tahoma"/>
            <family val="2"/>
          </rPr>
          <t>Charlie Grist:</t>
        </r>
        <r>
          <rPr>
            <sz val="9"/>
            <color indexed="81"/>
            <rFont val="Tahoma"/>
            <family val="2"/>
          </rPr>
          <t xml:space="preserve">
From SC or from Shaped Savings column K (column 11)</t>
        </r>
      </text>
    </comment>
    <comment ref="I1" authorId="0">
      <text>
        <r>
          <rPr>
            <b/>
            <sz val="9"/>
            <color indexed="81"/>
            <rFont val="Tahoma"/>
            <family val="2"/>
          </rPr>
          <t>Charlie Grist:</t>
        </r>
        <r>
          <rPr>
            <sz val="9"/>
            <color indexed="81"/>
            <rFont val="Tahoma"/>
            <family val="2"/>
          </rPr>
          <t xml:space="preserve">
From SC</t>
        </r>
      </text>
    </comment>
    <comment ref="J1" authorId="0">
      <text>
        <r>
          <rPr>
            <b/>
            <sz val="9"/>
            <color indexed="81"/>
            <rFont val="Tahoma"/>
            <family val="2"/>
          </rPr>
          <t>Charlie Grist:</t>
        </r>
        <r>
          <rPr>
            <sz val="9"/>
            <color indexed="81"/>
            <rFont val="Tahoma"/>
            <family val="2"/>
          </rPr>
          <t xml:space="preserve">
From SC</t>
        </r>
      </text>
    </comment>
    <comment ref="K1" authorId="0">
      <text>
        <r>
          <rPr>
            <b/>
            <sz val="9"/>
            <color indexed="81"/>
            <rFont val="Tahoma"/>
            <family val="2"/>
          </rPr>
          <t>Charlie Grist:</t>
        </r>
        <r>
          <rPr>
            <sz val="9"/>
            <color indexed="81"/>
            <rFont val="Tahoma"/>
            <family val="2"/>
          </rPr>
          <t xml:space="preserve">
From SC.  For shaping.
RPM also uses this divided by  savings per unit to calculate units, and then uses kW per unit * units to calculate kW.  
Use Supply Curve Bundled starting in column 2  "column()-9"</t>
        </r>
      </text>
    </comment>
    <comment ref="AF1" authorId="0">
      <text>
        <r>
          <rPr>
            <b/>
            <sz val="9"/>
            <color indexed="81"/>
            <rFont val="Tahoma"/>
            <family val="2"/>
          </rPr>
          <t>Charlie Grist:</t>
        </r>
        <r>
          <rPr>
            <sz val="9"/>
            <color indexed="81"/>
            <rFont val="Tahoma"/>
            <family val="2"/>
          </rPr>
          <t xml:space="preserve">
From Shaped Savings.  Copy whole row down since column increment is hardwired into formula.  
Use column()-17 for the column reference</t>
        </r>
      </text>
    </comment>
  </commentList>
</comments>
</file>

<file path=xl/comments10.xml><?xml version="1.0" encoding="utf-8"?>
<comments xmlns="http://schemas.openxmlformats.org/spreadsheetml/2006/main">
  <authors>
    <author>Charlie Grist</author>
  </authors>
  <commentList>
    <comment ref="T14" authorId="0">
      <text>
        <r>
          <rPr>
            <b/>
            <sz val="8"/>
            <color indexed="81"/>
            <rFont val="Tahoma"/>
            <family val="2"/>
          </rPr>
          <t>Charlie Grist:</t>
        </r>
        <r>
          <rPr>
            <sz val="8"/>
            <color indexed="81"/>
            <rFont val="Tahoma"/>
            <family val="2"/>
          </rPr>
          <t xml:space="preserve">
Mo
st of this is residential and over 200 mills per kWh</t>
        </r>
      </text>
    </comment>
    <comment ref="T15" authorId="0">
      <text>
        <r>
          <rPr>
            <b/>
            <sz val="8"/>
            <color indexed="81"/>
            <rFont val="Tahoma"/>
            <family val="2"/>
          </rPr>
          <t>Charlie Grist:</t>
        </r>
        <r>
          <rPr>
            <sz val="8"/>
            <color indexed="81"/>
            <rFont val="Tahoma"/>
            <family val="2"/>
          </rPr>
          <t xml:space="preserve">
WalMart is done</t>
        </r>
      </text>
    </comment>
    <comment ref="K33" authorId="0">
      <text>
        <r>
          <rPr>
            <b/>
            <sz val="8"/>
            <color indexed="81"/>
            <rFont val="Tahoma"/>
            <family val="2"/>
          </rPr>
          <t>Charlie Grist:</t>
        </r>
        <r>
          <rPr>
            <sz val="8"/>
            <color indexed="81"/>
            <rFont val="Tahoma"/>
            <family val="2"/>
          </rPr>
          <t xml:space="preserve">
Seems low
</t>
        </r>
      </text>
    </comment>
  </commentList>
</comments>
</file>

<file path=xl/comments2.xml><?xml version="1.0" encoding="utf-8"?>
<comments xmlns="http://schemas.openxmlformats.org/spreadsheetml/2006/main">
  <authors>
    <author xml:space="preserve"> </author>
    <author>Charlie Grist</author>
  </authors>
  <commentList>
    <comment ref="I6" authorId="0">
      <text>
        <r>
          <rPr>
            <b/>
            <sz val="8"/>
            <color indexed="81"/>
            <rFont val="Tahoma"/>
            <family val="2"/>
          </rPr>
          <t xml:space="preserve"> :ProCost</t>
        </r>
        <r>
          <rPr>
            <sz val="8"/>
            <color indexed="81"/>
            <rFont val="Tahoma"/>
            <family val="2"/>
          </rPr>
          <t xml:space="preserve">
Perioodic replacement costs and savinsg of the measure.
These are costs and savings that occur periodicially, but at different periods than annually.  
Can be positive or negative.  Periodic replacement costs for both the measure and the baseline measure should be included if applicable. 
ProCost can analysze these costs in two ways dependent on the 'Repeat Periodic Replacemetn'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lamps per fixture must be replaced at years 6 and 11.  Lamp and labor costs, expressed as positive costs, are entered as a cost and the period would be enetered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O6" authorId="0">
      <text>
        <r>
          <rPr>
            <b/>
            <sz val="8"/>
            <color indexed="81"/>
            <rFont val="Tahoma"/>
            <family val="2"/>
          </rPr>
          <t xml:space="preserve"> :ProCost</t>
        </r>
        <r>
          <rPr>
            <sz val="8"/>
            <color indexed="81"/>
            <rFont val="Tahoma"/>
            <family val="2"/>
          </rPr>
          <t xml:space="preserve">
If the measure has gas savings for incfreases, enter the annual savings and shape of the savings here.
Example:  Clothes washer saves electric motor and dryer energy and gas water heat.  </t>
        </r>
      </text>
    </comment>
    <comment ref="A7"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B7"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C7"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D7" authorId="0">
      <text>
        <r>
          <rPr>
            <b/>
            <sz val="8"/>
            <color indexed="81"/>
            <rFont val="Tahoma"/>
            <family val="2"/>
          </rPr>
          <t xml:space="preserve"> :ProCost</t>
        </r>
        <r>
          <rPr>
            <sz val="8"/>
            <color indexed="81"/>
            <rFont val="Tahoma"/>
            <family val="2"/>
          </rPr>
          <t xml:space="preserve">
Physical life of the measure in years.  Must be &gt;=1.</t>
        </r>
      </text>
    </comment>
    <comment ref="E7"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F7" authorId="0">
      <text>
        <r>
          <rPr>
            <b/>
            <sz val="8"/>
            <color indexed="81"/>
            <rFont val="Tahoma"/>
            <family val="2"/>
          </rPr>
          <t xml:space="preserve"> :ProCost</t>
        </r>
        <r>
          <rPr>
            <sz val="8"/>
            <color indexed="81"/>
            <rFont val="Tahoma"/>
            <family val="2"/>
          </rPr>
          <t xml:space="preserve">
Annaul opperations and maintenace cost for the measure in dollars.  Must be incremental cost over the baseline alternative.  May be positive, negative or zero.  
Dollars must be denominated in the same year as 'Input Cost Reference Year' input on the ProData page. 
O&amp;M costs are enetered as positive values.    Negative values represent O&amp;M savings compared to the baseline alternative. 
Example:  Annualized maintenace cost for a heat pump heating system compared to a baseline electric resistance  heating system.
</t>
        </r>
      </text>
    </comment>
    <comment ref="G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H7"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I7"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J7"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K7"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L7"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M7"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N7"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O7" authorId="0">
      <text>
        <r>
          <rPr>
            <b/>
            <sz val="8"/>
            <color indexed="81"/>
            <rFont val="Tahoma"/>
            <family val="2"/>
          </rPr>
          <t xml:space="preserve"> :</t>
        </r>
        <r>
          <rPr>
            <sz val="8"/>
            <color indexed="81"/>
            <rFont val="Tahoma"/>
            <family val="2"/>
          </rPr>
          <t xml:space="preserve">
Annual gas savings, or increases, in therms.</t>
        </r>
      </text>
    </comment>
    <comment ref="P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BH58"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58"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58"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58"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H87"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87"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87"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87"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List>
</comments>
</file>

<file path=xl/comments3.xml><?xml version="1.0" encoding="utf-8"?>
<comments xmlns="http://schemas.openxmlformats.org/spreadsheetml/2006/main">
  <authors>
    <author xml:space="preserve"> </author>
    <author>Charlie Grist</author>
  </authors>
  <commentList>
    <comment ref="I6" authorId="0">
      <text>
        <r>
          <rPr>
            <b/>
            <sz val="8"/>
            <color indexed="81"/>
            <rFont val="Tahoma"/>
            <family val="2"/>
          </rPr>
          <t xml:space="preserve"> :ProCost</t>
        </r>
        <r>
          <rPr>
            <sz val="8"/>
            <color indexed="81"/>
            <rFont val="Tahoma"/>
            <family val="2"/>
          </rPr>
          <t xml:space="preserve">
Perioodic replacement costs and savinsg of the measure.
These are costs and savings that occur periodicially, but at different periods than annually.  
Can be positive or negative.  Periodic replacement costs for both the measure and the baseline measure should be included if applicable. 
ProCost can analysze these costs in two ways dependent on the 'Repeat Periodic Replacemetn'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lamps per fixture must be replaced at years 6 and 11.  Lamp and labor costs, expressed as positive costs, are entered as a cost and the period would be enetered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O6" authorId="0">
      <text>
        <r>
          <rPr>
            <b/>
            <sz val="8"/>
            <color indexed="81"/>
            <rFont val="Tahoma"/>
            <family val="2"/>
          </rPr>
          <t xml:space="preserve"> :ProCost</t>
        </r>
        <r>
          <rPr>
            <sz val="8"/>
            <color indexed="81"/>
            <rFont val="Tahoma"/>
            <family val="2"/>
          </rPr>
          <t xml:space="preserve">
If the measure has gas savings for incfreases, enter the annual savings and shape of the savings here.
Example:  Clothes washer saves electric motor and dryer energy and gas water heat.  </t>
        </r>
      </text>
    </comment>
    <comment ref="A7"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B7"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C7"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D7" authorId="0">
      <text>
        <r>
          <rPr>
            <b/>
            <sz val="8"/>
            <color indexed="81"/>
            <rFont val="Tahoma"/>
            <family val="2"/>
          </rPr>
          <t xml:space="preserve"> :ProCost</t>
        </r>
        <r>
          <rPr>
            <sz val="8"/>
            <color indexed="81"/>
            <rFont val="Tahoma"/>
            <family val="2"/>
          </rPr>
          <t xml:space="preserve">
Physical life of the measure in years.  Must be &gt;=1.</t>
        </r>
      </text>
    </comment>
    <comment ref="E7"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F7" authorId="0">
      <text>
        <r>
          <rPr>
            <b/>
            <sz val="8"/>
            <color indexed="81"/>
            <rFont val="Tahoma"/>
            <family val="2"/>
          </rPr>
          <t xml:space="preserve"> :ProCost</t>
        </r>
        <r>
          <rPr>
            <sz val="8"/>
            <color indexed="81"/>
            <rFont val="Tahoma"/>
            <family val="2"/>
          </rPr>
          <t xml:space="preserve">
Annaul opperations and maintenace cost for the measure in dollars.  Must be incremental cost over the baseline alternative.  May be positive, negative or zero.  
Dollars must be denominated in the same year as 'Input Cost Reference Year' input on the ProData page. 
O&amp;M costs are enetered as positive values.    Negative values represent O&amp;M savings compared to the baseline alternative. 
Example:  Annualized maintenace cost for a heat pump heating system compared to a baseline electric resistance  heating system.
</t>
        </r>
      </text>
    </comment>
    <comment ref="G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H7"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I7"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J7"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K7"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L7"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M7"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N7"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O7" authorId="0">
      <text>
        <r>
          <rPr>
            <b/>
            <sz val="8"/>
            <color indexed="81"/>
            <rFont val="Tahoma"/>
            <family val="2"/>
          </rPr>
          <t xml:space="preserve"> :</t>
        </r>
        <r>
          <rPr>
            <sz val="8"/>
            <color indexed="81"/>
            <rFont val="Tahoma"/>
            <family val="2"/>
          </rPr>
          <t xml:space="preserve">
Annual gas savings, or increases, in therms.</t>
        </r>
      </text>
    </comment>
    <comment ref="P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BH58"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58"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58"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58"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H87"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87"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87"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87"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List>
</comments>
</file>

<file path=xl/comments4.xml><?xml version="1.0" encoding="utf-8"?>
<comments xmlns="http://schemas.openxmlformats.org/spreadsheetml/2006/main">
  <authors>
    <author xml:space="preserve"> </author>
    <author>Charlie Grist</author>
  </authors>
  <commentList>
    <comment ref="I6" authorId="0">
      <text>
        <r>
          <rPr>
            <b/>
            <sz val="8"/>
            <color indexed="81"/>
            <rFont val="Tahoma"/>
            <family val="2"/>
          </rPr>
          <t xml:space="preserve"> :ProCost</t>
        </r>
        <r>
          <rPr>
            <sz val="8"/>
            <color indexed="81"/>
            <rFont val="Tahoma"/>
            <family val="2"/>
          </rPr>
          <t xml:space="preserve">
Perioodic replacement costs and savinsg of the measure.
These are costs and savings that occur periodicially, but at different periods than annually.  
Can be positive or negative.  Periodic replacement costs for both the measure and the baseline measure should be included if applicable. 
ProCost can analysze these costs in two ways dependent on the 'Repeat Periodic Replacemetn'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lamps per fixture must be replaced at years 6 and 11.  Lamp and labor costs, expressed as positive costs, are entered as a cost and the period would be enetered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O6" authorId="0">
      <text>
        <r>
          <rPr>
            <b/>
            <sz val="8"/>
            <color indexed="81"/>
            <rFont val="Tahoma"/>
            <family val="2"/>
          </rPr>
          <t xml:space="preserve"> :ProCost</t>
        </r>
        <r>
          <rPr>
            <sz val="8"/>
            <color indexed="81"/>
            <rFont val="Tahoma"/>
            <family val="2"/>
          </rPr>
          <t xml:space="preserve">
If the measure has gas savings for incfreases, enter the annual savings and shape of the savings here.
Example:  Clothes washer saves electric motor and dryer energy and gas water heat.  </t>
        </r>
      </text>
    </comment>
    <comment ref="A7"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B7"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C7"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D7" authorId="0">
      <text>
        <r>
          <rPr>
            <b/>
            <sz val="8"/>
            <color indexed="81"/>
            <rFont val="Tahoma"/>
            <family val="2"/>
          </rPr>
          <t xml:space="preserve"> :ProCost</t>
        </r>
        <r>
          <rPr>
            <sz val="8"/>
            <color indexed="81"/>
            <rFont val="Tahoma"/>
            <family val="2"/>
          </rPr>
          <t xml:space="preserve">
Physical life of the measure in years.  Must be &gt;=1.</t>
        </r>
      </text>
    </comment>
    <comment ref="E7"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F7" authorId="0">
      <text>
        <r>
          <rPr>
            <b/>
            <sz val="8"/>
            <color indexed="81"/>
            <rFont val="Tahoma"/>
            <family val="2"/>
          </rPr>
          <t xml:space="preserve"> :ProCost</t>
        </r>
        <r>
          <rPr>
            <sz val="8"/>
            <color indexed="81"/>
            <rFont val="Tahoma"/>
            <family val="2"/>
          </rPr>
          <t xml:space="preserve">
Annaul opperations and maintenace cost for the measure in dollars.  Must be incremental cost over the baseline alternative.  May be positive, negative or zero.  
Dollars must be denominated in the same year as 'Input Cost Reference Year' input on the ProData page. 
O&amp;M costs are enetered as positive values.    Negative values represent O&amp;M savings compared to the baseline alternative. 
Example:  Annualized maintenace cost for a heat pump heating system compared to a baseline electric resistance  heating system.
</t>
        </r>
      </text>
    </comment>
    <comment ref="G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H7"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I7"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J7"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K7"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L7"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M7"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N7"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O7" authorId="0">
      <text>
        <r>
          <rPr>
            <b/>
            <sz val="8"/>
            <color indexed="81"/>
            <rFont val="Tahoma"/>
            <family val="2"/>
          </rPr>
          <t xml:space="preserve"> :</t>
        </r>
        <r>
          <rPr>
            <sz val="8"/>
            <color indexed="81"/>
            <rFont val="Tahoma"/>
            <family val="2"/>
          </rPr>
          <t xml:space="preserve">
Annual gas savings, or increases, in therms.</t>
        </r>
      </text>
    </comment>
    <comment ref="P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BH58"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58"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58"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58"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H87"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87"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87"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87"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List>
</comments>
</file>

<file path=xl/comments5.xml><?xml version="1.0" encoding="utf-8"?>
<comments xmlns="http://schemas.openxmlformats.org/spreadsheetml/2006/main">
  <authors>
    <author xml:space="preserve"> </author>
    <author>Charlie Grist</author>
  </authors>
  <commentList>
    <comment ref="I6" authorId="0">
      <text>
        <r>
          <rPr>
            <b/>
            <sz val="8"/>
            <color indexed="81"/>
            <rFont val="Tahoma"/>
            <family val="2"/>
          </rPr>
          <t xml:space="preserve"> :ProCost</t>
        </r>
        <r>
          <rPr>
            <sz val="8"/>
            <color indexed="81"/>
            <rFont val="Tahoma"/>
            <family val="2"/>
          </rPr>
          <t xml:space="preserve">
Perioodic replacement costs and savinsg of the measure.
These are costs and savings that occur periodicially, but at different periods than annually.  
Can be positive or negative.  Periodic replacement costs for both the measure and the baseline measure should be included if applicable. 
ProCost can analysze these costs in two ways dependent on the 'Repeat Periodic Replacemetn'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lamps per fixture must be replaced at years 6 and 11.  Lamp and labor costs, expressed as positive costs, are entered as a cost and the period would be enetered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O6" authorId="0">
      <text>
        <r>
          <rPr>
            <b/>
            <sz val="8"/>
            <color indexed="81"/>
            <rFont val="Tahoma"/>
            <family val="2"/>
          </rPr>
          <t xml:space="preserve"> :ProCost</t>
        </r>
        <r>
          <rPr>
            <sz val="8"/>
            <color indexed="81"/>
            <rFont val="Tahoma"/>
            <family val="2"/>
          </rPr>
          <t xml:space="preserve">
If the measure has gas savings for incfreases, enter the annual savings and shape of the savings here.
Example:  Clothes washer saves electric motor and dryer energy and gas water heat.  </t>
        </r>
      </text>
    </comment>
    <comment ref="A7"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B7"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C7"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D7" authorId="0">
      <text>
        <r>
          <rPr>
            <b/>
            <sz val="8"/>
            <color indexed="81"/>
            <rFont val="Tahoma"/>
            <family val="2"/>
          </rPr>
          <t xml:space="preserve"> :ProCost</t>
        </r>
        <r>
          <rPr>
            <sz val="8"/>
            <color indexed="81"/>
            <rFont val="Tahoma"/>
            <family val="2"/>
          </rPr>
          <t xml:space="preserve">
Physical life of the measure in years.  Must be &gt;=1.</t>
        </r>
      </text>
    </comment>
    <comment ref="E7"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F7" authorId="0">
      <text>
        <r>
          <rPr>
            <b/>
            <sz val="8"/>
            <color indexed="81"/>
            <rFont val="Tahoma"/>
            <family val="2"/>
          </rPr>
          <t xml:space="preserve"> :ProCost</t>
        </r>
        <r>
          <rPr>
            <sz val="8"/>
            <color indexed="81"/>
            <rFont val="Tahoma"/>
            <family val="2"/>
          </rPr>
          <t xml:space="preserve">
Annaul opperations and maintenace cost for the measure in dollars.  Must be incremental cost over the baseline alternative.  May be positive, negative or zero.  
Dollars must be denominated in the same year as 'Input Cost Reference Year' input on the ProData page. 
O&amp;M costs are enetered as positive values.    Negative values represent O&amp;M savings compared to the baseline alternative. 
Example:  Annualized maintenace cost for a heat pump heating system compared to a baseline electric resistance  heating system.
</t>
        </r>
      </text>
    </comment>
    <comment ref="G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H7"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I7"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J7"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K7"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L7"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M7"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N7"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O7" authorId="0">
      <text>
        <r>
          <rPr>
            <b/>
            <sz val="8"/>
            <color indexed="81"/>
            <rFont val="Tahoma"/>
            <family val="2"/>
          </rPr>
          <t xml:space="preserve"> :</t>
        </r>
        <r>
          <rPr>
            <sz val="8"/>
            <color indexed="81"/>
            <rFont val="Tahoma"/>
            <family val="2"/>
          </rPr>
          <t xml:space="preserve">
Annual gas savings, or increases, in therms.</t>
        </r>
      </text>
    </comment>
    <comment ref="P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shaps are in the MC_AND_Loadshape file.   
</t>
        </r>
      </text>
    </comment>
    <comment ref="BH58"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58"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58"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58"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H87"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87"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87"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87"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List>
</comments>
</file>

<file path=xl/comments6.xml><?xml version="1.0" encoding="utf-8"?>
<comments xmlns="http://schemas.openxmlformats.org/spreadsheetml/2006/main">
  <authors>
    <author>Charlie Grist</author>
  </authors>
  <commentList>
    <comment ref="Y25" authorId="0">
      <text>
        <r>
          <rPr>
            <b/>
            <sz val="9"/>
            <color indexed="81"/>
            <rFont val="Tahoma"/>
            <family val="2"/>
          </rPr>
          <t>Charlie Grist:</t>
        </r>
        <r>
          <rPr>
            <sz val="9"/>
            <color indexed="81"/>
            <rFont val="Tahoma"/>
            <family val="2"/>
          </rPr>
          <t xml:space="preserve">
No incremental labor in NR case.  Assume end of life replacement at butrnout of existing lamp.</t>
        </r>
      </text>
    </comment>
  </commentList>
</comments>
</file>

<file path=xl/comments7.xml><?xml version="1.0" encoding="utf-8"?>
<comments xmlns="http://schemas.openxmlformats.org/spreadsheetml/2006/main">
  <authors>
    <author>Charlie Grist</author>
  </authors>
  <commentList>
    <comment ref="E11" authorId="0">
      <text>
        <r>
          <rPr>
            <b/>
            <sz val="9"/>
            <color indexed="81"/>
            <rFont val="Tahoma"/>
            <family val="2"/>
          </rPr>
          <t>Charlie Grist:</t>
        </r>
        <r>
          <rPr>
            <sz val="9"/>
            <color indexed="81"/>
            <rFont val="Tahoma"/>
            <family val="2"/>
          </rPr>
          <t xml:space="preserve">
Revised to meet 2017 standard</t>
        </r>
      </text>
    </comment>
    <comment ref="E12" authorId="0">
      <text>
        <r>
          <rPr>
            <b/>
            <sz val="9"/>
            <color indexed="81"/>
            <rFont val="Tahoma"/>
            <family val="2"/>
          </rPr>
          <t>Charlie Grist:</t>
        </r>
        <r>
          <rPr>
            <sz val="9"/>
            <color indexed="81"/>
            <rFont val="Tahoma"/>
            <family val="2"/>
          </rPr>
          <t xml:space="preserve">
Revised to meet 2017 standard</t>
        </r>
      </text>
    </comment>
    <comment ref="E15" authorId="0">
      <text>
        <r>
          <rPr>
            <b/>
            <sz val="9"/>
            <color indexed="81"/>
            <rFont val="Tahoma"/>
            <family val="2"/>
          </rPr>
          <t>Charlie Grist:</t>
        </r>
        <r>
          <rPr>
            <sz val="9"/>
            <color indexed="81"/>
            <rFont val="Tahoma"/>
            <family val="2"/>
          </rPr>
          <t xml:space="preserve">
Revised to meet 2017 standard</t>
        </r>
      </text>
    </comment>
    <comment ref="E16" authorId="0">
      <text>
        <r>
          <rPr>
            <b/>
            <sz val="9"/>
            <color indexed="81"/>
            <rFont val="Tahoma"/>
            <family val="2"/>
          </rPr>
          <t>Charlie Grist:</t>
        </r>
        <r>
          <rPr>
            <sz val="9"/>
            <color indexed="81"/>
            <rFont val="Tahoma"/>
            <family val="2"/>
          </rPr>
          <t xml:space="preserve">
Revised to meet 2017 standard</t>
        </r>
      </text>
    </comment>
  </commentList>
</comments>
</file>

<file path=xl/comments8.xml><?xml version="1.0" encoding="utf-8"?>
<comments xmlns="http://schemas.openxmlformats.org/spreadsheetml/2006/main">
  <authors>
    <author>Charlie Grist</author>
  </authors>
  <commentList>
    <comment ref="A35" authorId="0">
      <text>
        <r>
          <rPr>
            <b/>
            <sz val="9"/>
            <color indexed="81"/>
            <rFont val="Tahoma"/>
            <family val="2"/>
          </rPr>
          <t>Charlie Grist:</t>
        </r>
        <r>
          <rPr>
            <sz val="9"/>
            <color indexed="81"/>
            <rFont val="Tahoma"/>
            <family val="2"/>
          </rPr>
          <t xml:space="preserve">
PNL Inventory plus Council Update
and induvidual jurisdiction reports.</t>
        </r>
      </text>
    </comment>
  </commentList>
</comments>
</file>

<file path=xl/comments9.xml><?xml version="1.0" encoding="utf-8"?>
<comments xmlns="http://schemas.openxmlformats.org/spreadsheetml/2006/main">
  <authors>
    <author>Charlie Grist</author>
  </authors>
  <commentList>
    <comment ref="H6" authorId="0">
      <text>
        <r>
          <rPr>
            <b/>
            <sz val="9"/>
            <color indexed="81"/>
            <rFont val="Tahoma"/>
            <family val="2"/>
          </rPr>
          <t>Charlie Grist:</t>
        </r>
        <r>
          <rPr>
            <sz val="9"/>
            <color indexed="81"/>
            <rFont val="Tahoma"/>
            <family val="2"/>
          </rPr>
          <t xml:space="preserve">
From: Regressions on PNL survey and others, reference 4.  See workbook from Maggie L. Reference #7</t>
        </r>
      </text>
    </comment>
    <comment ref="I8" authorId="0">
      <text>
        <r>
          <rPr>
            <b/>
            <sz val="9"/>
            <color indexed="81"/>
            <rFont val="Tahoma"/>
            <family val="2"/>
          </rPr>
          <t>Charlie Grist:</t>
        </r>
        <r>
          <rPr>
            <sz val="9"/>
            <color indexed="81"/>
            <rFont val="Tahoma"/>
            <family val="2"/>
          </rPr>
          <t xml:space="preserve">
Estimate. Some surveyed were state-owned highway luminaires.  This estimate was adjusted to align with the regression analysis the Council performed for total muni streetlights.  See memo from Maggie Lahet.</t>
        </r>
      </text>
    </comment>
    <comment ref="H11" authorId="0">
      <text>
        <r>
          <rPr>
            <b/>
            <sz val="9"/>
            <color indexed="81"/>
            <rFont val="Tahoma"/>
            <family val="2"/>
          </rPr>
          <t>Charlie Grist:</t>
        </r>
        <r>
          <rPr>
            <sz val="9"/>
            <color indexed="81"/>
            <rFont val="Tahoma"/>
            <family val="2"/>
          </rPr>
          <t xml:space="preserve">
From City of Portland Schedule wityh PGE.  See 6P City of Portland workbook. Also Tacoma</t>
        </r>
      </text>
    </comment>
    <comment ref="O14" authorId="0">
      <text>
        <r>
          <rPr>
            <b/>
            <sz val="9"/>
            <color indexed="81"/>
            <rFont val="Tahoma"/>
            <family val="2"/>
          </rPr>
          <t>Charlie Grist:</t>
        </r>
        <r>
          <rPr>
            <sz val="9"/>
            <color indexed="81"/>
            <rFont val="Tahoma"/>
            <family val="2"/>
          </rPr>
          <t xml:space="preserve">
Range 5 to 10 million per Bruce K.</t>
        </r>
      </text>
    </comment>
    <comment ref="H16" authorId="0">
      <text>
        <r>
          <rPr>
            <b/>
            <sz val="9"/>
            <color indexed="81"/>
            <rFont val="Tahoma"/>
            <family val="2"/>
          </rPr>
          <t>Charlie Grist:</t>
        </r>
        <r>
          <rPr>
            <sz val="9"/>
            <color indexed="81"/>
            <rFont val="Tahoma"/>
            <family val="2"/>
          </rPr>
          <t xml:space="preserve">
Reference 1.  PNL 2014. By count.  Use low end of range.</t>
        </r>
      </text>
    </comment>
    <comment ref="H17" authorId="0">
      <text>
        <r>
          <rPr>
            <b/>
            <sz val="9"/>
            <color indexed="81"/>
            <rFont val="Tahoma"/>
            <family val="2"/>
          </rPr>
          <t>Charlie Grist:</t>
        </r>
        <r>
          <rPr>
            <sz val="9"/>
            <color indexed="81"/>
            <rFont val="Tahoma"/>
            <family val="2"/>
          </rPr>
          <t xml:space="preserve">
Based on 400 W HID per PGE schedule and Tacoma</t>
        </r>
      </text>
    </comment>
    <comment ref="H21" authorId="0">
      <text>
        <r>
          <rPr>
            <b/>
            <sz val="9"/>
            <color indexed="81"/>
            <rFont val="Tahoma"/>
            <family val="2"/>
          </rPr>
          <t>Charlie Grist:</t>
        </r>
        <r>
          <rPr>
            <sz val="9"/>
            <color indexed="81"/>
            <rFont val="Tahoma"/>
            <family val="2"/>
          </rPr>
          <t xml:space="preserve">
This estimate drives the units model.  Note this is almost half of the Navigant sharedown estimate</t>
        </r>
      </text>
    </comment>
    <comment ref="D24" authorId="0">
      <text>
        <r>
          <rPr>
            <b/>
            <sz val="9"/>
            <color indexed="81"/>
            <rFont val="Tahoma"/>
            <family val="2"/>
          </rPr>
          <t>Charlie Grist:</t>
        </r>
        <r>
          <rPr>
            <sz val="9"/>
            <color indexed="81"/>
            <rFont val="Tahoma"/>
            <family val="2"/>
          </rPr>
          <t xml:space="preserve">
Based on estimate of unmetered &amp; not on SL schedule</t>
        </r>
      </text>
    </comment>
    <comment ref="H27" authorId="0">
      <text>
        <r>
          <rPr>
            <b/>
            <sz val="9"/>
            <color indexed="81"/>
            <rFont val="Tahoma"/>
            <family val="2"/>
          </rPr>
          <t>Charlie Grist:</t>
        </r>
        <r>
          <rPr>
            <sz val="9"/>
            <color indexed="81"/>
            <rFont val="Tahoma"/>
            <family val="2"/>
          </rPr>
          <t xml:space="preserve">
This is a pre-LED conversion estimate for calibration.</t>
        </r>
      </text>
    </comment>
  </commentList>
</comments>
</file>

<file path=xl/sharedStrings.xml><?xml version="1.0" encoding="utf-8"?>
<sst xmlns="http://schemas.openxmlformats.org/spreadsheetml/2006/main" count="4606" uniqueCount="1075">
  <si>
    <t>Measure:</t>
  </si>
  <si>
    <t>Item</t>
  </si>
  <si>
    <t>Methods &amp; Sources</t>
  </si>
  <si>
    <t>7P Updates</t>
  </si>
  <si>
    <t>Measures Described</t>
  </si>
  <si>
    <t>Energy Savings Calculation Basis</t>
  </si>
  <si>
    <t>Applicable Stock</t>
  </si>
  <si>
    <t>Baseline Saturation</t>
  </si>
  <si>
    <t>Measure Life</t>
  </si>
  <si>
    <t>Achievability Ramp Rate</t>
  </si>
  <si>
    <t>Data Set Name</t>
  </si>
  <si>
    <t>Measure Index Name</t>
  </si>
  <si>
    <t>Costs must be denominated in the same year as 'Input Cost Reference Year' =</t>
  </si>
  <si>
    <t>Input Data</t>
  </si>
  <si>
    <t>Periodic Replacement Costs and Savings and Replacement Period</t>
  </si>
  <si>
    <t>Gas Inputs</t>
  </si>
  <si>
    <t>Retro or LO</t>
  </si>
  <si>
    <t>Early Retrofit Parameters</t>
  </si>
  <si>
    <t>Category Name</t>
  </si>
  <si>
    <t>Measure Name</t>
  </si>
  <si>
    <t>Savings (kwh/yr)</t>
  </si>
  <si>
    <t>Life (yrs)</t>
  </si>
  <si>
    <t>Capital Cost</t>
  </si>
  <si>
    <t>Annual O&amp;M</t>
  </si>
  <si>
    <t>Shape Pointer</t>
  </si>
  <si>
    <t>Non-E Val ($/yr)</t>
  </si>
  <si>
    <t>Cost 1 ($)</t>
  </si>
  <si>
    <t xml:space="preserve">Period 1 </t>
  </si>
  <si>
    <t>Cost 2 ($)</t>
  </si>
  <si>
    <t>Period 2</t>
  </si>
  <si>
    <t>Cost 3 ($)</t>
  </si>
  <si>
    <t>Period 3</t>
  </si>
  <si>
    <t>Savings (therms/yr)</t>
  </si>
  <si>
    <t>R or L</t>
  </si>
  <si>
    <t>Savings 2
(kWh)</t>
  </si>
  <si>
    <t>Remaining
Life (yrs)</t>
  </si>
  <si>
    <t>Salvage Value ($)</t>
  </si>
  <si>
    <t>New</t>
  </si>
  <si>
    <t>MOPP</t>
  </si>
  <si>
    <t>From</t>
  </si>
  <si>
    <t>To</t>
  </si>
  <si>
    <t>Application</t>
  </si>
  <si>
    <t>Lamp Life Pre</t>
  </si>
  <si>
    <t>Lamp Life Post</t>
  </si>
  <si>
    <t>Annual Hours</t>
  </si>
  <si>
    <t>Tariff Maintenance Cost</t>
  </si>
  <si>
    <t>Avoided Relamp Cost 1 ($)</t>
  </si>
  <si>
    <t xml:space="preserve">Avoided Relamp Cycle (Group)Period 1 </t>
  </si>
  <si>
    <t>Incremental Fixture Cost &amp; Labor</t>
  </si>
  <si>
    <t>Incremental Install Labor Cost</t>
  </si>
  <si>
    <t>Incremental Labor Hours</t>
  </si>
  <si>
    <t xml:space="preserve">Avoided Ballast Cost </t>
  </si>
  <si>
    <t>New Fixture Cost</t>
  </si>
  <si>
    <t>Baseline Fixture Cost</t>
  </si>
  <si>
    <t>Pre Watt</t>
  </si>
  <si>
    <t>Post Watt</t>
  </si>
  <si>
    <t>Delta Watt</t>
  </si>
  <si>
    <t>Fixture Cost per Watt</t>
  </si>
  <si>
    <t>Fixture Cost per Delta Watt</t>
  </si>
  <si>
    <t>Percent Savings</t>
  </si>
  <si>
    <t>null1</t>
  </si>
  <si>
    <t>Relamp Option (Group)</t>
  </si>
  <si>
    <t>HPS Lamp Change Hours (Group)</t>
  </si>
  <si>
    <t>HPS Lamp Change Labor Cost (Group)</t>
  </si>
  <si>
    <t>HPS Lamp  Cost</t>
  </si>
  <si>
    <t>null2</t>
  </si>
  <si>
    <t>MEASURE APP WT</t>
  </si>
  <si>
    <t>Fraction Wattage</t>
  </si>
  <si>
    <t>Measure Selection WT</t>
  </si>
  <si>
    <t>Relamp Selection WT</t>
  </si>
  <si>
    <t>Fixture Cost per Watt Saved</t>
  </si>
  <si>
    <t>HPS 100W</t>
  </si>
  <si>
    <t>Streetlight</t>
  </si>
  <si>
    <t>Group</t>
  </si>
  <si>
    <t>Tariff</t>
  </si>
  <si>
    <t>NR</t>
  </si>
  <si>
    <t>Labor Rate</t>
  </si>
  <si>
    <t>$/hr</t>
  </si>
  <si>
    <t>Vehicle Rate</t>
  </si>
  <si>
    <t>Total Rate</t>
  </si>
  <si>
    <t>Fixture</t>
  </si>
  <si>
    <t>Mount Height</t>
  </si>
  <si>
    <t>Luminaire Wattage</t>
  </si>
  <si>
    <t>Mean Lumen Output Photopic</t>
  </si>
  <si>
    <t>Mean Lumen Output Scotopic</t>
  </si>
  <si>
    <t>Lamps per Fixture</t>
  </si>
  <si>
    <t>Ballasts per Fixture</t>
  </si>
  <si>
    <t>Luminaire Cost $2006</t>
  </si>
  <si>
    <t>Lamp Hours</t>
  </si>
  <si>
    <t>Lamp Cost</t>
  </si>
  <si>
    <t>Total Hours</t>
  </si>
  <si>
    <t>Lamp Change Cost</t>
  </si>
  <si>
    <t>Ballast Cost</t>
  </si>
  <si>
    <t>Year of Cost Data</t>
  </si>
  <si>
    <t>Hours per Year on Photo Control</t>
  </si>
  <si>
    <t>Energy Use per Year on Photo Control</t>
  </si>
  <si>
    <t>Lamp Life in Years</t>
  </si>
  <si>
    <t>Source</t>
  </si>
  <si>
    <t>First Cost $/million-lumen-hours</t>
  </si>
  <si>
    <t>First Cost $/Watt</t>
  </si>
  <si>
    <t>Pole Mount Street Lights</t>
  </si>
  <si>
    <t>Anchorage</t>
  </si>
  <si>
    <t>Savings</t>
  </si>
  <si>
    <t>Navigant 2008</t>
  </si>
  <si>
    <t>Navigant 2002</t>
  </si>
  <si>
    <t>..\Measure Data\Lighting\SSL\City of Portland Lights Sch91FY07-08.xls</t>
  </si>
  <si>
    <t>US Luminaire Count 2007 in millions (Navigant 2008)</t>
  </si>
  <si>
    <t>Based on 2008 Study</t>
  </si>
  <si>
    <t>Based on 2002 Study</t>
  </si>
  <si>
    <t>PNW Luminaire Count in million luminiares in 2010</t>
  </si>
  <si>
    <t xml:space="preserve">These data are from City of Portland: </t>
  </si>
  <si>
    <t>Use</t>
  </si>
  <si>
    <t>Type</t>
  </si>
  <si>
    <t>Type2</t>
  </si>
  <si>
    <t>Fraction for Use</t>
  </si>
  <si>
    <t>Fraction Type</t>
  </si>
  <si>
    <t>Fraction Type2</t>
  </si>
  <si>
    <t>Fraction Total</t>
  </si>
  <si>
    <t>US Luminaires in Millions</t>
  </si>
  <si>
    <t>PNW Luminaires Based on 2008 Study</t>
  </si>
  <si>
    <t>By Population</t>
  </si>
  <si>
    <t>Street HPS Cobra Head</t>
  </si>
  <si>
    <t>Streetlight HPS &lt;400W</t>
  </si>
  <si>
    <t>Portland Fixture Count by Wattage</t>
  </si>
  <si>
    <t>Portland Luminaire Connected Wattage by Size and Type</t>
  </si>
  <si>
    <t>Sum of Total Watts</t>
  </si>
  <si>
    <t>Highway High Mast (&gt;50 feet)</t>
  </si>
  <si>
    <t>Wattage</t>
  </si>
  <si>
    <t>HPS</t>
  </si>
  <si>
    <t>MH</t>
  </si>
  <si>
    <t>MV</t>
  </si>
  <si>
    <t>(blank)</t>
  </si>
  <si>
    <t>Grand Total</t>
  </si>
  <si>
    <t>Highway Low Mast</t>
  </si>
  <si>
    <t>Highway Tunnel</t>
  </si>
  <si>
    <t>HPS Cobra Head</t>
  </si>
  <si>
    <t>LPS</t>
  </si>
  <si>
    <t>MH Cobra Head</t>
  </si>
  <si>
    <t>HPS Decorative</t>
  </si>
  <si>
    <t>Parking</t>
  </si>
  <si>
    <t>Open Parking</t>
  </si>
  <si>
    <t>Parking HPS</t>
  </si>
  <si>
    <t>Parking MH</t>
  </si>
  <si>
    <t>Parking LF</t>
  </si>
  <si>
    <t>WT Average</t>
  </si>
  <si>
    <t>weighted average wattage</t>
  </si>
  <si>
    <t>Covered Parking</t>
  </si>
  <si>
    <t>Fract &lt; 400W</t>
  </si>
  <si>
    <t>Area</t>
  </si>
  <si>
    <t>Area High Mast</t>
  </si>
  <si>
    <t>Area Low Mast</t>
  </si>
  <si>
    <t>Flood</t>
  </si>
  <si>
    <t>Flood High Mast</t>
  </si>
  <si>
    <t>Flood Low</t>
  </si>
  <si>
    <t>Total Outdoor Non-Building</t>
  </si>
  <si>
    <t>LF</t>
  </si>
  <si>
    <t>Total</t>
  </si>
  <si>
    <t>PNW</t>
  </si>
  <si>
    <t>Pop 2007</t>
  </si>
  <si>
    <t>Based on scant data from Heshohng Mahone Study 2005</t>
  </si>
  <si>
    <t>Watts Outdoor per Indoor SF</t>
  </si>
  <si>
    <t xml:space="preserve">PNW Floor Area 2010 in Million </t>
  </si>
  <si>
    <t>Total Installed Watts in MW</t>
  </si>
  <si>
    <t>Hours per Year</t>
  </si>
  <si>
    <t>Total MWa</t>
  </si>
  <si>
    <t>Based on CLTC</t>
  </si>
  <si>
    <t>CA Parking Lighting 2007</t>
  </si>
  <si>
    <t>Prorate to US</t>
  </si>
  <si>
    <t>Prorate to PNW</t>
  </si>
  <si>
    <t>Outdoor Lighting on Buildings</t>
  </si>
  <si>
    <t>GWh</t>
  </si>
  <si>
    <t>Retail, Grocery, Restaurant</t>
  </si>
  <si>
    <t>MWa</t>
  </si>
  <si>
    <t>Office and All Other</t>
  </si>
  <si>
    <t>Warehouse</t>
  </si>
  <si>
    <t>Notes and Sources</t>
  </si>
  <si>
    <t>LED Niche Report for DOE by Navigant 2008</t>
  </si>
  <si>
    <t>..\Measure Data\Lighting\SSL\NicheFinalReportSept2008.pdf</t>
  </si>
  <si>
    <t>..\Measure Data\Lighting\SSL\nichefinalreport_october2008-revised.pdf</t>
  </si>
  <si>
    <t>Back of the Envelope for PNW</t>
  </si>
  <si>
    <t>US Estimates</t>
  </si>
  <si>
    <t>Baseline Estimate of Consumption in Niche in 2007 in TWh</t>
  </si>
  <si>
    <t>Penetration in 2007</t>
  </si>
  <si>
    <t>Electric Savings Potential in TWh</t>
  </si>
  <si>
    <t>Savings Potential Share of Baseline</t>
  </si>
  <si>
    <t>Share of Savings</t>
  </si>
  <si>
    <t>Max Electrical Savings in TWh</t>
  </si>
  <si>
    <t>US in MWa</t>
  </si>
  <si>
    <t>PNW Share Baselind Consumption Based on Population MWa</t>
  </si>
  <si>
    <t>PNW Share Savings Based on Population MWa</t>
  </si>
  <si>
    <t>PNW Adjustment for already done or cost-effectiveness</t>
  </si>
  <si>
    <t>PNW Potential</t>
  </si>
  <si>
    <t>Priority for 6th Plan</t>
  </si>
  <si>
    <t>Initial Comment</t>
  </si>
  <si>
    <t>Colored Lights</t>
  </si>
  <si>
    <t>Traffic Signals</t>
  </si>
  <si>
    <t>Were done with this</t>
  </si>
  <si>
    <t>Decorative Holiday Lights</t>
  </si>
  <si>
    <t>Exit Signs</t>
  </si>
  <si>
    <t>Will happen anyway</t>
  </si>
  <si>
    <t>Electric Signage</t>
  </si>
  <si>
    <t>Need jump start and then get out</t>
  </si>
  <si>
    <t>Indoor White-Light Applications</t>
  </si>
  <si>
    <t>Recessed Downlights</t>
  </si>
  <si>
    <t>Wait on Res.  Demo on Coml</t>
  </si>
  <si>
    <t>Refrigerated Display Cases</t>
  </si>
  <si>
    <t>High In Original but revised down by errata in October 2008</t>
  </si>
  <si>
    <t>Go now</t>
  </si>
  <si>
    <t>Retail Display</t>
  </si>
  <si>
    <t>Wait for better tech</t>
  </si>
  <si>
    <t>Task Lighting</t>
  </si>
  <si>
    <t>Kitchen Under-Cabinet Lighting</t>
  </si>
  <si>
    <t>Office Undershelf Lighting</t>
  </si>
  <si>
    <t>Outdoor White-Light Applications</t>
  </si>
  <si>
    <t>Street and Area Lights</t>
  </si>
  <si>
    <t>High</t>
  </si>
  <si>
    <t>Get started, push tech innovation</t>
  </si>
  <si>
    <t>Step, path and Porch Lights</t>
  </si>
  <si>
    <t>From Census &amp; NEMA</t>
  </si>
  <si>
    <t>US Luminaire Count 2007 in Million</t>
  </si>
  <si>
    <t>Luminaires per Population</t>
  </si>
  <si>
    <t>PNW Luminaire Count in 2007 in Millions</t>
  </si>
  <si>
    <t>Area Lights</t>
  </si>
  <si>
    <t>Flood Lights</t>
  </si>
  <si>
    <t>Street</t>
  </si>
  <si>
    <t>Recreate Estimate</t>
  </si>
  <si>
    <t>Installed Base US in 2007 from NEMA and NLI</t>
  </si>
  <si>
    <t>Conventional System Wattage</t>
  </si>
  <si>
    <t>Total Wattage in MW</t>
  </si>
  <si>
    <t>Baseline TWh</t>
  </si>
  <si>
    <t>LED Replacement Wattage</t>
  </si>
  <si>
    <t>Post Baseline Use TWh</t>
  </si>
  <si>
    <t>Savings as fraction of Baseline</t>
  </si>
  <si>
    <t>Incandescent</t>
  </si>
  <si>
    <t>Halogen Quartz</t>
  </si>
  <si>
    <t>Fluorescent</t>
  </si>
  <si>
    <t>Mercury Vapor</t>
  </si>
  <si>
    <t>Metal Halide</t>
  </si>
  <si>
    <t>From NLI 2002 by Navigant</t>
  </si>
  <si>
    <t>US Luminaire Count 2002 in Million</t>
  </si>
  <si>
    <t>Total Baseline Use in TWh</t>
  </si>
  <si>
    <t>Cobrahead Street Lights</t>
  </si>
  <si>
    <t>Distribution  NLI 2002</t>
  </si>
  <si>
    <t>By Wattage for Outdoor Stationary in 2002</t>
  </si>
  <si>
    <t>By Lamp Inventory for Outdoor Stationary in 2002 in Million</t>
  </si>
  <si>
    <t>Roadway National percent Wattage 2002</t>
  </si>
  <si>
    <t>Parking National Percent Wattage</t>
  </si>
  <si>
    <t>California 1999 Heshong Mahone Study.  Very Limited Sample</t>
  </si>
  <si>
    <t>NEMA.2004. “High-Intensity Discharge Lamp Survey.” Energy Conservation Program for Commercial and Industrial Equipment: High-Intensity Discharge (HID) Lamps Rulemaking, Docket # EE–DET-03-001</t>
  </si>
  <si>
    <t>..\..\..\Data\DOE\hid_energy_savings_report.pdf</t>
  </si>
  <si>
    <t>Outdoor</t>
  </si>
  <si>
    <t>Outdoor Fraction</t>
  </si>
  <si>
    <t>Lamp Shipments</t>
  </si>
  <si>
    <t>US Lamps per Year in Millions</t>
  </si>
  <si>
    <t>Lamp Life</t>
  </si>
  <si>
    <t>Implied Stock at 1/Lamp Life in millions</t>
  </si>
  <si>
    <t>Fraction Outdoor</t>
  </si>
  <si>
    <t>Implied Outdoor Stock in millions</t>
  </si>
  <si>
    <t>Outdoor Fixture Shipments</t>
  </si>
  <si>
    <t>US Fixtures per Year in Millions</t>
  </si>
  <si>
    <t>Fixture Life</t>
  </si>
  <si>
    <t>Implied Outdoor Stock at 1/Fixture Life in millions</t>
  </si>
  <si>
    <t>Wall Pack</t>
  </si>
  <si>
    <t>Area &gt;250W</t>
  </si>
  <si>
    <t>Post-Top</t>
  </si>
  <si>
    <t>Bollards</t>
  </si>
  <si>
    <t>Area &lt;250W</t>
  </si>
  <si>
    <t>Flood Sports</t>
  </si>
  <si>
    <t>Flood General</t>
  </si>
  <si>
    <t>Tunnel Enclosed</t>
  </si>
  <si>
    <t>Tunnel Open</t>
  </si>
  <si>
    <t>Portland</t>
  </si>
  <si>
    <t>Retrfots per Day</t>
  </si>
  <si>
    <t>Hours per Day</t>
  </si>
  <si>
    <t>Retro per hour</t>
  </si>
  <si>
    <t>Hours per Rretrofit</t>
  </si>
  <si>
    <t>Nominal Life</t>
  </si>
  <si>
    <t>Hours Operation</t>
  </si>
  <si>
    <t>Life in Years</t>
  </si>
  <si>
    <t>Round Life in Years</t>
  </si>
  <si>
    <t>POM Cycle at 24K Hours</t>
  </si>
  <si>
    <t>POM Cycle at 16K Hours</t>
  </si>
  <si>
    <t>POM Cycle at 9K Hours</t>
  </si>
  <si>
    <t>Number of POM per Life 24K</t>
  </si>
  <si>
    <t>Number of POM per Life 16K</t>
  </si>
  <si>
    <t>Number of POM per Life 9K</t>
  </si>
  <si>
    <t>35K</t>
  </si>
  <si>
    <t>43K</t>
  </si>
  <si>
    <t>50K</t>
  </si>
  <si>
    <t>100K</t>
  </si>
  <si>
    <t>120K</t>
  </si>
  <si>
    <t>Total Results</t>
  </si>
  <si>
    <t>Measure Input Data</t>
  </si>
  <si>
    <t>PV Capital</t>
  </si>
  <si>
    <t>PV Admin</t>
  </si>
  <si>
    <t>PV O&amp;M</t>
  </si>
  <si>
    <t>PV Periodic Repl.</t>
  </si>
  <si>
    <t>Total PV Capital, O&amp;M and Periodic Repl Costs</t>
  </si>
  <si>
    <t>PV Wholesale Electric Utility Costs &amp; Benefits</t>
  </si>
  <si>
    <t>PV Retail Electric Utility Costs &amp; Benefits</t>
  </si>
  <si>
    <t>PV Electric Utility System Costs &amp; Benefits</t>
  </si>
  <si>
    <t>Electric Utility System Economics</t>
  </si>
  <si>
    <t>Sponsor Levelized Cost (mills/kwh)</t>
  </si>
  <si>
    <t>PV Regional Costs &amp; Benefits</t>
  </si>
  <si>
    <t>TRC Economics</t>
  </si>
  <si>
    <t>Physical CO2</t>
  </si>
  <si>
    <t>PV Gas Utility System Costs &amp; Benefits</t>
  </si>
  <si>
    <t>Gas Utility System Economics</t>
  </si>
  <si>
    <t>Category</t>
  </si>
  <si>
    <t>Measure</t>
  </si>
  <si>
    <t>Site Savings (kWh)</t>
  </si>
  <si>
    <t>Site Savings (therms)</t>
  </si>
  <si>
    <t>Capital Cost ($/unit)</t>
  </si>
  <si>
    <t>Annual O&amp;M Cost ($/unit)</t>
  </si>
  <si>
    <t>PV Per. Repl. Cost ($/unit)</t>
  </si>
  <si>
    <t>Load Shape (electric)</t>
  </si>
  <si>
    <t>Diversified Load Factor (electric)</t>
  </si>
  <si>
    <t>Wholesale Power Coincidence Factor (electric)</t>
  </si>
  <si>
    <t>Wholesale Electric Energy (kWh)</t>
  </si>
  <si>
    <t>Wholesale Electric Demand (kw)</t>
  </si>
  <si>
    <t>Retail Electric Demand (kW)</t>
  </si>
  <si>
    <t>Wholesale Gas Energy (therms/yr)</t>
  </si>
  <si>
    <t>Wholesale Gas Demand (therms/day)</t>
  </si>
  <si>
    <t>Retail Gas Demand (therms/day)</t>
  </si>
  <si>
    <t>Wholesale Electric</t>
  </si>
  <si>
    <t>Retail Electric</t>
  </si>
  <si>
    <t>Natural Gas</t>
  </si>
  <si>
    <t>Customer</t>
  </si>
  <si>
    <t>Wholesale Utility System Energy</t>
  </si>
  <si>
    <t>Wholesale Utility System T&amp;D Def. Cap.</t>
  </si>
  <si>
    <t>Wholesale Utility System Act C-E Credit</t>
  </si>
  <si>
    <t>Wholesale Utility System Risk Mitigation Benefit</t>
  </si>
  <si>
    <t>Wholesale Utility System Total System Benefit</t>
  </si>
  <si>
    <t>Wholesale Utility System Total Non-Consumer Cost</t>
  </si>
  <si>
    <t>Wholesale Utility System B/C Ratio</t>
  </si>
  <si>
    <t>Retail Utility System Energy</t>
  </si>
  <si>
    <t>Retail Utility System T&amp;D Def. Cap.</t>
  </si>
  <si>
    <t>Retail Utility System Act C-E Credit</t>
  </si>
  <si>
    <t>Retail Utility System Risk Mitigation Benefit</t>
  </si>
  <si>
    <t>Retail Utility System Total System Benefit</t>
  </si>
  <si>
    <t>Retail Utility System Total Non-Consumer Cost</t>
  </si>
  <si>
    <t>Retail Utility System System B/C Ratio</t>
  </si>
  <si>
    <t>Utility System Energy</t>
  </si>
  <si>
    <t>Utility System T&amp;D Def. Cap.</t>
  </si>
  <si>
    <t>Utility System Act C-E Credit</t>
  </si>
  <si>
    <t>Utility System Total Risk Mitigation Benefit</t>
  </si>
  <si>
    <t>Utility System Total System Benefit</t>
  </si>
  <si>
    <t>Utility System Total Non-Consumer Cost</t>
  </si>
  <si>
    <t>Utility System Net Levelized Cost (Net of Elec T&amp;D Capacity Benefits, Act Credit &amp; Risk-Mitigation Benefit) in mills/kwh</t>
  </si>
  <si>
    <t>Utility System System B/C Ratio</t>
  </si>
  <si>
    <t>Wholesale Electric Levelized Cost</t>
  </si>
  <si>
    <t>Retail Electric Levelized Cost</t>
  </si>
  <si>
    <t>Natural Gas Levelized Cost</t>
  </si>
  <si>
    <t>Customer Levelized Cost</t>
  </si>
  <si>
    <t>Total Levelized Cost</t>
  </si>
  <si>
    <t>PV Regional Electric Energy</t>
  </si>
  <si>
    <t>PV Regional Gas Energy</t>
  </si>
  <si>
    <t>PV Regional Electric T&amp;D Def. Cap.</t>
  </si>
  <si>
    <t>PV Regional Gas T&amp;D Def. Cap.</t>
  </si>
  <si>
    <t>PV Regional Electric System CO2</t>
  </si>
  <si>
    <t>PV Regional Gas System CO2</t>
  </si>
  <si>
    <t>PV Regional Electric System Risk-Mitigation Benefit</t>
  </si>
  <si>
    <t>PV Regional Gas System Risk-Mitigation Benefit</t>
  </si>
  <si>
    <t>PV Regional Non-E Value</t>
  </si>
  <si>
    <t>PV Regional Act Credit</t>
  </si>
  <si>
    <t>PV Regional Capital Cost</t>
  </si>
  <si>
    <t>PV Regional Admin Cost</t>
  </si>
  <si>
    <t>PV Regional Annual O&amp;M Cost</t>
  </si>
  <si>
    <t>PV Regional Periodic Replacement Cost</t>
  </si>
  <si>
    <t>PV Total Regional Benefit</t>
  </si>
  <si>
    <t>PV Total Regional Cost</t>
  </si>
  <si>
    <t>TRC B/C Ratio</t>
  </si>
  <si>
    <t>TRC Net Levelized Cost (Net of All Benefits) in mills/kWh</t>
  </si>
  <si>
    <t>Electric System CO2 Avoided (Lifetime Tons)</t>
  </si>
  <si>
    <t>Gas System CO2 Avoided (Lifetime Tons)</t>
  </si>
  <si>
    <t>Total System CO2 Avoided (Lifetime Tons)</t>
  </si>
  <si>
    <t>Gas Site Savings (therms)</t>
  </si>
  <si>
    <t>Load Shape (gas)</t>
  </si>
  <si>
    <t>Diversitfied Load Factor (gas)</t>
  </si>
  <si>
    <t>Wholesale Coincidence Factor (gas)</t>
  </si>
  <si>
    <t>Total Gas Utility System Energy</t>
  </si>
  <si>
    <t>Gas Utility System T&amp;D Def. Cap.</t>
  </si>
  <si>
    <t>Gas Utility System Risk Mitigation Benefit</t>
  </si>
  <si>
    <t>Gas Utility System Total System Benefit</t>
  </si>
  <si>
    <t>Gas Utility System Total Non-Consumer Cost</t>
  </si>
  <si>
    <t>Gas Utility System Net Levelized Cost (Net of Gas T&amp;D Capacity Benefits &amp; Risk-Mitigation Benefits) in cents/therm</t>
  </si>
  <si>
    <t>Gas Utility System System B/C Ratio</t>
  </si>
  <si>
    <t>Delta watts time hours</t>
  </si>
  <si>
    <t>Baseline Equipment</t>
  </si>
  <si>
    <t>US luminatire count from Navigant 2008.  Wattage and type distribution from city of Portland.  Sales from DOE rulemaking.  Primarily 100HPS.</t>
  </si>
  <si>
    <t>Hours of Operation</t>
  </si>
  <si>
    <t>HVAC Interaction Factors</t>
  </si>
  <si>
    <t>None</t>
  </si>
  <si>
    <t>Measures</t>
  </si>
  <si>
    <t>Capital Costs</t>
  </si>
  <si>
    <t>Periodic Replacement Costs</t>
  </si>
  <si>
    <t>Savings Shapes</t>
  </si>
  <si>
    <t>Reduced wattage streetlight, photocell control</t>
  </si>
  <si>
    <t>Added decorative, and arterial</t>
  </si>
  <si>
    <t>All street and roadway lighting.  Muni and State</t>
  </si>
  <si>
    <t>From survey municipalities, PNL &amp; other sources</t>
  </si>
  <si>
    <t>HPS or Metal Halide.  Various wattages.</t>
  </si>
  <si>
    <t>Rebuilt measure shape based on astrological data, three cites and KEMA shape tool from Joe Lopes</t>
  </si>
  <si>
    <t>4300 hours per year</t>
  </si>
  <si>
    <t>Updated from Seattle, LA, Tacoma, Portland</t>
  </si>
  <si>
    <t>http://www1.eere.energy.gov/buildings/ssl/pdfs/msslc_inventory-phase1.pdf</t>
  </si>
  <si>
    <t>Report</t>
  </si>
  <si>
    <t>Link</t>
  </si>
  <si>
    <t>Public Street and Area Lighting Inventory Phase 1: Survey Results</t>
  </si>
  <si>
    <t>http://apps1.eere.energy.gov/buildings/publications/pdfs/ssl/energysavingsforecast14.pdf</t>
  </si>
  <si>
    <t xml:space="preserve">Energy Savings Forecast of Solid-State Lighting in General Illumination Applications </t>
  </si>
  <si>
    <t>70K</t>
  </si>
  <si>
    <t>LO Fast for New, LO Medium NR due to large volume of NR</t>
  </si>
  <si>
    <t xml:space="preserve">Increased from 6P.  Uptake on the increase. </t>
  </si>
  <si>
    <t>Expanded to higher wattage and high mast applications</t>
  </si>
  <si>
    <t>Two methods used, 1) Utility rate schedule 2)Data from local utilities</t>
  </si>
  <si>
    <t>Utility</t>
  </si>
  <si>
    <t>total MWh sold 2012</t>
  </si>
  <si>
    <t xml:space="preserve">Pacificorp </t>
  </si>
  <si>
    <t>OR</t>
  </si>
  <si>
    <t>WA</t>
  </si>
  <si>
    <t>ID</t>
  </si>
  <si>
    <t>Avista</t>
  </si>
  <si>
    <t>Idaho Power</t>
  </si>
  <si>
    <t>Northwestern</t>
  </si>
  <si>
    <t>PGE</t>
  </si>
  <si>
    <t>PSE</t>
  </si>
  <si>
    <t>Total IOU Sales to Streetlight (FERC)</t>
  </si>
  <si>
    <t>Estimated fraction IOU/Regional Load</t>
  </si>
  <si>
    <t>Proxy Regional Load reported FERC Form 1</t>
  </si>
  <si>
    <t>aMW</t>
  </si>
  <si>
    <t>Ref</t>
  </si>
  <si>
    <t>Navigant model on standards for BPA 2013</t>
  </si>
  <si>
    <t>Q:\SeventhPlan\Conservation Analysis\Codes and Standards\Impact Estimates\Federal Standards Estimates\Navigant 2014 Final Deliverables\BPA Lighting Market Model FINAL_72014.xlsm</t>
  </si>
  <si>
    <t>Region Street Lights</t>
  </si>
  <si>
    <t>Annual kWh</t>
  </si>
  <si>
    <t>MWh</t>
  </si>
  <si>
    <t>Weighted Mean Streetlights per 1000 municipal population</t>
  </si>
  <si>
    <t>Annual kWh for highway luminare</t>
  </si>
  <si>
    <t>2014 Estimate</t>
  </si>
  <si>
    <t>Luminaires</t>
  </si>
  <si>
    <t>Total Population PNW 2014</t>
  </si>
  <si>
    <t>Navigant 2014</t>
  </si>
  <si>
    <t>PNL 2013 survey data</t>
  </si>
  <si>
    <t>Q:\SeventhPlan\Conservation Analysis\Com\Streetlight\Data\PNL PNW Responses to Inventory Survey.xlsx</t>
  </si>
  <si>
    <t>PNW share of US</t>
  </si>
  <si>
    <t>Luminaires US 2013</t>
  </si>
  <si>
    <t xml:space="preserve">PNW Luminaires </t>
  </si>
  <si>
    <t>Streetlight luminaires US</t>
  </si>
  <si>
    <t>Highway luminaires</t>
  </si>
  <si>
    <t>PNW Streetlight</t>
  </si>
  <si>
    <t>PNW Highway</t>
  </si>
  <si>
    <t>PNW Total Luminaires</t>
  </si>
  <si>
    <t>Luminaire &amp; Electric Load Estimates</t>
  </si>
  <si>
    <t>Previous Estiamtes</t>
  </si>
  <si>
    <t>Referece:  2</t>
  </si>
  <si>
    <t>http://apps1.eere.energy.gov/buildings/publications/pdfs/ssl/led-adoption-report_2013.pdf</t>
  </si>
  <si>
    <t>DOE 2013 Market Adoption Report</t>
  </si>
  <si>
    <t>DOE 2012 Market Adoption</t>
  </si>
  <si>
    <t>Draft DOE 2013 Market Adoption</t>
  </si>
  <si>
    <t>For Street and Roadway</t>
  </si>
  <si>
    <t>Estimated Saturation (Installed)</t>
  </si>
  <si>
    <t>Forecast</t>
  </si>
  <si>
    <t>DOE 2014 Energy Savings Forecast</t>
  </si>
  <si>
    <t>Source: DOE Reference 2</t>
  </si>
  <si>
    <t>Forecast Penetration (Share of Sales)</t>
  </si>
  <si>
    <t>Saturation and Penetration Estimates</t>
  </si>
  <si>
    <t>Total Stock</t>
  </si>
  <si>
    <t>PNW Estimates Street &amp; Roadway</t>
  </si>
  <si>
    <t>Forecast Completed by End 2015</t>
  </si>
  <si>
    <t>Seattle</t>
  </si>
  <si>
    <t xml:space="preserve">Remaining </t>
  </si>
  <si>
    <t>Street/Area Lighting:  Unit and maintenance Costs</t>
  </si>
  <si>
    <t>System Wattage W/Ballast</t>
  </si>
  <si>
    <t>Unit Cost</t>
  </si>
  <si>
    <t>Annual Average Maineannce Cost</t>
  </si>
  <si>
    <t>Replacement Description</t>
  </si>
  <si>
    <t>Incremental Unit Cost</t>
  </si>
  <si>
    <t>Annual Maintenance Savings</t>
  </si>
  <si>
    <t>Notes</t>
  </si>
  <si>
    <t>101 W LED with PC</t>
  </si>
  <si>
    <t>168 W LED with PC</t>
  </si>
  <si>
    <t>400 W LED with PC</t>
  </si>
  <si>
    <t>NA</t>
  </si>
  <si>
    <t>775 W PSMH</t>
  </si>
  <si>
    <t>Retrofit measure, so full measure cost</t>
  </si>
  <si>
    <t>PS MH assumes no maintnenace savings compared to the old HID.</t>
  </si>
  <si>
    <t xml:space="preserve">Photo Cell for LED streetlights are electronic, 20 year life with cost of </t>
  </si>
  <si>
    <t xml:space="preserve">Photo Cell for HID streetlights are standard, 6 year life with cost of </t>
  </si>
  <si>
    <t>Lamp life of LED in hours and years</t>
  </si>
  <si>
    <t>Lamp life of HID in hours and years</t>
  </si>
  <si>
    <t>Assumed cost of replacement LED</t>
  </si>
  <si>
    <t>For purposes of LED maintenance, assumes that photo cell and LED panel is replaced at same time.</t>
  </si>
  <si>
    <t>Per Repair</t>
  </si>
  <si>
    <t>Average per Fixture</t>
  </si>
  <si>
    <t>HID Average repair cost (rounded)</t>
  </si>
  <si>
    <t>Tacoma Power Maintenance</t>
  </si>
  <si>
    <t>City of Lakewood</t>
  </si>
  <si>
    <t>City of University Place</t>
  </si>
  <si>
    <t>Tacoma Pricing 2014 from Rich Arneson</t>
  </si>
  <si>
    <r>
      <t xml:space="preserve">Existing HID </t>
    </r>
    <r>
      <rPr>
        <sz val="12"/>
        <color rgb="FFFF0000"/>
        <rFont val="Calibri"/>
        <family val="2"/>
        <scheme val="minor"/>
      </rPr>
      <t>Lamp</t>
    </r>
    <r>
      <rPr>
        <sz val="10"/>
        <color theme="1"/>
        <rFont val="Calibri"/>
        <family val="2"/>
        <scheme val="minor"/>
      </rPr>
      <t xml:space="preserve"> Wattage</t>
    </r>
  </si>
  <si>
    <r>
      <rPr>
        <sz val="12"/>
        <color rgb="FFFF0000"/>
        <rFont val="Calibri"/>
        <family val="2"/>
        <scheme val="minor"/>
      </rPr>
      <t>42</t>
    </r>
    <r>
      <rPr>
        <sz val="10"/>
        <color theme="1"/>
        <rFont val="Calibri"/>
        <family val="2"/>
        <scheme val="minor"/>
      </rPr>
      <t xml:space="preserve"> W LED with PC</t>
    </r>
  </si>
  <si>
    <t>MH 400W w Group relamp</t>
  </si>
  <si>
    <t>MH 1000W w Group relamp</t>
  </si>
  <si>
    <t>http://www.nofs.navy.mil/about_NOFS/darksky/lumentab.html</t>
  </si>
  <si>
    <t>First Cost $/klm</t>
  </si>
  <si>
    <t>lm/watt</t>
  </si>
  <si>
    <t>$/klm</t>
  </si>
  <si>
    <t>Incremental First Cost $ per Delta Watt</t>
  </si>
  <si>
    <t>Total First Cost per Delta Watt</t>
  </si>
  <si>
    <t>Savings Percent by Wattage</t>
  </si>
  <si>
    <t>Annujal Savings kWh</t>
  </si>
  <si>
    <t>HPS 100W CH w Group relamp</t>
  </si>
  <si>
    <t>HPS 250W CH w Group relamp</t>
  </si>
  <si>
    <t>LED 100W Repl CH w Group relamp</t>
  </si>
  <si>
    <t>LED 200W Repl CH w Group relamp</t>
  </si>
  <si>
    <t>LED 250W Repl CH w Group relamp</t>
  </si>
  <si>
    <t>LED 400W Repl w Group relamp</t>
  </si>
  <si>
    <t>LED 1000W Repl w Group relamp</t>
  </si>
  <si>
    <t>HPS 250W</t>
  </si>
  <si>
    <t>MH 400W</t>
  </si>
  <si>
    <t>MH 1000W</t>
  </si>
  <si>
    <t>Index</t>
  </si>
  <si>
    <t>MH 200W</t>
  </si>
  <si>
    <t>MH 200W CH w Group relamp</t>
  </si>
  <si>
    <t>S-All-Lgt-Streetlight-All-All-U</t>
  </si>
  <si>
    <t>Streetlight - HPS 100W - Group Relamp - to LED 42W - New</t>
  </si>
  <si>
    <t>Streetlight - HPS 100W - Tariff Relamp - to LED 42W - New</t>
  </si>
  <si>
    <t>Streetlight - HPS 100W - Group Relamp - to LED 58W - New</t>
  </si>
  <si>
    <t>Streetlight - HPS 100W - Tariff Relamp - to LED 58W - New</t>
  </si>
  <si>
    <t>Streetlight - HPS 100W - Group Relamp - to LED 42W - NR</t>
  </si>
  <si>
    <t>Streetlight - HPS 100W - Tariff Relamp - to LED 42W - NR</t>
  </si>
  <si>
    <t>Streetlight - HPS 100W - Group Relamp - to LED 58W - NR</t>
  </si>
  <si>
    <t>Streetlight - HPS 100W - Tariff Relamp - to LED 58W - NR</t>
  </si>
  <si>
    <t>ProCost Results</t>
  </si>
  <si>
    <t xml:space="preserve">Version:    </t>
  </si>
  <si>
    <t>ProCost 3.0 - Beta04</t>
  </si>
  <si>
    <t>Run Time:</t>
  </si>
  <si>
    <t>Regurgitation of ProData input parameters which were used for this run</t>
  </si>
  <si>
    <t>Run Parameters</t>
  </si>
  <si>
    <t>Marginal Cost &amp; Conservation Load Shape Parameters</t>
  </si>
  <si>
    <t>Sponsor Parameters</t>
  </si>
  <si>
    <t>Program Parameters</t>
  </si>
  <si>
    <t>Utility System Parameters</t>
  </si>
  <si>
    <t>Run Type</t>
  </si>
  <si>
    <t>Electric</t>
  </si>
  <si>
    <t>Marginal Costs and Savings Shape File</t>
  </si>
  <si>
    <t>6P MidC Final (with carbon)</t>
  </si>
  <si>
    <t>Wholesale Elec</t>
  </si>
  <si>
    <t>Retail Elec</t>
  </si>
  <si>
    <t>Nat Gas</t>
  </si>
  <si>
    <t>Program Life (yrs)</t>
  </si>
  <si>
    <t>Gas</t>
  </si>
  <si>
    <t>Negative B/C Ratios</t>
  </si>
  <si>
    <t>Off</t>
  </si>
  <si>
    <t>Marginal Elec Avoided Cost Input Worksheet</t>
  </si>
  <si>
    <t>7P Mid</t>
  </si>
  <si>
    <t>Conservation Load Shapes</t>
  </si>
  <si>
    <t>Real After-Tax Cost of Capital</t>
  </si>
  <si>
    <t>Program Start Date</t>
  </si>
  <si>
    <t>Bulk System T&amp;D Loss Factor</t>
  </si>
  <si>
    <t>Admin Cost @ Category Level</t>
  </si>
  <si>
    <t>On</t>
  </si>
  <si>
    <t>Elec Savings Shape Input Worksheet</t>
  </si>
  <si>
    <t>GLSShapes</t>
  </si>
  <si>
    <t>6P_Gas_Final</t>
  </si>
  <si>
    <t>Financial Life (years)</t>
  </si>
  <si>
    <t>Present Value Time Zero</t>
  </si>
  <si>
    <t>Bulk System T&amp;D Credit ($/kw-yr)($/dailytherm-yr)</t>
  </si>
  <si>
    <t xml:space="preserve">Repeat Periodic Replacement </t>
  </si>
  <si>
    <t>Marginal Gas Avoided Cost Input Worksheet</t>
  </si>
  <si>
    <t>7P Gas</t>
  </si>
  <si>
    <t>Input Cost Reference Year</t>
  </si>
  <si>
    <t>Bulk System T&amp;D I2R Loss Component (%)</t>
  </si>
  <si>
    <t>N/A</t>
  </si>
  <si>
    <t>Gas Savings Shape Input Worksheet</t>
  </si>
  <si>
    <t xml:space="preserve">Sponsor Share of Initial Capital Cost </t>
  </si>
  <si>
    <t>Real Discount Rate</t>
  </si>
  <si>
    <t>Local System Dist Loss Factor</t>
  </si>
  <si>
    <t>Run Type:</t>
  </si>
  <si>
    <t>Marginal Elec CO2 per kWh Input Worksheet</t>
  </si>
  <si>
    <t>CO2 lbs per kWh .95</t>
  </si>
  <si>
    <t>CO2 lbs per therm</t>
  </si>
  <si>
    <t>Sponsor Share of Annual O&amp;M</t>
  </si>
  <si>
    <t>Capital Real Escalation Rate</t>
  </si>
  <si>
    <t>Local System Dist Credit ($/kw-yr)($/dailytherm-yr)</t>
  </si>
  <si>
    <t>Negative B/C Ratios:</t>
  </si>
  <si>
    <t>False:  (Converts Negative B/C Ratios)</t>
  </si>
  <si>
    <t>Marginal Gas CO2 per therm Input Worksheet</t>
  </si>
  <si>
    <t>Zero Dollars per ton CO2</t>
  </si>
  <si>
    <t>Sponsor Share of Periodic Replacement Cost</t>
  </si>
  <si>
    <t>Admin Cost (as % of Initial Capital Cost)</t>
  </si>
  <si>
    <t>Local System Dist I2R Loss Component (%)</t>
  </si>
  <si>
    <t>Admin Cost / Category Level:</t>
  </si>
  <si>
    <t>True:  Admin Costs added at Category Results</t>
  </si>
  <si>
    <t>Marginal Avoided Cost CO2 Input Worksheet</t>
  </si>
  <si>
    <t>LineLossShapes</t>
  </si>
  <si>
    <t>Sponsor Share of Admin Cost</t>
  </si>
  <si>
    <t>Regional Act Conservation Credit (%)</t>
  </si>
  <si>
    <t>Risk-Mitigation Credit (mills/kWh)(mills/therm) - Retro.</t>
  </si>
  <si>
    <t>Periodic O&amp;M Treatment:</t>
  </si>
  <si>
    <t>True:  (Periodic O&amp;M Repeats over measure life)</t>
  </si>
  <si>
    <t>Line Loss Shape Input Worksheet</t>
  </si>
  <si>
    <t>Last Year of Non-Customer O&amp;M &amp; Period Replacement</t>
  </si>
  <si>
    <t>Report Annual Carbon Saved for Year</t>
  </si>
  <si>
    <t>Risk-Mitigation Credit (mills/kWh)(mills/therm) - Lost Op.</t>
  </si>
  <si>
    <t>Measure Results; Sorted in same order as input</t>
  </si>
  <si>
    <t>Electric System CO2 Avoided (Annual Tons in 2018)</t>
  </si>
  <si>
    <t>Gas System CO2 Avoided (Annual Tons in 2018)</t>
  </si>
  <si>
    <t>Total System CO2 Avoided (Annual Tons in 2018)</t>
  </si>
  <si>
    <t>(na)</t>
  </si>
  <si>
    <t>Category Results; Sorted by TRC Levelized Cost</t>
  </si>
  <si>
    <t>Supply Curve Results; Categories sorted by TRC Net Levelized Cost</t>
  </si>
  <si>
    <t>Totals for Categories with Benefits Exceeding Costs.    Levelized cost is TRC Net Levelized Cost (Net of Benefits)</t>
  </si>
  <si>
    <t>Totals Basis</t>
  </si>
  <si>
    <t>Busbar Electric Savings in kWh</t>
  </si>
  <si>
    <t>First Cost</t>
  </si>
  <si>
    <t>Admin Cost</t>
  </si>
  <si>
    <t>First Year Program Cost</t>
  </si>
  <si>
    <t>PV Cost</t>
  </si>
  <si>
    <t>PV Benefits</t>
  </si>
  <si>
    <t>Unit Program Cost: First Year Program Cost in $/average annual kW saved</t>
  </si>
  <si>
    <t>Utility System Net Levelized Cost (Net of T&amp;D Capacity Benefits, Act Credit &amp; Risk-Mitigation) in mills/kWh</t>
  </si>
  <si>
    <t>Net Electric &amp; Gas System CO2 Avoided (Lifetime Tons)</t>
  </si>
  <si>
    <t>Jan</t>
  </si>
  <si>
    <t>Feb</t>
  </si>
  <si>
    <t>Mar</t>
  </si>
  <si>
    <t>Apr</t>
  </si>
  <si>
    <t>May</t>
  </si>
  <si>
    <t>Jun</t>
  </si>
  <si>
    <t>Jul</t>
  </si>
  <si>
    <t>Aug</t>
  </si>
  <si>
    <t>Sep</t>
  </si>
  <si>
    <t>Oct</t>
  </si>
  <si>
    <t>Nov</t>
  </si>
  <si>
    <t>Dec</t>
  </si>
  <si>
    <t>Measures with B/C &gt; 1.00</t>
  </si>
  <si>
    <t>Categories with B/C &gt; 1.00</t>
  </si>
  <si>
    <t>Supply Curve Results:  By TRC Net Levelized Cost - Net of Benefits</t>
  </si>
  <si>
    <t>Block 1: &lt;= 0 mills/kWh</t>
  </si>
  <si>
    <t>Block 2: &lt;= 10 mills/kWh</t>
  </si>
  <si>
    <t>Block 3: 10-20 mills/kWh</t>
  </si>
  <si>
    <t>Block 4: 20-30 mills/kWh</t>
  </si>
  <si>
    <t>Block 5: 30-40 mills/kWh</t>
  </si>
  <si>
    <t>Block 6: 40-50 mills/kWh</t>
  </si>
  <si>
    <t>Block 7: 50-60 mills/kWh</t>
  </si>
  <si>
    <t>Block 8: 60-70 mills/kWh</t>
  </si>
  <si>
    <t>Block 9: 70-80 mills/kWh</t>
  </si>
  <si>
    <t>Block 10: 80-90 mills/kWh</t>
  </si>
  <si>
    <t>Block 11: 90-100 mills/kWh</t>
  </si>
  <si>
    <t>Block 12: 100-110 mills/kWh</t>
  </si>
  <si>
    <t>Block 13: 110-120 mills/kWh</t>
  </si>
  <si>
    <t>Block 14: 120-130 mills/kWh</t>
  </si>
  <si>
    <t>Block 15: 130-140 mills/kWh</t>
  </si>
  <si>
    <t>Block 16: 140-150 mills/kWh</t>
  </si>
  <si>
    <t>Block 17: 150-160 mills/kWh</t>
  </si>
  <si>
    <t>Block 18: 160-170 mills/kWh</t>
  </si>
  <si>
    <t>Block 19: 170-180 mills/kWh</t>
  </si>
  <si>
    <t>Block 20: 180-190 mills/kWh</t>
  </si>
  <si>
    <t>Block 21: 190-200 mills/kWh</t>
  </si>
  <si>
    <t>Block 22: &gt; 200 mills/kWh</t>
  </si>
  <si>
    <t>Shaped Savings Results; By Category and sorted by TRC BC ratio</t>
  </si>
  <si>
    <t>Busbar Savings</t>
  </si>
  <si>
    <t>Streetlight - HPS 100W - New</t>
  </si>
  <si>
    <t>Streetlight - MH 200W  - New</t>
  </si>
  <si>
    <t>Streetlight - HPS 250W - New</t>
  </si>
  <si>
    <t>Streetlight - MH 400W  - New</t>
  </si>
  <si>
    <t>Streetlight - MH 1000W - New</t>
  </si>
  <si>
    <t>Streetlight - HPS 100W - NR</t>
  </si>
  <si>
    <t>Streetlight - MH 200W  - NR</t>
  </si>
  <si>
    <t>Streetlight - HPS 250W - NR</t>
  </si>
  <si>
    <t>Streetlight - MH 400W  - NR</t>
  </si>
  <si>
    <t>Streetlight - MH 1000W - NR</t>
  </si>
  <si>
    <t>Weight by Mix Baseline Watts</t>
  </si>
  <si>
    <t>SUPPLY CURVE WEIGHT BY WATT CLASS</t>
  </si>
  <si>
    <t>Units Methodology</t>
  </si>
  <si>
    <t>Forecast Version</t>
  </si>
  <si>
    <t>Measure Bundle</t>
  </si>
  <si>
    <t>Report Year</t>
  </si>
  <si>
    <t>Non-Building Stock</t>
  </si>
  <si>
    <t>Turnover Rate</t>
  </si>
  <si>
    <t>SUPPLY CURVE SAVINGS BY BUNDLE</t>
  </si>
  <si>
    <t>lvlcost</t>
  </si>
  <si>
    <t>RECOMBINE MEASURE BUNDLES INTO SUPPLY CURVE CUMULATIVE</t>
  </si>
  <si>
    <t>&gt;=-9999</t>
  </si>
  <si>
    <t>&lt;=0</t>
  </si>
  <si>
    <t>&gt;0</t>
  </si>
  <si>
    <t>&lt;=10</t>
  </si>
  <si>
    <t>&gt;10</t>
  </si>
  <si>
    <t>&lt;=20</t>
  </si>
  <si>
    <t>&gt;20</t>
  </si>
  <si>
    <t>&lt;=30</t>
  </si>
  <si>
    <t>&gt;30</t>
  </si>
  <si>
    <t>&lt;=40</t>
  </si>
  <si>
    <t>&gt;40</t>
  </si>
  <si>
    <t>&lt;=50</t>
  </si>
  <si>
    <t>&gt;50</t>
  </si>
  <si>
    <t>&lt;=60</t>
  </si>
  <si>
    <t>&gt;60</t>
  </si>
  <si>
    <t>&lt;=70</t>
  </si>
  <si>
    <t>&gt;70</t>
  </si>
  <si>
    <t>&lt;=80</t>
  </si>
  <si>
    <t>&gt;80</t>
  </si>
  <si>
    <t>&lt;=90</t>
  </si>
  <si>
    <t>&gt;90</t>
  </si>
  <si>
    <t>&lt;=100</t>
  </si>
  <si>
    <t>&gt;100</t>
  </si>
  <si>
    <t>&lt;=110</t>
  </si>
  <si>
    <t>&gt;110</t>
  </si>
  <si>
    <t>&lt;=120</t>
  </si>
  <si>
    <t>&gt;120</t>
  </si>
  <si>
    <t>&lt;=130</t>
  </si>
  <si>
    <t>&gt;130</t>
  </si>
  <si>
    <t>&lt;=140</t>
  </si>
  <si>
    <t>&gt;140</t>
  </si>
  <si>
    <t>&lt;=150</t>
  </si>
  <si>
    <t>&gt;150</t>
  </si>
  <si>
    <t>&lt;=160</t>
  </si>
  <si>
    <t>&gt;160</t>
  </si>
  <si>
    <t>&lt;=170</t>
  </si>
  <si>
    <t>&gt;170</t>
  </si>
  <si>
    <t>&lt;=180</t>
  </si>
  <si>
    <t>&gt;180</t>
  </si>
  <si>
    <t>&lt;=190</t>
  </si>
  <si>
    <t>&gt;190</t>
  </si>
  <si>
    <t>&lt;=200</t>
  </si>
  <si>
    <t>&gt;200</t>
  </si>
  <si>
    <t>RECOMBINE MEASURE BUNDLES INTO SUPPLY CURVE INREMENETAL</t>
  </si>
  <si>
    <t>NEW LUMINAIRES APPLICABLE &amp; ACHIEVABLE BY YEAR FOR BUNDLE</t>
  </si>
  <si>
    <t>SC_New</t>
  </si>
  <si>
    <t>Vintage</t>
  </si>
  <si>
    <t>UNITS FOR EXISTING STOCK</t>
  </si>
  <si>
    <t>Incremental Popultation</t>
  </si>
  <si>
    <t>Streetlights per 1000 population</t>
  </si>
  <si>
    <t>Incremental Streetlights</t>
  </si>
  <si>
    <t>Wattage Classes</t>
  </si>
  <si>
    <t>Frac Stock</t>
  </si>
  <si>
    <t>&gt;210</t>
  </si>
  <si>
    <t>&gt;220</t>
  </si>
  <si>
    <t>&gt;230</t>
  </si>
  <si>
    <t>&gt;240</t>
  </si>
  <si>
    <t>&gt;250</t>
  </si>
  <si>
    <t>&gt;260</t>
  </si>
  <si>
    <t>&gt;270</t>
  </si>
  <si>
    <t>&gt;280</t>
  </si>
  <si>
    <t>&gt;290</t>
  </si>
  <si>
    <t>&gt;300</t>
  </si>
  <si>
    <t>&lt;=210</t>
  </si>
  <si>
    <t>&lt;=220</t>
  </si>
  <si>
    <t>&lt;=230</t>
  </si>
  <si>
    <t>&lt;=240</t>
  </si>
  <si>
    <t>&lt;=250</t>
  </si>
  <si>
    <t>&lt;=260</t>
  </si>
  <si>
    <t>&lt;=270</t>
  </si>
  <si>
    <t>&lt;=280</t>
  </si>
  <si>
    <t>&lt;=290</t>
  </si>
  <si>
    <t>&lt;=300</t>
  </si>
  <si>
    <t>Block 22: 200-210 mills/kWh</t>
  </si>
  <si>
    <t>Block 23: 210-220 mills/kWh</t>
  </si>
  <si>
    <t>Block 24: 220-230 mills/kWh</t>
  </si>
  <si>
    <t>Block 25: 230-240 mills/kWh</t>
  </si>
  <si>
    <t>Block 26: 240-250 mills/kWh</t>
  </si>
  <si>
    <t>Block 27: 250-260 mills/kWh</t>
  </si>
  <si>
    <t>Block 28: 260-270 mills/kWh</t>
  </si>
  <si>
    <t>Block 29: 270-280 mills/kWh</t>
  </si>
  <si>
    <t>Block 30: 280-290 mills/kWh</t>
  </si>
  <si>
    <t>Block 31: 290-300 mills/kWh</t>
  </si>
  <si>
    <t>Block 32: &gt;300 mills/kWh</t>
  </si>
  <si>
    <t>&lt;=999</t>
  </si>
  <si>
    <t xml:space="preserve">Methodology:  For the Natural Replacement case start with 2016 Stock of luminaires.   Add the New stock not addressed by the New measures.  Then apply natural turnover rate for outdoor lighting systems based on relamp life.  Also apply the achievable penetration rate by year and the measure applicability factor.  Achievable penetration includes technology phase in.  The applicability factor represents the portion of the avialable stock that the measure applys to which is 100 percent minus the baseline fraction that is doing the measure absent program.  The product is the annual available luminaires by type.  Luminaires times savings per luminaire for MWa potential avialble by year for each type.  Turnover Rate, Achievable Penetration Rrate and Applicability Factor are looked up from ComMaster.  Savings available for the retrofit measure apply only to the non-NR residual luminiares at the 20th year.  </t>
  </si>
  <si>
    <t>MAX ANNUAL AVAILABLE</t>
  </si>
  <si>
    <t>TOTAL CUMULATIVE MAX</t>
  </si>
  <si>
    <t>TOTAL MAX</t>
  </si>
  <si>
    <t>HPS 100W CH w Tariff Relamp</t>
  </si>
  <si>
    <t>MH 200W CH w Tariff Relamp</t>
  </si>
  <si>
    <t>HPS 250W CH w Tariff Relamp</t>
  </si>
  <si>
    <t>MH 400W w Tariff Relamp</t>
  </si>
  <si>
    <t>MH 1000W w Tariff Relamp</t>
  </si>
  <si>
    <t>LED 100W Repl CH w Tariff Relamp</t>
  </si>
  <si>
    <t>LED 200W Repl CH w Tariff Relamp</t>
  </si>
  <si>
    <t>LED 250W Repl CH w Tariff Relamp</t>
  </si>
  <si>
    <t>LED 400W Repl w Tariff Relamp</t>
  </si>
  <si>
    <t>LED 1000W Repl w Tariff Relamp</t>
  </si>
  <si>
    <t>aMW Street &amp; Roadway 2014</t>
  </si>
  <si>
    <t>Average Roadway Wattage HPS per Navigant</t>
  </si>
  <si>
    <t xml:space="preserve">Description </t>
  </si>
  <si>
    <t>Date Done</t>
  </si>
  <si>
    <t>Who</t>
  </si>
  <si>
    <t>Result</t>
  </si>
  <si>
    <t>CG</t>
  </si>
  <si>
    <t>Update Watt class fractions with Navigant &amp; PGE</t>
  </si>
  <si>
    <t>Baseline penetration update from Maggie</t>
  </si>
  <si>
    <t>New cost data</t>
  </si>
  <si>
    <t>New performance data</t>
  </si>
  <si>
    <t>Update Source Summary</t>
  </si>
  <si>
    <t>Build Measure Map</t>
  </si>
  <si>
    <t>Figure out weighting scheme</t>
  </si>
  <si>
    <t>Build SC models</t>
  </si>
  <si>
    <t>Estimate baseline energy use and frozen efficiency points</t>
  </si>
  <si>
    <t>Calibrate baseline use and turnover with Massoud's forecast</t>
  </si>
  <si>
    <t>Costs to 2012$</t>
  </si>
  <si>
    <t>Get saturation estimate</t>
  </si>
  <si>
    <t>Update APPLIC, BASE, TURN, ACHIEV and CHAR in ComMaster</t>
  </si>
  <si>
    <t>Run ProCost</t>
  </si>
  <si>
    <t>Check savings against total load estimate</t>
  </si>
  <si>
    <t>Forecast pricing and performance to 2017</t>
  </si>
  <si>
    <t>Check baseline penetration in new, initial set at 50% in BASE</t>
  </si>
  <si>
    <t>Develop shjape of savings and put in GLS</t>
  </si>
  <si>
    <t>Average of $/Watt</t>
  </si>
  <si>
    <t>Column Labels</t>
  </si>
  <si>
    <t>Row Labels</t>
  </si>
  <si>
    <t>Seattle Pricing 2012$ from</t>
  </si>
  <si>
    <t>Q:\SeventhPlan\Conservation Analysis\Com\Streetlight\Seattle LED Purchases history to date 8_2014.xlsx</t>
  </si>
  <si>
    <t>Reduced wattage streetlight, photocell control or astrological clock</t>
  </si>
  <si>
    <t>Sum of Count</t>
  </si>
  <si>
    <t>Portland Disribution</t>
  </si>
  <si>
    <t>Tacoma Distribution</t>
  </si>
  <si>
    <t>Unmetered Streetlights</t>
  </si>
  <si>
    <t>Wattage and hrs of Operation</t>
  </si>
  <si>
    <t>Frac Count</t>
  </si>
  <si>
    <t>50_DD (24kwh)</t>
  </si>
  <si>
    <t>70_DD (37kwh)</t>
  </si>
  <si>
    <t>75_DD (38.5kwh)</t>
  </si>
  <si>
    <t>100_DD (52kwh)</t>
  </si>
  <si>
    <t>100_D2:20am (52kwh)</t>
  </si>
  <si>
    <t>150 Incadecent (53kwh)</t>
  </si>
  <si>
    <t>150_DD (77kwh)</t>
  </si>
  <si>
    <t>175_DD (77kwh)</t>
  </si>
  <si>
    <t>200_DD (90W)</t>
  </si>
  <si>
    <t>250_DD (111W)</t>
  </si>
  <si>
    <t>250_Continuous (272kwh)</t>
  </si>
  <si>
    <t>310_DD (133kwh)</t>
  </si>
  <si>
    <t>400_DD (172kwh)</t>
  </si>
  <si>
    <t>700_DD (296kwh)</t>
  </si>
  <si>
    <t>1000k(432kwh)</t>
  </si>
  <si>
    <t>Streetlight - MH 200W - Group Relamp - to LED 135W - New</t>
  </si>
  <si>
    <t>Streetlight - MH 200W - Tariff Relamp - to LED 135W - New</t>
  </si>
  <si>
    <t>Streetlight - HPS 250W - Group Relamp - to LED 135W - New</t>
  </si>
  <si>
    <t>Streetlight - HPS 250W - Tariff Relamp - to LED 135W - New</t>
  </si>
  <si>
    <t>Streetlight - MH 200W - Group Relamp - to LED 135W - NR</t>
  </si>
  <si>
    <t>Streetlight - MH 200W - Tariff Relamp - to LED 135W - NR</t>
  </si>
  <si>
    <t>Streetlight - HPS 250W - Group Relamp - to LED 135W - NR</t>
  </si>
  <si>
    <t>Streetlight - HPS 250W - Tariff Relamp - to LED 135W - NR</t>
  </si>
  <si>
    <t>Combine NR and New and create stock max composite</t>
  </si>
  <si>
    <t xml:space="preserve">Estimated Load not reprted on SL tariff </t>
  </si>
  <si>
    <t>Portland Pricing Nov 2014 from Tod Roisnbum</t>
  </si>
  <si>
    <t>EC1 6M</t>
  </si>
  <si>
    <t>100 HPS</t>
  </si>
  <si>
    <t>Model</t>
  </si>
  <si>
    <t>Incumbant</t>
  </si>
  <si>
    <t>LED Watt</t>
  </si>
  <si>
    <t>Price Quote</t>
  </si>
  <si>
    <t>EC3 10M</t>
  </si>
  <si>
    <t>200 HPS</t>
  </si>
  <si>
    <t>250 MH</t>
  </si>
  <si>
    <t>EC7 20M</t>
  </si>
  <si>
    <t>400 MH</t>
  </si>
  <si>
    <t>Streetlight\Portland Pricing 2014.pdf</t>
  </si>
  <si>
    <t>CREE</t>
  </si>
  <si>
    <t>1000 MH</t>
  </si>
  <si>
    <t>2017 Forecast Luminaire Cost Nominal (2012$)</t>
  </si>
  <si>
    <t>2014 Luminaire Cost Nominal (2012$)</t>
  </si>
  <si>
    <t>City of Tacoma 2014</t>
  </si>
  <si>
    <t>$/watt LED</t>
  </si>
  <si>
    <t>Life Offset</t>
  </si>
  <si>
    <t>Max Annual Carryover to SC-NR</t>
  </si>
  <si>
    <t>L</t>
  </si>
  <si>
    <t>Streetlight - MH 1000W - Group Relamp - to LED 421W - New</t>
  </si>
  <si>
    <t>Streetlight - MH 1000W - Tariff Relamp - to LED 421W - New</t>
  </si>
  <si>
    <t>Streetlight - MH 1000W - Group Relamp - to LED 421W - NR</t>
  </si>
  <si>
    <t>Streetlight - MH 1000W - Tariff Relamp - to LED 421W - NR</t>
  </si>
  <si>
    <t>Update LED prices with Seattle &amp; Portland actuals</t>
  </si>
  <si>
    <t>aMW Muni (pre LED)</t>
  </si>
  <si>
    <t>Update non-muni luminaires (state, county, federal owned, non metered)</t>
  </si>
  <si>
    <t>PNL Alternative per staff discussion</t>
  </si>
  <si>
    <t>Estimate Fraction Complete for all other Jurisdictions</t>
  </si>
  <si>
    <t>State highway as fraction of muni</t>
  </si>
  <si>
    <t xml:space="preserve">aMW State, Fed, Highway, </t>
  </si>
  <si>
    <t xml:space="preserve"> Municipal</t>
  </si>
  <si>
    <t>Highway</t>
  </si>
  <si>
    <t>Muni</t>
  </si>
  <si>
    <t>Combined</t>
  </si>
  <si>
    <t>Count</t>
  </si>
  <si>
    <t>Count 2014</t>
  </si>
  <si>
    <t>Frac</t>
  </si>
  <si>
    <t>Pacificorp</t>
  </si>
  <si>
    <t>Est Population Muni Population</t>
  </si>
  <si>
    <t>Estimated highway count (State,Fed, Other)</t>
  </si>
  <si>
    <t>Percent LED by 2015</t>
  </si>
  <si>
    <t>All others</t>
  </si>
  <si>
    <t>State &amp; Fed</t>
  </si>
  <si>
    <t>Updated stock estimate from several sources including, PNL survey, 2012 Navigant study, and FERC Form 1.  Added decorative, and arterial (high mast).  Regression analysis for luminaire per person.</t>
  </si>
  <si>
    <t>Forecast by end of 2015.  From survey of municipalities, PNL &amp; Navigant 2012.  Portland, Seattle and other finished by end 2015.  See sheet SatPen.</t>
  </si>
  <si>
    <t>Program Ramp Annual Energy</t>
  </si>
  <si>
    <t>Check with States of OR &amp; WA for count</t>
  </si>
  <si>
    <t>Conform Ramp Rate to SC Template (85% OR 100%)</t>
  </si>
  <si>
    <t>Sum with 85% max</t>
  </si>
  <si>
    <t>Residual from Ramp Rate</t>
  </si>
  <si>
    <t>SUM</t>
  </si>
  <si>
    <t>Check residual calc to carryover from SC-NEW to SC NR</t>
  </si>
  <si>
    <t>Achiev plus Residual</t>
  </si>
  <si>
    <t>Diff between ACH plus Resid and Total</t>
  </si>
  <si>
    <t>Residual</t>
  </si>
  <si>
    <t>CHECK</t>
  </si>
  <si>
    <t>Total Units</t>
  </si>
  <si>
    <t>85% per year check</t>
  </si>
  <si>
    <t>Max Units</t>
  </si>
  <si>
    <t>Total Opportuntiies over 20 years</t>
  </si>
  <si>
    <t>Available Residuals (do-overs)</t>
  </si>
  <si>
    <t>Baseline Fixtures</t>
  </si>
  <si>
    <t>LED Fixtures</t>
  </si>
  <si>
    <t>2012$</t>
  </si>
  <si>
    <t>LED 42W</t>
  </si>
  <si>
    <t>LED 58W</t>
  </si>
  <si>
    <t>LED 135W</t>
  </si>
  <si>
    <t>LED 421W</t>
  </si>
  <si>
    <t>2017 Cost Adjustment for LED Streelight</t>
  </si>
  <si>
    <t>Tacoma Pricing</t>
  </si>
  <si>
    <t>Fixture Cost Inputs for 2014</t>
  </si>
  <si>
    <t>Portland &amp; Tacoma Pricing</t>
  </si>
  <si>
    <t>Bid</t>
  </si>
  <si>
    <t>Projected Luminaiare Efficacy (lm/Watt) from PNL 2013 Jason Tuenge report (Table 5.2)</t>
  </si>
  <si>
    <t>Product category</t>
  </si>
  <si>
    <t>Projected avg. efficacy at start of year (lm/W)</t>
  </si>
  <si>
    <t>Data Set</t>
  </si>
  <si>
    <t xml:space="preserve">LED omnidirectional </t>
  </si>
  <si>
    <t xml:space="preserve">lamps </t>
  </si>
  <si>
    <t>ES</t>
  </si>
  <si>
    <t xml:space="preserve">LED decorative </t>
  </si>
  <si>
    <t xml:space="preserve">LED PAR-BR-R </t>
  </si>
  <si>
    <t>LED MR</t>
  </si>
  <si>
    <t>LED downlight</t>
  </si>
  <si>
    <t xml:space="preserve">luminaires </t>
  </si>
  <si>
    <t>retrofit units</t>
  </si>
  <si>
    <t>LED troffer</t>
  </si>
  <si>
    <t>DLC</t>
  </si>
  <si>
    <t>*</t>
  </si>
  <si>
    <t>LED high-bay &amp; low-bay</t>
  </si>
  <si>
    <t>luminaires</t>
  </si>
  <si>
    <t>LED parking garage</t>
  </si>
  <si>
    <t>LED area/roadway</t>
  </si>
  <si>
    <t>Source Efficacy lm/Watt</t>
  </si>
  <si>
    <t>Fixture Efficacy lm/Watt</t>
  </si>
  <si>
    <t>2017 Forecast Wattage</t>
  </si>
  <si>
    <t>2017 Efficacy Adjustment for LED Streetlight</t>
  </si>
  <si>
    <t>Check efficacy on 400W HID equivalent, looks too low</t>
  </si>
  <si>
    <t>Average of 2012$</t>
  </si>
  <si>
    <t>Seattle Pricing by Year in 2012$ from</t>
  </si>
  <si>
    <t>LED 180W</t>
  </si>
  <si>
    <t>Averge Portalnd and Tacoma</t>
  </si>
  <si>
    <t>Streetlight - MH 400W - Group Relamp - to LED 180W - New</t>
  </si>
  <si>
    <t>Streetlight - MH 400W - Tariff Relamp - to LED 180W - New</t>
  </si>
  <si>
    <t>Streetlight - MH 400W - Group Relamp - to LED 180W - NR</t>
  </si>
  <si>
    <t>Streetlight - MH 400W - Tariff Relamp - to LED 180W - NR</t>
  </si>
  <si>
    <t>Savings Allocation by Cost Bin and Month for Segments 1</t>
  </si>
  <si>
    <t>Savings Allocation by Cost Bin and Month for Segments 2</t>
  </si>
  <si>
    <t>Savings Allocation by Category and Month for Segments 1</t>
  </si>
  <si>
    <t>Savings Allocation by Category and Month for Segments 2</t>
  </si>
  <si>
    <t>Wholesale KW</t>
  </si>
  <si>
    <t xml:space="preserve">Add SC calcs for MAX by cost bin  </t>
  </si>
  <si>
    <t>Revised</t>
  </si>
  <si>
    <t>Clean up</t>
  </si>
  <si>
    <t>APPLY MEASURE APPLICABILITY, TURNOVER RATE AND ACHIEVABLE PENETRATION RATE FOR MAX ANNUAL RATE</t>
  </si>
  <si>
    <t>Measure Applicability Factor</t>
  </si>
  <si>
    <t>Unit Multiplier</t>
  </si>
  <si>
    <t>Achievability =&gt;</t>
  </si>
  <si>
    <t>Acheivable and 85% Max Per Year</t>
  </si>
  <si>
    <t>Units</t>
  </si>
  <si>
    <t>MAX</t>
  </si>
  <si>
    <t>Total per Year</t>
  </si>
  <si>
    <t>Total Cumulative</t>
  </si>
  <si>
    <t>Max</t>
  </si>
  <si>
    <t># UNITS RESIDUAL &amp; AVAILABLE TO NR/RETROFIT POOL</t>
  </si>
  <si>
    <t>Max Units 85%</t>
  </si>
  <si>
    <t>UNITS</t>
  </si>
  <si>
    <t># UNITS FOR EXISTING STOCK</t>
  </si>
  <si>
    <t># UNITS CARRYOVER FROM UNTREATED NEW STOCK</t>
  </si>
  <si>
    <t># UNITS TOTAL FOR NR POOL</t>
  </si>
  <si>
    <t>Luminaires Remaining</t>
  </si>
  <si>
    <t>APPLY MEASURE APPLICABILITY, SATURATION TURNOVER RATE FOR MAX ANNUAL # UNITS</t>
  </si>
  <si>
    <t>Applicability</t>
  </si>
  <si>
    <t>Saturation</t>
  </si>
  <si>
    <t>Lamp Replace Cycle</t>
  </si>
  <si>
    <t>Annual Pool</t>
  </si>
  <si>
    <t>Total Pool (Max)</t>
  </si>
  <si>
    <t>Annual Max</t>
  </si>
  <si>
    <t>INCREMENTAL ACHIEVABILITY</t>
  </si>
  <si>
    <t>Program Max</t>
  </si>
  <si>
    <t>CUMULATIVE ADOPTION</t>
  </si>
  <si>
    <t>Existing Stock</t>
  </si>
  <si>
    <t>Carryover from Untreated New</t>
  </si>
  <si>
    <t>TOTAL</t>
  </si>
  <si>
    <t>kWh per Luminaire</t>
  </si>
  <si>
    <t>segment</t>
  </si>
  <si>
    <t>measure</t>
  </si>
  <si>
    <t>Max Annual Available</t>
  </si>
  <si>
    <t>SC-NR</t>
  </si>
  <si>
    <t>New streetlights based on population growth and luminaires per 1000 population.</t>
  </si>
  <si>
    <t>Cumulative at Earliest Deployment</t>
  </si>
  <si>
    <t>Check LED power for 250 and 1000W - may be dated</t>
  </si>
  <si>
    <t>Based on DOE2014 Forecast</t>
  </si>
  <si>
    <t>Stock Count</t>
  </si>
  <si>
    <t>Count LED Installed by 2015</t>
  </si>
  <si>
    <t>New measures.  Lower LED power and price.</t>
  </si>
  <si>
    <t>All SSL fixtures.  For NR at time of lamp change or lift truck access.</t>
  </si>
  <si>
    <t>DOE 2014 SSL Forecast</t>
  </si>
  <si>
    <t>Q:\SeventhPlan\Conservation Analysis\Com\Streetlight\Data</t>
  </si>
  <si>
    <t>Internal workpapers on luminaire count</t>
  </si>
  <si>
    <t>no est</t>
  </si>
  <si>
    <t>About 20% by end of 2015.</t>
  </si>
  <si>
    <t>Updated 2014 from utility data</t>
  </si>
  <si>
    <t>2014 municipal data from bids.  Then forecast to 2017.</t>
  </si>
  <si>
    <t>Total Potential (aMW)</t>
  </si>
  <si>
    <t>Ramp Rate</t>
  </si>
  <si>
    <t>Resource Type</t>
  </si>
  <si>
    <t>Measure Category</t>
  </si>
  <si>
    <t>Sector</t>
  </si>
  <si>
    <t>End Use</t>
  </si>
  <si>
    <t>kW per unit</t>
  </si>
  <si>
    <t>kWh per unit</t>
  </si>
  <si>
    <t>TRC Net Levelized Cost (Net of All Benefits)</t>
  </si>
  <si>
    <t>Commercial</t>
  </si>
  <si>
    <t>Lighting</t>
  </si>
  <si>
    <t>Revised life hours down to 50K</t>
  </si>
  <si>
    <t>Use 50K hours.  Esitmates range 40,000 to 70,000 hours. Results in a 12 year life on photocell or astrologic control.</t>
  </si>
  <si>
    <t xml:space="preserve">Updated 2014. Based on keen price competition driving cost down and reducing dureability of drivers.  Rejected earlier assumption from Navigant standards model with forecast to 2017 with modest increase in forecast lifetime.  </t>
  </si>
  <si>
    <t xml:space="preserve">Forecast Penetration </t>
  </si>
  <si>
    <t>About 50%</t>
  </si>
  <si>
    <t>Based on DOE forecast</t>
  </si>
  <si>
    <t>400W</t>
  </si>
  <si>
    <t>150W</t>
  </si>
  <si>
    <t>Table I.1—Energy Conservation Standards for MHLFs</t>
  </si>
  <si>
    <t>Designed to be operated with lamps of the following rated lamp wattage</t>
  </si>
  <si>
    <t>Indoor/outdoor</t>
  </si>
  <si>
    <t>Test input voltage †</t>
  </si>
  <si>
    <r>
      <t>Minimum standard equation ‡ </t>
    </r>
    <r>
      <rPr>
        <b/>
        <i/>
        <sz val="11"/>
        <color rgb="FF333333"/>
        <rFont val="Arial"/>
        <family val="2"/>
      </rPr>
      <t>%</t>
    </r>
  </si>
  <si>
    <t>≥50 W and ≤100 W</t>
  </si>
  <si>
    <t>Indoor</t>
  </si>
  <si>
    <t>480 V</t>
  </si>
  <si>
    <t>(1/(1+1.24×P^(−0.351))) − 0.0200.</t>
  </si>
  <si>
    <t>1/(1+1.24×P^(−0.351)).</t>
  </si>
  <si>
    <t>1/(1+1.24×P(−0.351)).</t>
  </si>
  <si>
    <t>&gt;100 W and &lt;150 W *</t>
  </si>
  <si>
    <t>≥150 W ** and ≤250 W</t>
  </si>
  <si>
    <t>0.880.</t>
  </si>
  <si>
    <t>For ≥150 W and ≤200 W: 0.880.For &gt;200 W and ≤250 W:1/(1+0.876×P^(−0.351)).</t>
  </si>
  <si>
    <t>For ≥150 W and ≤200 W: 0.88.For &gt;200 W and ≤250 W:1/(1+0.876×P^(−0.351)).</t>
  </si>
  <si>
    <t>&gt;250 W and ≤500 W</t>
  </si>
  <si>
    <t>For &gt;250 W and &lt;265 W: 0.880.For ≥265 W and ≤500 W: (1/(1+0.876×P^(−0.351))) − 0.0100.</t>
  </si>
  <si>
    <t>1/(1+0.876×P^(−0.351)).</t>
  </si>
  <si>
    <t>&gt;500 W and ≤1000 W</t>
  </si>
  <si>
    <t>&gt;500 W and ≤750 W: 0.900.&gt;750 W and ≤1000 W:0.000104×P + 0.822.For &gt;500 W and ≤1000 W: may not utilize a probe-start ballast.</t>
  </si>
  <si>
    <t>For &gt;500 W and ≤750 W: 0.910.For &gt;750 W and ≤1000 W: 0.000104×P+0.832.For &gt;500 W and ≤1000 W: may not utilize a probe-start ballast.</t>
  </si>
  <si>
    <t>1/(1+0.876×P^(−0.351))) − 0.0100</t>
  </si>
  <si>
    <t>meets standard for 400W</t>
  </si>
  <si>
    <t>200W</t>
  </si>
  <si>
    <t>Revised ballast efficiency to meet 2017 Federal standard (230W &amp; 400W)</t>
  </si>
  <si>
    <t>Description</t>
  </si>
  <si>
    <t>When</t>
  </si>
  <si>
    <t>Note</t>
  </si>
  <si>
    <t>Verified Portalnd and Tacoma Pricing for 100W HPS equivalent</t>
  </si>
  <si>
    <t>Revised input wattage for baseline systems to 2017 federal standard</t>
  </si>
  <si>
    <t>Revised life assumption to 50K Hours</t>
  </si>
  <si>
    <t xml:space="preserve">Revised baseline Sales Penetration </t>
  </si>
  <si>
    <t>Based on comments</t>
  </si>
  <si>
    <t>Sunday, 8 March , 2015 at 11:52 AM</t>
  </si>
  <si>
    <t>Q:\SeventhPlan\Conservation Analysis\Global EE Inputs\MC Files\MC_AND_LOADSHAPE_v3.0_24segment-7P-D9 - NewSegValues.xlsx</t>
  </si>
  <si>
    <t>End-Use:</t>
  </si>
  <si>
    <t>Stock 2016</t>
  </si>
  <si>
    <t>Stock</t>
  </si>
  <si>
    <t>Pop</t>
  </si>
  <si>
    <t>Incorporated High/Low Forecast</t>
  </si>
  <si>
    <t>Clean Up</t>
  </si>
  <si>
    <t>Revise link to Applicability</t>
  </si>
  <si>
    <t>Now linked to Sales Pen in IntLightComp</t>
  </si>
</sst>
</file>

<file path=xl/styles.xml><?xml version="1.0" encoding="utf-8"?>
<styleSheet xmlns="http://schemas.openxmlformats.org/spreadsheetml/2006/main">
  <numFmts count="20">
    <numFmt numFmtId="5" formatCode="&quot;$&quot;#,##0_);\(&quot;$&quot;#,##0\)"/>
    <numFmt numFmtId="44" formatCode="_(&quot;$&quot;* #,##0.00_);_(&quot;$&quot;* \(#,##0.00\);_(&quot;$&quot;* &quot;-&quot;??_);_(@_)"/>
    <numFmt numFmtId="43" formatCode="_(* #,##0.00_);_(* \(#,##0.00\);_(* &quot;-&quot;??_);_(@_)"/>
    <numFmt numFmtId="164" formatCode="0.0"/>
    <numFmt numFmtId="165" formatCode="0.00000000000000"/>
    <numFmt numFmtId="166" formatCode="0.000000"/>
    <numFmt numFmtId="167" formatCode="0.0000"/>
    <numFmt numFmtId="168" formatCode="_(* #,##0_);_(* \(#,##0\);_(* &quot;-&quot;??_);_(@_)"/>
    <numFmt numFmtId="169" formatCode="_(&quot;$&quot;* #,##0_);_(&quot;$&quot;* \(#,##0\);_(&quot;$&quot;* &quot;-&quot;??_);_(@_)"/>
    <numFmt numFmtId="170" formatCode="_(* #,##0.0_);_(* \(#,##0.0\);_(* &quot;-&quot;??_);_(@_)"/>
    <numFmt numFmtId="171" formatCode="0.0%"/>
    <numFmt numFmtId="172" formatCode="0.000"/>
    <numFmt numFmtId="173" formatCode="#,##0.000"/>
    <numFmt numFmtId="174" formatCode="0.0;[Red]\-0.0"/>
    <numFmt numFmtId="175" formatCode="m/d/\ h:mm"/>
    <numFmt numFmtId="176" formatCode="_(&quot;$&quot;* #,##0.0_);_(&quot;$&quot;* \(#,##0.0\);_(&quot;$&quot;* &quot;-&quot;??_);_(@_)"/>
    <numFmt numFmtId="177" formatCode="\ "/>
    <numFmt numFmtId="178" formatCode="_(* #,##0.000_);_(* \(#,##0.000\);_(* &quot;-&quot;?_);_(@_)"/>
    <numFmt numFmtId="179" formatCode="_(* #,##0.0_);_(* \(#,##0.0\);_(* &quot;-&quot;?_);_(@_)"/>
    <numFmt numFmtId="180" formatCode="d\-mmm\-yyyy"/>
  </numFmts>
  <fonts count="62">
    <font>
      <sz val="10"/>
      <color theme="1"/>
      <name val="Arial"/>
      <family val="2"/>
    </font>
    <font>
      <sz val="10"/>
      <color theme="1"/>
      <name val="Arial"/>
      <family val="2"/>
    </font>
    <font>
      <b/>
      <sz val="10"/>
      <color theme="1"/>
      <name val="Arial"/>
      <family val="2"/>
    </font>
    <font>
      <sz val="11"/>
      <color theme="1"/>
      <name val="Calibri"/>
      <family val="2"/>
      <scheme val="minor"/>
    </font>
    <font>
      <b/>
      <sz val="14"/>
      <color theme="1"/>
      <name val="Calibri"/>
      <family val="2"/>
      <scheme val="minor"/>
    </font>
    <font>
      <sz val="10"/>
      <name val="Arial"/>
      <family val="2"/>
    </font>
    <font>
      <b/>
      <sz val="11"/>
      <name val="Calibri"/>
      <family val="2"/>
      <scheme val="minor"/>
    </font>
    <font>
      <sz val="11"/>
      <name val="Calibri"/>
      <family val="2"/>
      <scheme val="minor"/>
    </font>
    <font>
      <sz val="12"/>
      <name val="Arial"/>
      <family val="2"/>
    </font>
    <font>
      <b/>
      <i/>
      <sz val="10"/>
      <name val="Arial"/>
      <family val="2"/>
    </font>
    <font>
      <b/>
      <sz val="10"/>
      <color rgb="FFFF0000"/>
      <name val="Arial"/>
      <family val="2"/>
    </font>
    <font>
      <b/>
      <sz val="10"/>
      <color indexed="9"/>
      <name val="Arial"/>
      <family val="2"/>
    </font>
    <font>
      <sz val="10"/>
      <color indexed="22"/>
      <name val="Arial"/>
      <family val="2"/>
    </font>
    <font>
      <sz val="10"/>
      <color indexed="12"/>
      <name val="Arial"/>
      <family val="2"/>
    </font>
    <font>
      <sz val="10"/>
      <color indexed="8"/>
      <name val="Arial"/>
      <family val="2"/>
    </font>
    <font>
      <b/>
      <sz val="10"/>
      <name val="Arial"/>
      <family val="2"/>
    </font>
    <font>
      <b/>
      <sz val="8"/>
      <color indexed="81"/>
      <name val="Tahoma"/>
      <family val="2"/>
    </font>
    <font>
      <sz val="8"/>
      <color indexed="81"/>
      <name val="Tahoma"/>
      <family val="2"/>
    </font>
    <font>
      <i/>
      <sz val="10"/>
      <name val="Arial"/>
      <family val="2"/>
    </font>
    <font>
      <u/>
      <sz val="10"/>
      <color indexed="12"/>
      <name val="Arial"/>
      <family val="2"/>
    </font>
    <font>
      <sz val="10"/>
      <color indexed="10"/>
      <name val="Arial"/>
      <family val="2"/>
    </font>
    <font>
      <sz val="12"/>
      <name val="Times New Roman"/>
      <family val="1"/>
    </font>
    <font>
      <b/>
      <sz val="12"/>
      <name val="Times New Roman"/>
      <family val="1"/>
    </font>
    <font>
      <b/>
      <sz val="11"/>
      <color theme="1"/>
      <name val="Calibri"/>
      <family val="2"/>
      <scheme val="minor"/>
    </font>
    <font>
      <b/>
      <sz val="9"/>
      <color indexed="81"/>
      <name val="Tahoma"/>
      <family val="2"/>
    </font>
    <font>
      <sz val="9"/>
      <color indexed="81"/>
      <name val="Tahoma"/>
      <family val="2"/>
    </font>
    <font>
      <sz val="12"/>
      <color theme="1"/>
      <name val="Palatino Linotype"/>
      <family val="2"/>
    </font>
    <font>
      <sz val="12"/>
      <color theme="1"/>
      <name val="Calibri"/>
      <family val="2"/>
      <scheme val="minor"/>
    </font>
    <font>
      <sz val="12"/>
      <color rgb="FFFF0000"/>
      <name val="Calibri"/>
      <family val="2"/>
      <scheme val="minor"/>
    </font>
    <font>
      <sz val="10"/>
      <color theme="1"/>
      <name val="Calibri"/>
      <family val="2"/>
      <scheme val="minor"/>
    </font>
    <font>
      <b/>
      <sz val="12"/>
      <color theme="1"/>
      <name val="Calibri"/>
      <family val="2"/>
      <scheme val="minor"/>
    </font>
    <font>
      <sz val="10"/>
      <color indexed="9"/>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5"/>
      <color indexed="62"/>
      <name val="Calibri"/>
      <family val="2"/>
    </font>
    <font>
      <b/>
      <sz val="11"/>
      <color indexed="56"/>
      <name val="Calibri"/>
      <family val="2"/>
    </font>
    <font>
      <b/>
      <sz val="11"/>
      <color indexed="62"/>
      <name val="Calibri"/>
      <family val="2"/>
    </font>
    <font>
      <u/>
      <sz val="10"/>
      <color theme="10"/>
      <name val="Arial"/>
      <family val="2"/>
    </font>
    <font>
      <sz val="11"/>
      <color indexed="62"/>
      <name val="Calibri"/>
      <family val="2"/>
    </font>
    <font>
      <sz val="11"/>
      <color indexed="52"/>
      <name val="Calibri"/>
      <family val="2"/>
    </font>
    <font>
      <sz val="11"/>
      <color indexed="60"/>
      <name val="Calibri"/>
      <family val="2"/>
    </font>
    <font>
      <sz val="10"/>
      <name val="MS Sans Serif"/>
      <family val="2"/>
    </font>
    <font>
      <b/>
      <sz val="11"/>
      <color indexed="63"/>
      <name val="Calibri"/>
      <family val="2"/>
    </font>
    <font>
      <b/>
      <sz val="18"/>
      <color indexed="56"/>
      <name val="Cambria"/>
      <family val="2"/>
    </font>
    <font>
      <b/>
      <sz val="18"/>
      <color indexed="62"/>
      <name val="Cambria"/>
      <family val="2"/>
    </font>
    <font>
      <b/>
      <sz val="11"/>
      <color indexed="8"/>
      <name val="Calibri"/>
      <family val="2"/>
    </font>
    <font>
      <sz val="11"/>
      <color indexed="10"/>
      <name val="Calibri"/>
      <family val="2"/>
    </font>
    <font>
      <sz val="10"/>
      <color theme="0"/>
      <name val="Arial"/>
      <family val="2"/>
    </font>
    <font>
      <sz val="10"/>
      <color theme="1" tint="0.499984740745262"/>
      <name val="Arial"/>
      <family val="2"/>
    </font>
    <font>
      <sz val="10"/>
      <color rgb="FF000000"/>
      <name val="Calibri"/>
      <family val="2"/>
    </font>
    <font>
      <sz val="10"/>
      <color theme="0" tint="-0.34998626667073579"/>
      <name val="Arial"/>
      <family val="2"/>
    </font>
    <font>
      <sz val="10"/>
      <color theme="0" tint="-0.499984740745262"/>
      <name val="Arial"/>
      <family val="2"/>
    </font>
    <font>
      <b/>
      <sz val="11"/>
      <color rgb="FF333333"/>
      <name val="Arial"/>
      <family val="2"/>
    </font>
    <font>
      <b/>
      <i/>
      <sz val="11"/>
      <color rgb="FF333333"/>
      <name val="Arial"/>
      <family val="2"/>
    </font>
    <font>
      <sz val="11"/>
      <color rgb="FF333333"/>
      <name val="Arial"/>
      <family val="2"/>
    </font>
    <font>
      <b/>
      <sz val="11"/>
      <color theme="0"/>
      <name val="Calibri"/>
      <family val="2"/>
      <scheme val="minor"/>
    </font>
  </fonts>
  <fills count="62">
    <fill>
      <patternFill patternType="none"/>
    </fill>
    <fill>
      <patternFill patternType="gray125"/>
    </fill>
    <fill>
      <patternFill patternType="solid">
        <fgColor indexed="18"/>
        <bgColor indexed="64"/>
      </patternFill>
    </fill>
    <fill>
      <patternFill patternType="solid">
        <fgColor indexed="26"/>
        <bgColor indexed="64"/>
      </patternFill>
    </fill>
    <fill>
      <patternFill patternType="solid">
        <fgColor indexed="12"/>
        <bgColor indexed="64"/>
      </patternFill>
    </fill>
    <fill>
      <patternFill patternType="solid">
        <fgColor theme="3"/>
        <bgColor indexed="64"/>
      </patternFill>
    </fill>
    <fill>
      <patternFill patternType="solid">
        <fgColor theme="6" tint="0.59999389629810485"/>
        <bgColor indexed="64"/>
      </patternFill>
    </fill>
    <fill>
      <patternFill patternType="solid">
        <fgColor indexed="22"/>
        <bgColor indexed="64"/>
      </patternFill>
    </fill>
    <fill>
      <patternFill patternType="solid">
        <fgColor theme="0" tint="-0.249977111117893"/>
        <bgColor indexed="64"/>
      </patternFill>
    </fill>
    <fill>
      <patternFill patternType="solid">
        <fgColor indexed="43"/>
        <bgColor indexed="64"/>
      </patternFill>
    </fill>
    <fill>
      <patternFill patternType="solid">
        <fgColor indexed="14"/>
        <bgColor indexed="64"/>
      </patternFill>
    </fill>
    <fill>
      <patternFill patternType="solid">
        <fgColor indexed="42"/>
        <bgColor indexed="64"/>
      </patternFill>
    </fill>
    <fill>
      <patternFill patternType="solid">
        <fgColor indexed="41"/>
        <bgColor indexed="64"/>
      </patternFill>
    </fill>
    <fill>
      <patternFill patternType="solid">
        <fgColor indexed="47"/>
        <bgColor indexed="64"/>
      </patternFill>
    </fill>
    <fill>
      <patternFill patternType="solid">
        <fgColor indexed="44"/>
        <bgColor indexed="64"/>
      </patternFill>
    </fill>
    <fill>
      <patternFill patternType="solid">
        <fgColor indexed="45"/>
        <bgColor indexed="64"/>
      </patternFill>
    </fill>
    <fill>
      <patternFill patternType="solid">
        <fgColor indexed="52"/>
        <bgColor indexed="64"/>
      </patternFill>
    </fill>
    <fill>
      <patternFill patternType="solid">
        <fgColor indexed="31"/>
        <bgColor indexed="64"/>
      </patternFill>
    </fill>
    <fill>
      <patternFill patternType="solid">
        <fgColor theme="2"/>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FFFF99"/>
        <bgColor indexed="64"/>
      </patternFill>
    </fill>
    <fill>
      <patternFill patternType="solid">
        <fgColor indexed="60"/>
        <bgColor indexed="64"/>
      </patternFill>
    </fill>
    <fill>
      <patternFill patternType="solid">
        <fgColor indexed="57"/>
        <bgColor indexed="64"/>
      </patternFill>
    </fill>
    <fill>
      <patternFill patternType="solid">
        <fgColor indexed="31"/>
      </patternFill>
    </fill>
    <fill>
      <patternFill patternType="solid">
        <fgColor indexed="9"/>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2"/>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4" tint="-0.249977111117893"/>
        <bgColor indexed="64"/>
      </patternFill>
    </fill>
    <fill>
      <patternFill patternType="solid">
        <fgColor theme="8" tint="0.39997558519241921"/>
        <bgColor indexed="64"/>
      </patternFill>
    </fill>
    <fill>
      <patternFill patternType="solid">
        <fgColor theme="6" tint="0.39997558519241921"/>
        <bgColor indexed="64"/>
      </patternFill>
    </fill>
    <fill>
      <patternFill patternType="solid">
        <fgColor theme="4" tint="0.79998168889431442"/>
        <bgColor indexed="64"/>
      </patternFill>
    </fill>
    <fill>
      <patternFill patternType="solid">
        <fgColor rgb="FFD9D9D9"/>
        <bgColor indexed="64"/>
      </patternFill>
    </fill>
    <fill>
      <patternFill patternType="solid">
        <fgColor rgb="FFDBE5F1"/>
        <bgColor indexed="64"/>
      </patternFill>
    </fill>
    <fill>
      <patternFill patternType="solid">
        <fgColor rgb="FFEAF1DD"/>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rgb="FFFFFFFF"/>
        <bgColor indexed="64"/>
      </patternFill>
    </fill>
    <fill>
      <patternFill patternType="solid">
        <fgColor theme="8" tint="-0.249977111117893"/>
        <bgColor indexed="64"/>
      </patternFill>
    </fill>
  </fills>
  <borders count="4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medium">
        <color indexed="30"/>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ck">
        <color indexed="64"/>
      </left>
      <right style="thick">
        <color indexed="64"/>
      </right>
      <top style="thick">
        <color indexed="64"/>
      </top>
      <bottom style="thick">
        <color indexed="64"/>
      </bottom>
      <diagonal/>
    </border>
    <border>
      <left/>
      <right/>
      <top/>
      <bottom style="medium">
        <color rgb="FFCCCCCC"/>
      </bottom>
      <diagonal/>
    </border>
    <border>
      <left style="medium">
        <color rgb="FFCCCCCC"/>
      </left>
      <right/>
      <top style="medium">
        <color rgb="FFCCCCCC"/>
      </top>
      <bottom style="medium">
        <color rgb="FFCCCCCC"/>
      </bottom>
      <diagonal/>
    </border>
    <border>
      <left/>
      <right/>
      <top style="medium">
        <color rgb="FFCCCCCC"/>
      </top>
      <bottom style="medium">
        <color rgb="FFCCCCCC"/>
      </bottom>
      <diagonal/>
    </border>
    <border>
      <left/>
      <right style="medium">
        <color rgb="FFCCCCCC"/>
      </right>
      <top style="medium">
        <color rgb="FFCCCCCC"/>
      </top>
      <bottom style="medium">
        <color rgb="FFCCCCCC"/>
      </bottom>
      <diagonal/>
    </border>
    <border>
      <left style="medium">
        <color rgb="FFCCCCCC"/>
      </left>
      <right/>
      <top/>
      <bottom style="medium">
        <color rgb="FFCCCCCC"/>
      </bottom>
      <diagonal/>
    </border>
    <border>
      <left/>
      <right style="medium">
        <color rgb="FFCCCCCC"/>
      </right>
      <top/>
      <bottom style="medium">
        <color rgb="FFCCCCCC"/>
      </bottom>
      <diagonal/>
    </border>
  </borders>
  <cellStyleXfs count="213">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5" fillId="0" borderId="0">
      <alignment readingOrder="1"/>
    </xf>
    <xf numFmtId="0" fontId="5" fillId="0" borderId="0">
      <alignment readingOrder="1"/>
    </xf>
    <xf numFmtId="0" fontId="5" fillId="0" borderId="0"/>
    <xf numFmtId="0" fontId="8"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19" fillId="0" borderId="0" applyNumberFormat="0" applyFill="0" applyBorder="0" applyAlignment="0" applyProtection="0">
      <alignment vertical="top"/>
      <protection locked="0"/>
    </xf>
    <xf numFmtId="0" fontId="5" fillId="0" borderId="0"/>
    <xf numFmtId="0" fontId="5" fillId="14" borderId="0" applyNumberFormat="0" applyAlignment="0">
      <alignment horizontal="right"/>
    </xf>
    <xf numFmtId="0" fontId="5" fillId="13" borderId="0" applyNumberFormat="0" applyAlignment="0"/>
    <xf numFmtId="175" fontId="21" fillId="0" borderId="0"/>
    <xf numFmtId="0" fontId="22" fillId="0" borderId="0">
      <alignment horizontal="center" wrapText="1"/>
    </xf>
    <xf numFmtId="0" fontId="5" fillId="0" borderId="0"/>
    <xf numFmtId="0" fontId="5" fillId="0" borderId="0"/>
    <xf numFmtId="0" fontId="26" fillId="0" borderId="0"/>
    <xf numFmtId="0" fontId="32" fillId="25" borderId="0" applyNumberFormat="0" applyBorder="0" applyAlignment="0" applyProtection="0"/>
    <xf numFmtId="0" fontId="32" fillId="26" borderId="0" applyNumberFormat="0" applyBorder="0" applyAlignment="0" applyProtection="0"/>
    <xf numFmtId="0" fontId="32" fillId="27" borderId="0" applyNumberFormat="0" applyBorder="0" applyAlignment="0" applyProtection="0"/>
    <xf numFmtId="0" fontId="32" fillId="28" borderId="0" applyNumberFormat="0" applyBorder="0" applyAlignment="0" applyProtection="0"/>
    <xf numFmtId="0" fontId="32" fillId="27" borderId="0" applyNumberFormat="0" applyBorder="0" applyAlignment="0" applyProtection="0"/>
    <xf numFmtId="0" fontId="32" fillId="29" borderId="0" applyNumberFormat="0" applyBorder="0" applyAlignment="0" applyProtection="0"/>
    <xf numFmtId="0" fontId="32" fillId="26" borderId="0" applyNumberFormat="0" applyBorder="0" applyAlignment="0" applyProtection="0"/>
    <xf numFmtId="0" fontId="32" fillId="30" borderId="0" applyNumberFormat="0" applyBorder="0" applyAlignment="0" applyProtection="0"/>
    <xf numFmtId="0" fontId="32" fillId="31" borderId="0" applyNumberFormat="0" applyBorder="0" applyAlignment="0" applyProtection="0"/>
    <xf numFmtId="0" fontId="32" fillId="32"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32" fillId="27" borderId="0" applyNumberFormat="0" applyBorder="0" applyAlignment="0" applyProtection="0"/>
    <xf numFmtId="0" fontId="32" fillId="35" borderId="0" applyNumberFormat="0" applyBorder="0" applyAlignment="0" applyProtection="0"/>
    <xf numFmtId="0" fontId="32" fillId="27" borderId="0" applyNumberFormat="0" applyBorder="0" applyAlignment="0" applyProtection="0"/>
    <xf numFmtId="0" fontId="32" fillId="29" borderId="0" applyNumberFormat="0" applyBorder="0" applyAlignment="0" applyProtection="0"/>
    <xf numFmtId="0" fontId="32" fillId="33" borderId="0" applyNumberFormat="0" applyBorder="0" applyAlignment="0" applyProtection="0"/>
    <xf numFmtId="0" fontId="32" fillId="32" borderId="0" applyNumberFormat="0" applyBorder="0" applyAlignment="0" applyProtection="0"/>
    <xf numFmtId="0" fontId="32" fillId="36" borderId="0" applyNumberFormat="0" applyBorder="0" applyAlignment="0" applyProtection="0"/>
    <xf numFmtId="0" fontId="32" fillId="31" borderId="0" applyNumberFormat="0" applyBorder="0" applyAlignment="0" applyProtection="0"/>
    <xf numFmtId="0" fontId="33" fillId="37" borderId="0" applyNumberFormat="0" applyBorder="0" applyAlignment="0" applyProtection="0"/>
    <xf numFmtId="0" fontId="33" fillId="38" borderId="0" applyNumberFormat="0" applyBorder="0" applyAlignment="0" applyProtection="0"/>
    <xf numFmtId="0" fontId="33" fillId="34" borderId="0" applyNumberFormat="0" applyBorder="0" applyAlignment="0" applyProtection="0"/>
    <xf numFmtId="0" fontId="33" fillId="27" borderId="0" applyNumberFormat="0" applyBorder="0" applyAlignment="0" applyProtection="0"/>
    <xf numFmtId="0" fontId="33" fillId="35" borderId="0" applyNumberFormat="0" applyBorder="0" applyAlignment="0" applyProtection="0"/>
    <xf numFmtId="0" fontId="33" fillId="27" borderId="0" applyNumberFormat="0" applyBorder="0" applyAlignment="0" applyProtection="0"/>
    <xf numFmtId="0" fontId="33" fillId="39" borderId="0" applyNumberFormat="0" applyBorder="0" applyAlignment="0" applyProtection="0"/>
    <xf numFmtId="0" fontId="33" fillId="33" borderId="0" applyNumberFormat="0" applyBorder="0" applyAlignment="0" applyProtection="0"/>
    <xf numFmtId="0" fontId="33" fillId="38" borderId="0" applyNumberFormat="0" applyBorder="0" applyAlignment="0" applyProtection="0"/>
    <xf numFmtId="0" fontId="33" fillId="40" borderId="0" applyNumberFormat="0" applyBorder="0" applyAlignment="0" applyProtection="0"/>
    <xf numFmtId="0" fontId="33" fillId="31" borderId="0" applyNumberFormat="0" applyBorder="0" applyAlignment="0" applyProtection="0"/>
    <xf numFmtId="0" fontId="33" fillId="41" borderId="0" applyNumberFormat="0" applyBorder="0" applyAlignment="0" applyProtection="0"/>
    <xf numFmtId="0" fontId="33" fillId="38" borderId="0" applyNumberFormat="0" applyBorder="0" applyAlignment="0" applyProtection="0"/>
    <xf numFmtId="0" fontId="33" fillId="42" borderId="0" applyNumberFormat="0" applyBorder="0" applyAlignment="0" applyProtection="0"/>
    <xf numFmtId="0" fontId="33" fillId="43" borderId="0" applyNumberFormat="0" applyBorder="0" applyAlignment="0" applyProtection="0"/>
    <xf numFmtId="0" fontId="33" fillId="27" borderId="0" applyNumberFormat="0" applyBorder="0" applyAlignment="0" applyProtection="0"/>
    <xf numFmtId="0" fontId="33" fillId="39" borderId="0" applyNumberFormat="0" applyBorder="0" applyAlignment="0" applyProtection="0"/>
    <xf numFmtId="0" fontId="33" fillId="44" borderId="0" applyNumberFormat="0" applyBorder="0" applyAlignment="0" applyProtection="0"/>
    <xf numFmtId="0" fontId="33" fillId="38" borderId="0" applyNumberFormat="0" applyBorder="0" applyAlignment="0" applyProtection="0"/>
    <xf numFmtId="0" fontId="33" fillId="45" borderId="0" applyNumberFormat="0" applyBorder="0" applyAlignment="0" applyProtection="0"/>
    <xf numFmtId="0" fontId="34" fillId="27" borderId="0" applyNumberFormat="0" applyBorder="0" applyAlignment="0" applyProtection="0"/>
    <xf numFmtId="0" fontId="34" fillId="29" borderId="0" applyNumberFormat="0" applyBorder="0" applyAlignment="0" applyProtection="0"/>
    <xf numFmtId="0" fontId="35" fillId="33" borderId="25" applyNumberFormat="0" applyAlignment="0" applyProtection="0"/>
    <xf numFmtId="0" fontId="35" fillId="26" borderId="25" applyNumberFormat="0" applyAlignment="0" applyProtection="0"/>
    <xf numFmtId="0" fontId="36" fillId="46" borderId="26"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14" borderId="0" applyNumberFormat="0" applyAlignment="0">
      <alignment horizontal="right"/>
    </xf>
    <xf numFmtId="0" fontId="5" fillId="14" borderId="0" applyNumberFormat="0" applyAlignment="0">
      <alignment horizontal="right"/>
    </xf>
    <xf numFmtId="0" fontId="5" fillId="14" borderId="0" applyNumberFormat="0" applyAlignment="0">
      <alignment horizontal="right"/>
    </xf>
    <xf numFmtId="0" fontId="5" fillId="14" borderId="0" applyNumberFormat="0" applyAlignment="0">
      <alignment horizontal="right"/>
    </xf>
    <xf numFmtId="0" fontId="5" fillId="14" borderId="0" applyNumberFormat="0" applyAlignment="0">
      <alignment horizontal="right"/>
    </xf>
    <xf numFmtId="0" fontId="37" fillId="0" borderId="0" applyNumberFormat="0" applyFill="0" applyBorder="0" applyAlignment="0" applyProtection="0"/>
    <xf numFmtId="0" fontId="38" fillId="28" borderId="0" applyNumberFormat="0" applyBorder="0" applyAlignment="0" applyProtection="0"/>
    <xf numFmtId="0" fontId="39" fillId="0" borderId="27" applyNumberFormat="0" applyFill="0" applyAlignment="0" applyProtection="0"/>
    <xf numFmtId="0" fontId="40" fillId="0" borderId="28" applyNumberFormat="0" applyFill="0" applyAlignment="0" applyProtection="0"/>
    <xf numFmtId="0" fontId="41" fillId="0" borderId="29" applyNumberFormat="0" applyFill="0" applyAlignment="0" applyProtection="0"/>
    <xf numFmtId="0" fontId="42" fillId="0" borderId="30" applyNumberFormat="0" applyFill="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19"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4" fillId="31" borderId="25" applyNumberFormat="0" applyAlignment="0" applyProtection="0"/>
    <xf numFmtId="0" fontId="45" fillId="0" borderId="31" applyNumberFormat="0" applyFill="0" applyAlignment="0" applyProtection="0"/>
    <xf numFmtId="0" fontId="46" fillId="47" borderId="0" applyNumberFormat="0" applyBorder="0" applyAlignment="0" applyProtection="0"/>
    <xf numFmtId="0" fontId="32" fillId="0" borderId="0"/>
    <xf numFmtId="0" fontId="32" fillId="0" borderId="0"/>
    <xf numFmtId="0" fontId="32" fillId="0" borderId="0"/>
    <xf numFmtId="0" fontId="5" fillId="0" borderId="0"/>
    <xf numFmtId="0" fontId="3" fillId="0" borderId="0"/>
    <xf numFmtId="0" fontId="5" fillId="0" borderId="0">
      <alignment readingOrder="1"/>
    </xf>
    <xf numFmtId="0" fontId="3" fillId="0" borderId="0"/>
    <xf numFmtId="0" fontId="3" fillId="0" borderId="0"/>
    <xf numFmtId="0" fontId="3" fillId="0" borderId="0"/>
    <xf numFmtId="0" fontId="3" fillId="0" borderId="0"/>
    <xf numFmtId="0" fontId="3" fillId="0" borderId="0"/>
    <xf numFmtId="0" fontId="5" fillId="0" borderId="0">
      <alignment readingOrder="1"/>
    </xf>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32" fillId="0" borderId="0"/>
    <xf numFmtId="0" fontId="32" fillId="0" borderId="0"/>
    <xf numFmtId="0" fontId="5" fillId="0" borderId="0"/>
    <xf numFmtId="0" fontId="5" fillId="0" borderId="0">
      <alignment readingOrder="1"/>
    </xf>
    <xf numFmtId="0" fontId="5" fillId="0" borderId="0">
      <alignment readingOrder="1"/>
    </xf>
    <xf numFmtId="0" fontId="5" fillId="0" borderId="0">
      <alignment readingOrder="1"/>
    </xf>
    <xf numFmtId="0" fontId="32" fillId="0" borderId="0"/>
    <xf numFmtId="0" fontId="5" fillId="0" borderId="0">
      <alignment readingOrder="1"/>
    </xf>
    <xf numFmtId="0" fontId="5" fillId="0" borderId="0"/>
    <xf numFmtId="0" fontId="5" fillId="0" borderId="0">
      <alignment readingOrder="1"/>
    </xf>
    <xf numFmtId="0" fontId="5" fillId="0" borderId="0"/>
    <xf numFmtId="0" fontId="5" fillId="0" borderId="0"/>
    <xf numFmtId="0" fontId="5" fillId="0" borderId="0"/>
    <xf numFmtId="0" fontId="5" fillId="0" borderId="0"/>
    <xf numFmtId="0" fontId="5" fillId="0" borderId="0"/>
    <xf numFmtId="0" fontId="3" fillId="0" borderId="0"/>
    <xf numFmtId="0" fontId="3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2" fillId="0" borderId="0"/>
    <xf numFmtId="0" fontId="32" fillId="0" borderId="0"/>
    <xf numFmtId="0" fontId="47" fillId="0" borderId="0"/>
    <xf numFmtId="0" fontId="32" fillId="0" borderId="0"/>
    <xf numFmtId="0" fontId="32" fillId="0" borderId="0"/>
    <xf numFmtId="0" fontId="32" fillId="0" borderId="0"/>
    <xf numFmtId="0" fontId="32" fillId="0" borderId="0"/>
    <xf numFmtId="0" fontId="5" fillId="0" borderId="0">
      <alignment readingOrder="1"/>
    </xf>
    <xf numFmtId="0" fontId="5" fillId="0" borderId="0">
      <alignment readingOrder="1"/>
    </xf>
    <xf numFmtId="0" fontId="5" fillId="0" borderId="0">
      <alignment readingOrder="1"/>
    </xf>
    <xf numFmtId="0" fontId="32" fillId="48" borderId="32" applyNumberFormat="0" applyFont="0" applyAlignment="0" applyProtection="0"/>
    <xf numFmtId="0" fontId="5" fillId="48" borderId="32" applyNumberFormat="0" applyFont="0" applyAlignment="0" applyProtection="0"/>
    <xf numFmtId="0" fontId="48" fillId="33" borderId="33" applyNumberFormat="0" applyAlignment="0" applyProtection="0"/>
    <xf numFmtId="0" fontId="48" fillId="26" borderId="33" applyNumberForma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0" fontId="49" fillId="0" borderId="0" applyNumberFormat="0" applyFill="0" applyBorder="0" applyAlignment="0" applyProtection="0"/>
    <xf numFmtId="0" fontId="50" fillId="0" borderId="0" applyNumberFormat="0" applyFill="0" applyBorder="0" applyAlignment="0" applyProtection="0"/>
    <xf numFmtId="0" fontId="51" fillId="0" borderId="34" applyNumberFormat="0" applyFill="0" applyAlignment="0" applyProtection="0"/>
    <xf numFmtId="0" fontId="51" fillId="0" borderId="35" applyNumberFormat="0" applyFill="0" applyAlignment="0" applyProtection="0"/>
    <xf numFmtId="0" fontId="52" fillId="0" borderId="0" applyNumberFormat="0" applyFill="0" applyBorder="0" applyAlignment="0" applyProtection="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cellStyleXfs>
  <cellXfs count="521">
    <xf numFmtId="0" fontId="0" fillId="0" borderId="0" xfId="0"/>
    <xf numFmtId="0" fontId="3" fillId="0" borderId="0" xfId="0" applyFont="1"/>
    <xf numFmtId="0" fontId="9" fillId="0" borderId="0" xfId="7" applyFont="1"/>
    <xf numFmtId="0" fontId="10" fillId="0" borderId="0" xfId="8" applyFont="1"/>
    <xf numFmtId="0" fontId="5" fillId="0" borderId="0" xfId="7" applyFont="1"/>
    <xf numFmtId="5" fontId="5" fillId="0" borderId="0" xfId="7" applyNumberFormat="1" applyFont="1"/>
    <xf numFmtId="164" fontId="5" fillId="0" borderId="0" xfId="7" applyNumberFormat="1" applyFont="1"/>
    <xf numFmtId="164" fontId="10" fillId="0" borderId="0" xfId="7" applyNumberFormat="1" applyFont="1"/>
    <xf numFmtId="0" fontId="5" fillId="0" borderId="0" xfId="7" applyFont="1" applyFill="1"/>
    <xf numFmtId="165" fontId="5" fillId="0" borderId="0" xfId="7" applyNumberFormat="1" applyFont="1"/>
    <xf numFmtId="0" fontId="9" fillId="0" borderId="0" xfId="7" applyFont="1" applyAlignment="1">
      <alignment horizontal="left"/>
    </xf>
    <xf numFmtId="0" fontId="0" fillId="0" borderId="0" xfId="0">
      <alignment readingOrder="1"/>
    </xf>
    <xf numFmtId="166" fontId="0" fillId="0" borderId="0" xfId="0" applyNumberFormat="1" applyAlignment="1">
      <alignment horizontal="center" readingOrder="1"/>
    </xf>
    <xf numFmtId="167" fontId="0" fillId="0" borderId="0" xfId="0" applyNumberFormat="1" applyAlignment="1">
      <alignment horizontal="center" readingOrder="1"/>
    </xf>
    <xf numFmtId="0" fontId="5" fillId="0" borderId="0" xfId="0" applyFont="1">
      <alignment readingOrder="1"/>
    </xf>
    <xf numFmtId="0" fontId="5" fillId="0" borderId="0" xfId="7" applyFont="1" applyAlignment="1">
      <alignment horizontal="center"/>
    </xf>
    <xf numFmtId="0" fontId="11" fillId="2" borderId="6" xfId="7" applyFont="1" applyFill="1" applyBorder="1" applyAlignment="1">
      <alignment horizontal="centerContinuous"/>
    </xf>
    <xf numFmtId="0" fontId="12" fillId="2" borderId="6" xfId="7" applyFont="1" applyFill="1" applyBorder="1" applyAlignment="1">
      <alignment horizontal="centerContinuous"/>
    </xf>
    <xf numFmtId="0" fontId="12" fillId="2" borderId="7" xfId="7" applyFont="1" applyFill="1" applyBorder="1" applyAlignment="1">
      <alignment horizontal="centerContinuous"/>
    </xf>
    <xf numFmtId="0" fontId="13" fillId="2" borderId="8" xfId="7" applyFont="1" applyFill="1" applyBorder="1" applyAlignment="1">
      <alignment horizontal="centerContinuous"/>
    </xf>
    <xf numFmtId="0" fontId="12" fillId="5" borderId="8" xfId="7" applyFont="1" applyFill="1" applyBorder="1" applyAlignment="1">
      <alignment horizontal="center"/>
    </xf>
    <xf numFmtId="0" fontId="12" fillId="0" borderId="0" xfId="7" applyFont="1" applyFill="1" applyBorder="1" applyAlignment="1">
      <alignment horizontal="centerContinuous"/>
    </xf>
    <xf numFmtId="0" fontId="13" fillId="0" borderId="0" xfId="7" applyFont="1" applyFill="1" applyBorder="1" applyAlignment="1">
      <alignment horizontal="centerContinuous"/>
    </xf>
    <xf numFmtId="0" fontId="14" fillId="0" borderId="0" xfId="7" applyFont="1" applyFill="1" applyBorder="1" applyAlignment="1">
      <alignment horizontal="centerContinuous"/>
    </xf>
    <xf numFmtId="0" fontId="5" fillId="0" borderId="0" xfId="7" applyFont="1" applyFill="1" applyBorder="1"/>
    <xf numFmtId="0" fontId="14" fillId="7" borderId="5" xfId="7" applyFont="1" applyFill="1" applyBorder="1" applyAlignment="1">
      <alignment horizontal="center" wrapText="1"/>
    </xf>
    <xf numFmtId="0" fontId="14" fillId="7" borderId="11" xfId="7" applyFont="1" applyFill="1" applyBorder="1" applyAlignment="1">
      <alignment horizontal="center" wrapText="1"/>
    </xf>
    <xf numFmtId="0" fontId="14" fillId="7" borderId="4" xfId="7" applyFont="1" applyFill="1" applyBorder="1" applyAlignment="1">
      <alignment horizontal="center" wrapText="1"/>
    </xf>
    <xf numFmtId="0" fontId="14" fillId="7" borderId="4" xfId="0" applyFont="1" applyFill="1" applyBorder="1" applyAlignment="1">
      <alignment horizontal="center" wrapText="1"/>
    </xf>
    <xf numFmtId="0" fontId="14" fillId="8" borderId="8" xfId="7" applyFont="1" applyFill="1" applyBorder="1" applyAlignment="1">
      <alignment horizontal="center" wrapText="1"/>
    </xf>
    <xf numFmtId="0" fontId="14" fillId="8" borderId="5" xfId="7" applyFont="1" applyFill="1" applyBorder="1" applyAlignment="1">
      <alignment horizontal="center" wrapText="1"/>
    </xf>
    <xf numFmtId="0" fontId="14" fillId="0" borderId="0" xfId="7" applyFont="1" applyFill="1" applyBorder="1" applyAlignment="1">
      <alignment horizontal="center" wrapText="1"/>
    </xf>
    <xf numFmtId="164" fontId="0" fillId="0" borderId="0" xfId="0" applyNumberFormat="1">
      <alignment readingOrder="1"/>
    </xf>
    <xf numFmtId="168" fontId="5" fillId="0" borderId="0" xfId="1" applyNumberFormat="1" applyFont="1">
      <alignment readingOrder="1"/>
    </xf>
    <xf numFmtId="0" fontId="5" fillId="0" borderId="0" xfId="5">
      <alignment readingOrder="1"/>
    </xf>
    <xf numFmtId="169" fontId="5" fillId="0" borderId="0" xfId="2" applyNumberFormat="1" applyFont="1">
      <alignment readingOrder="1"/>
    </xf>
    <xf numFmtId="0" fontId="5" fillId="0" borderId="0" xfId="6" applyFont="1"/>
    <xf numFmtId="164" fontId="0" fillId="0" borderId="0" xfId="0" applyNumberFormat="1" applyAlignment="1">
      <alignment horizontal="center" readingOrder="1"/>
    </xf>
    <xf numFmtId="0" fontId="5" fillId="0" borderId="0" xfId="5" applyFont="1" applyAlignment="1">
      <alignment horizontal="center" readingOrder="1"/>
    </xf>
    <xf numFmtId="0" fontId="4" fillId="6" borderId="2" xfId="0" applyFont="1" applyFill="1" applyBorder="1"/>
    <xf numFmtId="168" fontId="5" fillId="0" borderId="0" xfId="5" applyNumberFormat="1">
      <alignment readingOrder="1"/>
    </xf>
    <xf numFmtId="169" fontId="5" fillId="0" borderId="0" xfId="5" applyNumberFormat="1">
      <alignment readingOrder="1"/>
    </xf>
    <xf numFmtId="168" fontId="0" fillId="0" borderId="0" xfId="9" applyNumberFormat="1" applyFont="1">
      <alignment readingOrder="1"/>
    </xf>
    <xf numFmtId="170" fontId="5" fillId="0" borderId="0" xfId="5" applyNumberFormat="1">
      <alignment readingOrder="1"/>
    </xf>
    <xf numFmtId="169" fontId="0" fillId="0" borderId="0" xfId="10" applyNumberFormat="1" applyFont="1">
      <alignment readingOrder="1"/>
    </xf>
    <xf numFmtId="168" fontId="0" fillId="0" borderId="0" xfId="9" applyNumberFormat="1" applyFont="1" applyAlignment="1">
      <alignment readingOrder="1"/>
    </xf>
    <xf numFmtId="44" fontId="0" fillId="0" borderId="0" xfId="10" applyFont="1">
      <alignment readingOrder="1"/>
    </xf>
    <xf numFmtId="9" fontId="0" fillId="0" borderId="0" xfId="11" applyFont="1">
      <alignment readingOrder="1"/>
    </xf>
    <xf numFmtId="171" fontId="5" fillId="0" borderId="0" xfId="5" applyNumberFormat="1">
      <alignment readingOrder="1"/>
    </xf>
    <xf numFmtId="9" fontId="5" fillId="0" borderId="0" xfId="5" applyNumberFormat="1">
      <alignment readingOrder="1"/>
    </xf>
    <xf numFmtId="44" fontId="5" fillId="0" borderId="0" xfId="5" applyNumberFormat="1">
      <alignment readingOrder="1"/>
    </xf>
    <xf numFmtId="2" fontId="5" fillId="0" borderId="0" xfId="5" applyNumberFormat="1">
      <alignment readingOrder="1"/>
    </xf>
    <xf numFmtId="0" fontId="5" fillId="0" borderId="0" xfId="5" applyAlignment="1">
      <alignment wrapText="1" readingOrder="1"/>
    </xf>
    <xf numFmtId="0" fontId="5" fillId="11" borderId="0" xfId="5" applyFill="1">
      <alignment readingOrder="1"/>
    </xf>
    <xf numFmtId="1" fontId="5" fillId="0" borderId="0" xfId="5" applyNumberFormat="1">
      <alignment readingOrder="1"/>
    </xf>
    <xf numFmtId="168" fontId="5" fillId="0" borderId="0" xfId="9" applyNumberFormat="1">
      <alignment readingOrder="1"/>
    </xf>
    <xf numFmtId="43" fontId="5" fillId="0" borderId="0" xfId="5" applyNumberFormat="1">
      <alignment readingOrder="1"/>
    </xf>
    <xf numFmtId="168" fontId="5" fillId="0" borderId="0" xfId="9" applyNumberFormat="1" applyFont="1" applyAlignment="1">
      <alignment readingOrder="1"/>
    </xf>
    <xf numFmtId="0" fontId="19" fillId="0" borderId="0" xfId="12" applyAlignment="1" applyProtection="1">
      <alignment readingOrder="1"/>
    </xf>
    <xf numFmtId="0" fontId="5" fillId="10" borderId="5" xfId="13" applyFont="1" applyFill="1" applyBorder="1" applyAlignment="1">
      <alignment wrapText="1"/>
    </xf>
    <xf numFmtId="0" fontId="5" fillId="13" borderId="5" xfId="13" applyFont="1" applyFill="1" applyBorder="1" applyAlignment="1">
      <alignment wrapText="1"/>
    </xf>
    <xf numFmtId="0" fontId="5" fillId="11" borderId="5" xfId="13" applyFont="1" applyFill="1" applyBorder="1" applyAlignment="1">
      <alignment wrapText="1"/>
    </xf>
    <xf numFmtId="0" fontId="5" fillId="0" borderId="0" xfId="5" applyFill="1" applyBorder="1">
      <alignment readingOrder="1"/>
    </xf>
    <xf numFmtId="164" fontId="5" fillId="0" borderId="0" xfId="5" applyNumberFormat="1">
      <alignment readingOrder="1"/>
    </xf>
    <xf numFmtId="0" fontId="15" fillId="15" borderId="0" xfId="13" applyFont="1" applyFill="1"/>
    <xf numFmtId="0" fontId="5" fillId="15" borderId="0" xfId="13" applyFill="1"/>
    <xf numFmtId="0" fontId="5" fillId="0" borderId="0" xfId="13"/>
    <xf numFmtId="0" fontId="15" fillId="0" borderId="0" xfId="13" applyFont="1" applyFill="1"/>
    <xf numFmtId="0" fontId="5" fillId="0" borderId="0" xfId="13" applyFill="1"/>
    <xf numFmtId="0" fontId="19" fillId="0" borderId="0" xfId="12" applyFill="1" applyAlignment="1" applyProtection="1"/>
    <xf numFmtId="0" fontId="5" fillId="12" borderId="5" xfId="13" applyFill="1" applyBorder="1"/>
    <xf numFmtId="0" fontId="5" fillId="12" borderId="0" xfId="13" applyFill="1"/>
    <xf numFmtId="0" fontId="5" fillId="12" borderId="5" xfId="13" applyFont="1" applyFill="1" applyBorder="1"/>
    <xf numFmtId="0" fontId="5" fillId="16" borderId="5" xfId="13" applyFill="1" applyBorder="1"/>
    <xf numFmtId="170" fontId="5" fillId="0" borderId="0" xfId="9" applyNumberFormat="1"/>
    <xf numFmtId="9" fontId="5" fillId="0" borderId="0" xfId="11"/>
    <xf numFmtId="0" fontId="5" fillId="0" borderId="0" xfId="13" applyFill="1" applyBorder="1"/>
    <xf numFmtId="0" fontId="5" fillId="0" borderId="0" xfId="13" applyFont="1" applyFill="1" applyBorder="1" applyAlignment="1">
      <alignment wrapText="1"/>
    </xf>
    <xf numFmtId="0" fontId="5" fillId="0" borderId="5" xfId="13" applyFont="1" applyBorder="1"/>
    <xf numFmtId="0" fontId="5" fillId="0" borderId="5" xfId="13" applyBorder="1"/>
    <xf numFmtId="2" fontId="5" fillId="0" borderId="9" xfId="13" applyNumberFormat="1" applyBorder="1"/>
    <xf numFmtId="2" fontId="5" fillId="0" borderId="5" xfId="13" applyNumberFormat="1" applyBorder="1"/>
    <xf numFmtId="9" fontId="5" fillId="0" borderId="0" xfId="13" applyNumberFormat="1"/>
    <xf numFmtId="168" fontId="0" fillId="0" borderId="0" xfId="9" applyNumberFormat="1" applyFont="1" applyFill="1" applyBorder="1">
      <alignment readingOrder="1"/>
    </xf>
    <xf numFmtId="9" fontId="5" fillId="0" borderId="0" xfId="5" applyNumberFormat="1" applyFill="1" applyBorder="1">
      <alignment readingOrder="1"/>
    </xf>
    <xf numFmtId="43" fontId="5" fillId="0" borderId="0" xfId="5" applyNumberFormat="1" applyFill="1" applyBorder="1">
      <alignment readingOrder="1"/>
    </xf>
    <xf numFmtId="172" fontId="5" fillId="0" borderId="9" xfId="13" applyNumberFormat="1" applyBorder="1"/>
    <xf numFmtId="1" fontId="5" fillId="0" borderId="0" xfId="13" applyNumberFormat="1"/>
    <xf numFmtId="1" fontId="5" fillId="0" borderId="5" xfId="13" applyNumberFormat="1" applyBorder="1"/>
    <xf numFmtId="164" fontId="5" fillId="0" borderId="5" xfId="13" applyNumberFormat="1" applyBorder="1"/>
    <xf numFmtId="0" fontId="5" fillId="0" borderId="0" xfId="13" applyFont="1"/>
    <xf numFmtId="168" fontId="5" fillId="0" borderId="5" xfId="9" applyNumberFormat="1" applyBorder="1"/>
    <xf numFmtId="9" fontId="5" fillId="0" borderId="5" xfId="11" applyBorder="1"/>
    <xf numFmtId="0" fontId="15" fillId="0" borderId="0" xfId="13" applyFont="1"/>
    <xf numFmtId="0" fontId="5" fillId="0" borderId="9" xfId="13" applyFont="1" applyBorder="1"/>
    <xf numFmtId="9" fontId="5" fillId="0" borderId="5" xfId="13" applyNumberFormat="1" applyBorder="1"/>
    <xf numFmtId="0" fontId="15" fillId="0" borderId="0" xfId="13" applyFont="1" applyFill="1" applyBorder="1"/>
    <xf numFmtId="0" fontId="5" fillId="0" borderId="0" xfId="13" applyFont="1" applyFill="1" applyBorder="1"/>
    <xf numFmtId="9" fontId="5" fillId="0" borderId="5" xfId="13" applyNumberFormat="1" applyFill="1" applyBorder="1"/>
    <xf numFmtId="0" fontId="5" fillId="0" borderId="5" xfId="13" applyFill="1" applyBorder="1"/>
    <xf numFmtId="0" fontId="5" fillId="0" borderId="0" xfId="13" applyFont="1" applyFill="1" applyBorder="1" applyAlignment="1">
      <alignment horizontal="center"/>
    </xf>
    <xf numFmtId="3" fontId="5" fillId="0" borderId="0" xfId="13" applyNumberFormat="1" applyFont="1" applyFill="1" applyBorder="1" applyAlignment="1">
      <alignment horizontal="right"/>
    </xf>
    <xf numFmtId="173" fontId="5" fillId="0" borderId="0" xfId="13" applyNumberFormat="1" applyFill="1" applyBorder="1" applyAlignment="1">
      <alignment horizontal="right"/>
    </xf>
    <xf numFmtId="1" fontId="5" fillId="0" borderId="0" xfId="13" applyNumberFormat="1" applyFill="1" applyBorder="1" applyAlignment="1">
      <alignment horizontal="right"/>
    </xf>
    <xf numFmtId="168" fontId="5" fillId="0" borderId="5" xfId="9" applyNumberFormat="1" applyFill="1" applyBorder="1"/>
    <xf numFmtId="0" fontId="19" fillId="0" borderId="0" xfId="12" applyFill="1" applyBorder="1" applyAlignment="1" applyProtection="1"/>
    <xf numFmtId="0" fontId="5" fillId="0" borderId="0" xfId="5" applyFill="1">
      <alignment readingOrder="1"/>
    </xf>
    <xf numFmtId="0" fontId="7" fillId="0" borderId="5" xfId="4" applyNumberFormat="1" applyFont="1" applyFill="1" applyBorder="1" applyAlignment="1">
      <alignment vertical="center" wrapText="1"/>
    </xf>
    <xf numFmtId="0" fontId="3" fillId="0" borderId="5" xfId="4" applyFont="1" applyFill="1" applyBorder="1" applyAlignment="1">
      <alignment vertical="center" wrapText="1"/>
    </xf>
    <xf numFmtId="0" fontId="7" fillId="0" borderId="5" xfId="4" applyFont="1" applyBorder="1" applyAlignment="1">
      <alignment vertical="center" wrapText="1"/>
    </xf>
    <xf numFmtId="0" fontId="0" fillId="0" borderId="0" xfId="0" applyAlignment="1">
      <alignment vertical="center"/>
    </xf>
    <xf numFmtId="0" fontId="5" fillId="0" borderId="0" xfId="5" applyAlignment="1">
      <alignment vertical="center"/>
    </xf>
    <xf numFmtId="0" fontId="5" fillId="0" borderId="0" xfId="13" applyFill="1" applyAlignment="1">
      <alignment vertical="center"/>
    </xf>
    <xf numFmtId="0" fontId="7" fillId="0" borderId="0" xfId="5" applyFont="1" applyAlignment="1">
      <alignment vertical="center"/>
    </xf>
    <xf numFmtId="0" fontId="7" fillId="0" borderId="0" xfId="13" applyFont="1" applyFill="1" applyAlignment="1">
      <alignment vertical="center"/>
    </xf>
    <xf numFmtId="0" fontId="0" fillId="0" borderId="0" xfId="0" applyBorder="1">
      <alignment readingOrder="1"/>
    </xf>
    <xf numFmtId="0" fontId="0" fillId="11" borderId="0" xfId="0" applyFill="1">
      <alignment readingOrder="1"/>
    </xf>
    <xf numFmtId="0" fontId="5" fillId="0" borderId="0" xfId="0" applyFont="1" applyBorder="1">
      <alignment readingOrder="1"/>
    </xf>
    <xf numFmtId="0" fontId="0" fillId="0" borderId="5" xfId="0" applyBorder="1" applyAlignment="1">
      <alignment vertical="center" wrapText="1"/>
    </xf>
    <xf numFmtId="0" fontId="3" fillId="0" borderId="5" xfId="0" applyFont="1" applyBorder="1" applyAlignment="1">
      <alignment wrapText="1"/>
    </xf>
    <xf numFmtId="0" fontId="5" fillId="0" borderId="0" xfId="5" applyFont="1">
      <alignment readingOrder="1"/>
    </xf>
    <xf numFmtId="0" fontId="5" fillId="6" borderId="5" xfId="5" applyFill="1" applyBorder="1" applyAlignment="1">
      <alignment wrapText="1" readingOrder="1"/>
    </xf>
    <xf numFmtId="0" fontId="5" fillId="6" borderId="5" xfId="5" applyFont="1" applyFill="1" applyBorder="1" applyAlignment="1">
      <alignment wrapText="1" readingOrder="1"/>
    </xf>
    <xf numFmtId="9" fontId="0" fillId="0" borderId="0" xfId="0" applyNumberFormat="1" applyBorder="1">
      <alignment readingOrder="1"/>
    </xf>
    <xf numFmtId="0" fontId="5" fillId="0" borderId="5" xfId="13" applyFont="1" applyFill="1" applyBorder="1" applyAlignment="1">
      <alignment wrapText="1"/>
    </xf>
    <xf numFmtId="0" fontId="5" fillId="0" borderId="5" xfId="13" applyFont="1" applyFill="1" applyBorder="1"/>
    <xf numFmtId="0" fontId="5" fillId="0" borderId="9" xfId="13" applyFill="1" applyBorder="1"/>
    <xf numFmtId="1" fontId="5" fillId="0" borderId="5" xfId="13" applyNumberFormat="1" applyFill="1" applyBorder="1"/>
    <xf numFmtId="9" fontId="5" fillId="0" borderId="5" xfId="11" applyFill="1" applyBorder="1"/>
    <xf numFmtId="164" fontId="5" fillId="0" borderId="5" xfId="13" applyNumberFormat="1" applyFill="1" applyBorder="1"/>
    <xf numFmtId="9" fontId="5" fillId="0" borderId="5" xfId="13" applyNumberFormat="1" applyFont="1" applyFill="1" applyBorder="1"/>
    <xf numFmtId="10" fontId="5" fillId="0" borderId="5" xfId="13" applyNumberFormat="1" applyFont="1" applyFill="1" applyBorder="1"/>
    <xf numFmtId="2" fontId="5" fillId="0" borderId="5" xfId="13" applyNumberFormat="1" applyFill="1" applyBorder="1"/>
    <xf numFmtId="0" fontId="5" fillId="0" borderId="9" xfId="13" applyFont="1" applyFill="1" applyBorder="1"/>
    <xf numFmtId="9" fontId="5" fillId="0" borderId="5" xfId="11" applyFont="1" applyFill="1" applyBorder="1"/>
    <xf numFmtId="1" fontId="5" fillId="0" borderId="5" xfId="9" applyNumberFormat="1" applyFill="1" applyBorder="1"/>
    <xf numFmtId="0" fontId="5" fillId="18" borderId="5" xfId="13" applyFill="1" applyBorder="1"/>
    <xf numFmtId="0" fontId="5" fillId="18" borderId="8" xfId="13" applyFont="1" applyFill="1" applyBorder="1" applyAlignment="1">
      <alignment horizontal="center"/>
    </xf>
    <xf numFmtId="9" fontId="5" fillId="18" borderId="5" xfId="13" applyNumberFormat="1" applyFill="1" applyBorder="1"/>
    <xf numFmtId="0" fontId="5" fillId="18" borderId="5" xfId="13" applyFont="1" applyFill="1" applyBorder="1" applyAlignment="1">
      <alignment wrapText="1"/>
    </xf>
    <xf numFmtId="0" fontId="5" fillId="18" borderId="5" xfId="13" applyFont="1" applyFill="1" applyBorder="1"/>
    <xf numFmtId="0" fontId="5" fillId="18" borderId="9" xfId="13" applyFont="1" applyFill="1" applyBorder="1" applyAlignment="1">
      <alignment wrapText="1"/>
    </xf>
    <xf numFmtId="0" fontId="0" fillId="13" borderId="0" xfId="0" applyFill="1">
      <alignment readingOrder="1"/>
    </xf>
    <xf numFmtId="0" fontId="0" fillId="0" borderId="0" xfId="0" applyAlignment="1">
      <alignment wrapText="1" readingOrder="1"/>
    </xf>
    <xf numFmtId="0" fontId="0" fillId="13" borderId="0" xfId="0" applyFill="1" applyAlignment="1">
      <alignment wrapText="1" readingOrder="1"/>
    </xf>
    <xf numFmtId="0" fontId="0" fillId="11" borderId="0" xfId="0" applyFill="1" applyAlignment="1">
      <alignment wrapText="1" readingOrder="1"/>
    </xf>
    <xf numFmtId="164" fontId="0" fillId="14" borderId="0" xfId="0" applyNumberFormat="1" applyFill="1" applyAlignment="1">
      <alignment wrapText="1" readingOrder="1"/>
    </xf>
    <xf numFmtId="0" fontId="0" fillId="0" borderId="7" xfId="0" applyBorder="1">
      <alignment readingOrder="1"/>
    </xf>
    <xf numFmtId="0" fontId="0" fillId="0" borderId="17" xfId="0" applyBorder="1">
      <alignment readingOrder="1"/>
    </xf>
    <xf numFmtId="0" fontId="0" fillId="0" borderId="18" xfId="0" applyBorder="1">
      <alignment readingOrder="1"/>
    </xf>
    <xf numFmtId="0" fontId="0" fillId="0" borderId="19" xfId="0" applyBorder="1">
      <alignment readingOrder="1"/>
    </xf>
    <xf numFmtId="0" fontId="0" fillId="0" borderId="20" xfId="0" applyBorder="1">
      <alignment readingOrder="1"/>
    </xf>
    <xf numFmtId="0" fontId="0" fillId="0" borderId="21" xfId="0" applyBorder="1">
      <alignment readingOrder="1"/>
    </xf>
    <xf numFmtId="164" fontId="0" fillId="0" borderId="0" xfId="0" applyNumberFormat="1" applyBorder="1">
      <alignment readingOrder="1"/>
    </xf>
    <xf numFmtId="2" fontId="0" fillId="0" borderId="12" xfId="0" applyNumberFormat="1" applyBorder="1" applyAlignment="1">
      <alignment horizontal="center" readingOrder="1"/>
    </xf>
    <xf numFmtId="164" fontId="0" fillId="0" borderId="0" xfId="0" applyNumberFormat="1" applyBorder="1" applyAlignment="1">
      <alignment horizontal="center" readingOrder="1"/>
    </xf>
    <xf numFmtId="9" fontId="0" fillId="9" borderId="18" xfId="0" applyNumberFormat="1" applyFill="1" applyBorder="1">
      <alignment readingOrder="1"/>
    </xf>
    <xf numFmtId="9" fontId="0" fillId="9" borderId="0" xfId="0" applyNumberFormat="1" applyFill="1" applyBorder="1">
      <alignment readingOrder="1"/>
    </xf>
    <xf numFmtId="0" fontId="0" fillId="0" borderId="0" xfId="0" applyFill="1" applyBorder="1">
      <alignment readingOrder="1"/>
    </xf>
    <xf numFmtId="1" fontId="0" fillId="0" borderId="0" xfId="0" applyNumberFormat="1" applyBorder="1">
      <alignment readingOrder="1"/>
    </xf>
    <xf numFmtId="0" fontId="0" fillId="0" borderId="12" xfId="0" applyBorder="1">
      <alignment readingOrder="1"/>
    </xf>
    <xf numFmtId="9" fontId="0" fillId="0" borderId="18" xfId="0" applyNumberFormat="1" applyBorder="1">
      <alignment readingOrder="1"/>
    </xf>
    <xf numFmtId="9" fontId="0" fillId="0" borderId="18" xfId="0" applyNumberFormat="1" applyFill="1" applyBorder="1">
      <alignment readingOrder="1"/>
    </xf>
    <xf numFmtId="0" fontId="0" fillId="0" borderId="14" xfId="0" applyBorder="1">
      <alignment readingOrder="1"/>
    </xf>
    <xf numFmtId="9" fontId="0" fillId="0" borderId="15" xfId="0" applyNumberFormat="1" applyBorder="1">
      <alignment readingOrder="1"/>
    </xf>
    <xf numFmtId="9" fontId="0" fillId="0" borderId="16" xfId="0" applyNumberFormat="1" applyBorder="1">
      <alignment readingOrder="1"/>
    </xf>
    <xf numFmtId="1" fontId="0" fillId="0" borderId="0" xfId="0" applyNumberFormat="1">
      <alignment readingOrder="1"/>
    </xf>
    <xf numFmtId="9" fontId="0" fillId="0" borderId="0" xfId="0" applyNumberFormat="1">
      <alignment readingOrder="1"/>
    </xf>
    <xf numFmtId="164" fontId="0" fillId="0" borderId="4" xfId="0" applyNumberFormat="1" applyBorder="1" applyAlignment="1">
      <alignment horizontal="center" readingOrder="1"/>
    </xf>
    <xf numFmtId="1" fontId="0" fillId="0" borderId="0" xfId="0" applyNumberFormat="1" applyBorder="1" applyAlignment="1">
      <alignment horizontal="center" readingOrder="1"/>
    </xf>
    <xf numFmtId="2" fontId="0" fillId="0" borderId="0" xfId="0" applyNumberFormat="1">
      <alignment readingOrder="1"/>
    </xf>
    <xf numFmtId="0" fontId="5" fillId="18" borderId="4" xfId="13" applyFont="1" applyFill="1" applyBorder="1" applyAlignment="1">
      <alignment wrapText="1"/>
    </xf>
    <xf numFmtId="0" fontId="0" fillId="18" borderId="0" xfId="0" applyFill="1">
      <alignment readingOrder="1"/>
    </xf>
    <xf numFmtId="0" fontId="0" fillId="18" borderId="0" xfId="0" applyFill="1" applyAlignment="1">
      <alignment wrapText="1" readingOrder="1"/>
    </xf>
    <xf numFmtId="0" fontId="0" fillId="18" borderId="0" xfId="0" applyFill="1" applyBorder="1" applyAlignment="1">
      <alignment horizontal="center" vertical="center" wrapText="1" readingOrder="1"/>
    </xf>
    <xf numFmtId="0" fontId="5" fillId="18" borderId="0" xfId="13" applyFont="1" applyFill="1" applyBorder="1" applyAlignment="1">
      <alignment wrapText="1"/>
    </xf>
    <xf numFmtId="0" fontId="0" fillId="18" borderId="0" xfId="0" applyFill="1"/>
    <xf numFmtId="168" fontId="5" fillId="0" borderId="0" xfId="5" applyNumberFormat="1" applyFill="1" applyBorder="1">
      <alignment readingOrder="1"/>
    </xf>
    <xf numFmtId="0" fontId="5" fillId="19" borderId="0" xfId="5" applyFill="1" applyAlignment="1">
      <alignment wrapText="1" readingOrder="1"/>
    </xf>
    <xf numFmtId="0" fontId="0" fillId="0" borderId="0" xfId="0" applyAlignment="1">
      <alignment horizontal="left" vertical="center" wrapText="1"/>
    </xf>
    <xf numFmtId="0" fontId="0" fillId="0" borderId="0" xfId="0" applyAlignment="1">
      <alignment horizontal="left" vertical="center"/>
    </xf>
    <xf numFmtId="0" fontId="4" fillId="18" borderId="3" xfId="0" applyFont="1" applyFill="1" applyBorder="1"/>
    <xf numFmtId="0" fontId="6" fillId="18" borderId="4" xfId="4" applyFont="1" applyFill="1" applyBorder="1" applyAlignment="1">
      <alignment horizontal="left" vertical="center" wrapText="1"/>
    </xf>
    <xf numFmtId="0" fontId="6" fillId="18" borderId="5" xfId="4" applyFont="1" applyFill="1" applyBorder="1" applyAlignment="1">
      <alignment horizontal="left" vertical="center" wrapText="1"/>
    </xf>
    <xf numFmtId="0" fontId="4" fillId="18" borderId="1" xfId="0" applyFont="1" applyFill="1" applyBorder="1"/>
    <xf numFmtId="1" fontId="0" fillId="0" borderId="0" xfId="0" applyNumberFormat="1"/>
    <xf numFmtId="9" fontId="0" fillId="0" borderId="0" xfId="0" applyNumberFormat="1"/>
    <xf numFmtId="0" fontId="23" fillId="18" borderId="0" xfId="0" applyFont="1" applyFill="1" applyAlignment="1">
      <alignment horizontal="center"/>
    </xf>
    <xf numFmtId="0" fontId="23" fillId="0" borderId="5" xfId="0" applyFont="1" applyBorder="1" applyAlignment="1">
      <alignment horizontal="center"/>
    </xf>
    <xf numFmtId="0" fontId="0" fillId="0" borderId="5" xfId="0" applyBorder="1"/>
    <xf numFmtId="0" fontId="0" fillId="0" borderId="5" xfId="0" applyBorder="1" applyAlignment="1">
      <alignment horizontal="center"/>
    </xf>
    <xf numFmtId="3" fontId="0" fillId="0" borderId="5" xfId="0" applyNumberFormat="1" applyBorder="1" applyAlignment="1">
      <alignment horizontal="center"/>
    </xf>
    <xf numFmtId="1" fontId="0" fillId="0" borderId="5" xfId="0" applyNumberFormat="1" applyBorder="1" applyAlignment="1">
      <alignment horizontal="center"/>
    </xf>
    <xf numFmtId="9" fontId="0" fillId="0" borderId="0" xfId="0" applyNumberFormat="1" applyFont="1"/>
    <xf numFmtId="0" fontId="0" fillId="20" borderId="0" xfId="0" applyFill="1"/>
    <xf numFmtId="1" fontId="0" fillId="20" borderId="0" xfId="0" applyNumberFormat="1" applyFill="1"/>
    <xf numFmtId="0" fontId="0" fillId="0" borderId="0" xfId="0" applyAlignment="1">
      <alignment horizontal="center" vertical="center"/>
    </xf>
    <xf numFmtId="168" fontId="0" fillId="0" borderId="0" xfId="0" applyNumberFormat="1" applyFill="1"/>
    <xf numFmtId="168" fontId="0" fillId="0" borderId="0" xfId="0" applyNumberFormat="1"/>
    <xf numFmtId="168" fontId="0" fillId="20" borderId="0" xfId="0" applyNumberFormat="1" applyFill="1"/>
    <xf numFmtId="168" fontId="0" fillId="0" borderId="0" xfId="1" applyNumberFormat="1" applyFont="1"/>
    <xf numFmtId="168" fontId="0" fillId="21" borderId="0" xfId="0" applyNumberFormat="1" applyFill="1"/>
    <xf numFmtId="0" fontId="0" fillId="21" borderId="0" xfId="0" applyFill="1"/>
    <xf numFmtId="0" fontId="2" fillId="18" borderId="0" xfId="0" applyFont="1" applyFill="1"/>
    <xf numFmtId="0" fontId="2" fillId="18" borderId="0" xfId="0" applyFont="1" applyFill="1">
      <alignment readingOrder="1"/>
    </xf>
    <xf numFmtId="0" fontId="2" fillId="18" borderId="5" xfId="0" applyFont="1" applyFill="1" applyBorder="1"/>
    <xf numFmtId="0" fontId="2" fillId="18" borderId="5" xfId="0" applyFont="1" applyFill="1" applyBorder="1" applyAlignment="1">
      <alignment wrapText="1"/>
    </xf>
    <xf numFmtId="0" fontId="2" fillId="21" borderId="5" xfId="0" applyFont="1" applyFill="1" applyBorder="1" applyAlignment="1">
      <alignment wrapText="1"/>
    </xf>
    <xf numFmtId="0" fontId="0" fillId="0" borderId="5" xfId="0" applyFill="1" applyBorder="1"/>
    <xf numFmtId="168" fontId="2" fillId="18" borderId="0" xfId="0" applyNumberFormat="1" applyFont="1" applyFill="1"/>
    <xf numFmtId="0" fontId="27" fillId="0" borderId="5" xfId="20" applyFont="1" applyBorder="1"/>
    <xf numFmtId="0" fontId="27" fillId="0" borderId="5" xfId="20" applyFont="1" applyBorder="1" applyAlignment="1">
      <alignment wrapText="1"/>
    </xf>
    <xf numFmtId="0" fontId="28" fillId="0" borderId="5" xfId="20" applyFont="1" applyBorder="1" applyAlignment="1">
      <alignment wrapText="1"/>
    </xf>
    <xf numFmtId="0" fontId="28" fillId="0" borderId="5" xfId="20" applyFont="1" applyBorder="1"/>
    <xf numFmtId="169" fontId="29" fillId="0" borderId="5" xfId="10" applyNumberFormat="1" applyFont="1" applyBorder="1"/>
    <xf numFmtId="169" fontId="27" fillId="0" borderId="5" xfId="10" applyNumberFormat="1" applyFont="1" applyBorder="1"/>
    <xf numFmtId="169" fontId="28" fillId="0" borderId="5" xfId="10" applyNumberFormat="1" applyFont="1" applyBorder="1"/>
    <xf numFmtId="44" fontId="28" fillId="0" borderId="5" xfId="10" applyFont="1" applyBorder="1"/>
    <xf numFmtId="169" fontId="27" fillId="0" borderId="5" xfId="20" applyNumberFormat="1" applyFont="1" applyBorder="1"/>
    <xf numFmtId="44" fontId="29" fillId="0" borderId="5" xfId="10" applyFont="1" applyBorder="1"/>
    <xf numFmtId="169" fontId="30" fillId="0" borderId="5" xfId="10" applyNumberFormat="1" applyFont="1" applyBorder="1"/>
    <xf numFmtId="43" fontId="29" fillId="0" borderId="5" xfId="9" applyFont="1" applyBorder="1"/>
    <xf numFmtId="43" fontId="27" fillId="0" borderId="5" xfId="20" applyNumberFormat="1" applyFont="1" applyBorder="1"/>
    <xf numFmtId="44" fontId="27" fillId="0" borderId="5" xfId="20" applyNumberFormat="1" applyFont="1" applyBorder="1"/>
    <xf numFmtId="176" fontId="5" fillId="0" borderId="0" xfId="2" applyNumberFormat="1" applyFont="1">
      <alignment readingOrder="1"/>
    </xf>
    <xf numFmtId="164" fontId="0" fillId="0" borderId="0" xfId="0" applyNumberFormat="1"/>
    <xf numFmtId="9" fontId="5" fillId="0" borderId="0" xfId="3" applyFont="1">
      <alignment readingOrder="1"/>
    </xf>
    <xf numFmtId="0" fontId="5" fillId="19" borderId="0" xfId="5" applyFill="1">
      <alignment readingOrder="1"/>
    </xf>
    <xf numFmtId="168" fontId="5" fillId="19" borderId="0" xfId="5" applyNumberFormat="1" applyFill="1">
      <alignment readingOrder="1"/>
    </xf>
    <xf numFmtId="169" fontId="5" fillId="19" borderId="0" xfId="5" applyNumberFormat="1" applyFill="1">
      <alignment readingOrder="1"/>
    </xf>
    <xf numFmtId="44" fontId="5" fillId="19" borderId="0" xfId="5" applyNumberFormat="1" applyFill="1">
      <alignment readingOrder="1"/>
    </xf>
    <xf numFmtId="9" fontId="5" fillId="19" borderId="0" xfId="5" applyNumberFormat="1" applyFill="1">
      <alignment readingOrder="1"/>
    </xf>
    <xf numFmtId="171" fontId="5" fillId="19" borderId="0" xfId="5" applyNumberFormat="1" applyFill="1">
      <alignment readingOrder="1"/>
    </xf>
    <xf numFmtId="169" fontId="0" fillId="19" borderId="0" xfId="10" applyNumberFormat="1" applyFont="1" applyFill="1">
      <alignment readingOrder="1"/>
    </xf>
    <xf numFmtId="170" fontId="5" fillId="19" borderId="0" xfId="5" applyNumberFormat="1" applyFill="1">
      <alignment readingOrder="1"/>
    </xf>
    <xf numFmtId="44" fontId="0" fillId="19" borderId="0" xfId="10" applyFont="1" applyFill="1">
      <alignment readingOrder="1"/>
    </xf>
    <xf numFmtId="9" fontId="0" fillId="19" borderId="0" xfId="11" applyFont="1" applyFill="1">
      <alignment readingOrder="1"/>
    </xf>
    <xf numFmtId="168" fontId="5" fillId="19" borderId="0" xfId="1" applyNumberFormat="1" applyFont="1" applyFill="1">
      <alignment readingOrder="1"/>
    </xf>
    <xf numFmtId="1" fontId="5" fillId="19" borderId="0" xfId="5" applyNumberFormat="1" applyFill="1">
      <alignment readingOrder="1"/>
    </xf>
    <xf numFmtId="176" fontId="0" fillId="0" borderId="0" xfId="10" applyNumberFormat="1" applyFont="1">
      <alignment readingOrder="1"/>
    </xf>
    <xf numFmtId="176" fontId="0" fillId="19" borderId="0" xfId="10" applyNumberFormat="1" applyFont="1" applyFill="1">
      <alignment readingOrder="1"/>
    </xf>
    <xf numFmtId="0" fontId="5" fillId="9" borderId="12" xfId="5" applyFont="1" applyFill="1" applyBorder="1" applyAlignment="1">
      <alignment wrapText="1" readingOrder="1"/>
    </xf>
    <xf numFmtId="9" fontId="5" fillId="19" borderId="0" xfId="3" applyFont="1" applyFill="1">
      <alignment readingOrder="1"/>
    </xf>
    <xf numFmtId="0" fontId="0" fillId="0" borderId="0" xfId="0" applyFill="1">
      <alignment readingOrder="1"/>
    </xf>
    <xf numFmtId="0" fontId="0" fillId="0" borderId="0" xfId="0" applyFill="1" applyAlignment="1">
      <alignment vertical="center" wrapText="1" readingOrder="1"/>
    </xf>
    <xf numFmtId="168" fontId="0" fillId="0" borderId="0" xfId="0" applyNumberFormat="1">
      <alignment readingOrder="1"/>
    </xf>
    <xf numFmtId="9" fontId="0" fillId="0" borderId="0" xfId="11" applyFont="1" applyAlignment="1">
      <alignment horizontal="center" readingOrder="1"/>
    </xf>
    <xf numFmtId="172" fontId="0" fillId="0" borderId="0" xfId="0" applyNumberFormat="1">
      <alignment readingOrder="1"/>
    </xf>
    <xf numFmtId="0" fontId="0" fillId="0" borderId="0" xfId="0" applyAlignment="1">
      <alignment horizontal="center" readingOrder="1"/>
    </xf>
    <xf numFmtId="178" fontId="0" fillId="0" borderId="0" xfId="0" applyNumberFormat="1">
      <alignment readingOrder="1"/>
    </xf>
    <xf numFmtId="0" fontId="15" fillId="50" borderId="7" xfId="0" applyFont="1" applyFill="1" applyBorder="1">
      <alignment readingOrder="1"/>
    </xf>
    <xf numFmtId="0" fontId="0" fillId="50" borderId="12" xfId="0" applyFill="1" applyBorder="1">
      <alignment readingOrder="1"/>
    </xf>
    <xf numFmtId="0" fontId="15" fillId="50" borderId="12" xfId="0" applyFont="1" applyFill="1" applyBorder="1">
      <alignment readingOrder="1"/>
    </xf>
    <xf numFmtId="49" fontId="0" fillId="50" borderId="11" xfId="0" quotePrefix="1" applyNumberFormat="1" applyFill="1" applyBorder="1">
      <alignment readingOrder="1"/>
    </xf>
    <xf numFmtId="0" fontId="0" fillId="50" borderId="10" xfId="0" applyNumberFormat="1" applyFill="1" applyBorder="1" applyAlignment="1">
      <alignment vertical="center" wrapText="1" readingOrder="1"/>
    </xf>
    <xf numFmtId="0" fontId="0" fillId="50" borderId="8" xfId="0" applyNumberFormat="1" applyFill="1" applyBorder="1" applyAlignment="1">
      <alignment vertical="center" wrapText="1" readingOrder="1"/>
    </xf>
    <xf numFmtId="0" fontId="0" fillId="50" borderId="13" xfId="0" applyNumberFormat="1" applyFill="1" applyBorder="1" applyAlignment="1">
      <alignment vertical="center" wrapText="1" readingOrder="1"/>
    </xf>
    <xf numFmtId="0" fontId="0" fillId="50" borderId="39" xfId="0" applyNumberFormat="1" applyFill="1" applyBorder="1" applyAlignment="1">
      <alignment vertical="center" wrapText="1" readingOrder="1"/>
    </xf>
    <xf numFmtId="0" fontId="0" fillId="49" borderId="0" xfId="0" applyFill="1">
      <alignment readingOrder="1"/>
    </xf>
    <xf numFmtId="0" fontId="53" fillId="51" borderId="0" xfId="0" applyFont="1" applyFill="1">
      <alignment readingOrder="1"/>
    </xf>
    <xf numFmtId="1" fontId="0" fillId="0" borderId="0" xfId="0" quotePrefix="1" applyNumberFormat="1">
      <alignment readingOrder="1"/>
    </xf>
    <xf numFmtId="0" fontId="0" fillId="49" borderId="0" xfId="0" applyFill="1" applyAlignment="1">
      <alignment vertical="center" wrapText="1" readingOrder="1"/>
    </xf>
    <xf numFmtId="0" fontId="0" fillId="0" borderId="0" xfId="0" quotePrefix="1">
      <alignment readingOrder="1"/>
    </xf>
    <xf numFmtId="1" fontId="0" fillId="0" borderId="0" xfId="0" applyNumberFormat="1" applyFill="1">
      <alignment readingOrder="1"/>
    </xf>
    <xf numFmtId="179" fontId="0" fillId="0" borderId="0" xfId="0" applyNumberFormat="1">
      <alignment readingOrder="1"/>
    </xf>
    <xf numFmtId="168" fontId="0" fillId="0" borderId="0" xfId="1" applyNumberFormat="1" applyFont="1" applyFill="1">
      <alignment readingOrder="1"/>
    </xf>
    <xf numFmtId="168" fontId="0" fillId="0" borderId="0" xfId="1" applyNumberFormat="1" applyFont="1">
      <alignment readingOrder="1"/>
    </xf>
    <xf numFmtId="0" fontId="0" fillId="49" borderId="0" xfId="0" applyFill="1"/>
    <xf numFmtId="0" fontId="0" fillId="0" borderId="0" xfId="0" applyFill="1"/>
    <xf numFmtId="9" fontId="5" fillId="0" borderId="0" xfId="5" applyNumberFormat="1" applyFill="1">
      <alignment readingOrder="1"/>
    </xf>
    <xf numFmtId="168" fontId="1" fillId="52" borderId="0" xfId="1" applyNumberFormat="1" applyFont="1" applyFill="1">
      <alignment readingOrder="1"/>
    </xf>
    <xf numFmtId="0" fontId="0" fillId="49" borderId="0" xfId="0" applyFill="1" applyAlignment="1">
      <alignment horizontal="center" readingOrder="1"/>
    </xf>
    <xf numFmtId="0" fontId="0" fillId="52" borderId="0" xfId="0" applyFill="1">
      <alignment readingOrder="1"/>
    </xf>
    <xf numFmtId="9" fontId="5" fillId="22" borderId="5" xfId="5" applyNumberFormat="1" applyFill="1" applyBorder="1">
      <alignment readingOrder="1"/>
    </xf>
    <xf numFmtId="9" fontId="0" fillId="0" borderId="0" xfId="3" applyFont="1"/>
    <xf numFmtId="0" fontId="5" fillId="18" borderId="0" xfId="5" applyFill="1" applyAlignment="1">
      <alignment vertical="center"/>
    </xf>
    <xf numFmtId="0" fontId="5" fillId="18" borderId="0" xfId="5" applyFill="1">
      <alignment readingOrder="1"/>
    </xf>
    <xf numFmtId="0" fontId="27" fillId="18" borderId="5" xfId="20" applyFont="1" applyFill="1" applyBorder="1"/>
    <xf numFmtId="0" fontId="27" fillId="18" borderId="5" xfId="20" applyFont="1" applyFill="1" applyBorder="1" applyAlignment="1">
      <alignment wrapText="1"/>
    </xf>
    <xf numFmtId="43" fontId="27" fillId="18" borderId="5" xfId="20" applyNumberFormat="1" applyFont="1" applyFill="1" applyBorder="1"/>
    <xf numFmtId="0" fontId="15" fillId="49" borderId="0" xfId="190" applyFont="1" applyFill="1"/>
    <xf numFmtId="0" fontId="5" fillId="0" borderId="0" xfId="190" applyFont="1"/>
    <xf numFmtId="0" fontId="0" fillId="0" borderId="0" xfId="0" applyFont="1"/>
    <xf numFmtId="0" fontId="5" fillId="18" borderId="0" xfId="190" applyFont="1" applyFill="1" applyAlignment="1">
      <alignment horizontal="center"/>
    </xf>
    <xf numFmtId="0" fontId="54" fillId="0" borderId="0" xfId="0" applyFont="1"/>
    <xf numFmtId="15" fontId="54" fillId="0" borderId="0" xfId="0" applyNumberFormat="1" applyFont="1" applyAlignment="1">
      <alignment horizontal="center" vertical="center"/>
    </xf>
    <xf numFmtId="15" fontId="54" fillId="0" borderId="0" xfId="190" applyNumberFormat="1" applyFont="1" applyAlignment="1">
      <alignment horizontal="center" vertical="center"/>
    </xf>
    <xf numFmtId="44" fontId="0" fillId="0" borderId="0" xfId="10" applyFont="1" applyFill="1">
      <alignment readingOrder="1"/>
    </xf>
    <xf numFmtId="0" fontId="0" fillId="0" borderId="6" xfId="0" applyBorder="1"/>
    <xf numFmtId="0" fontId="0" fillId="0" borderId="36" xfId="0" applyBorder="1"/>
    <xf numFmtId="0" fontId="0" fillId="0" borderId="37" xfId="0" applyBorder="1"/>
    <xf numFmtId="0" fontId="0" fillId="0" borderId="22" xfId="0" applyBorder="1"/>
    <xf numFmtId="0" fontId="0" fillId="0" borderId="0" xfId="0" applyBorder="1"/>
    <xf numFmtId="0" fontId="0" fillId="0" borderId="38" xfId="0" applyBorder="1"/>
    <xf numFmtId="9" fontId="0" fillId="0" borderId="0" xfId="0" applyNumberFormat="1" applyBorder="1"/>
    <xf numFmtId="9" fontId="0" fillId="0" borderId="38" xfId="0" applyNumberFormat="1" applyBorder="1"/>
    <xf numFmtId="0" fontId="0" fillId="0" borderId="11" xfId="0" applyBorder="1"/>
    <xf numFmtId="10" fontId="0" fillId="0" borderId="13" xfId="0" applyNumberFormat="1" applyBorder="1"/>
    <xf numFmtId="10" fontId="0" fillId="0" borderId="39" xfId="0" applyNumberFormat="1" applyBorder="1"/>
    <xf numFmtId="168" fontId="0" fillId="0" borderId="0" xfId="0" applyNumberFormat="1" applyAlignment="1">
      <alignment wrapText="1" readingOrder="1"/>
    </xf>
    <xf numFmtId="10" fontId="0" fillId="0" borderId="0" xfId="0" applyNumberFormat="1" applyBorder="1"/>
    <xf numFmtId="0" fontId="0" fillId="49" borderId="6" xfId="0" applyFill="1" applyBorder="1"/>
    <xf numFmtId="0" fontId="0" fillId="49" borderId="36" xfId="0" applyFill="1" applyBorder="1"/>
    <xf numFmtId="0" fontId="19" fillId="49" borderId="36" xfId="12" applyFill="1" applyBorder="1" applyAlignment="1" applyProtection="1"/>
    <xf numFmtId="0" fontId="0" fillId="49" borderId="22" xfId="0" applyFill="1" applyBorder="1"/>
    <xf numFmtId="0" fontId="0" fillId="49" borderId="0" xfId="0" applyFill="1" applyBorder="1"/>
    <xf numFmtId="0" fontId="0" fillId="49" borderId="22" xfId="0" applyFill="1" applyBorder="1" applyAlignment="1">
      <alignment horizontal="left"/>
    </xf>
    <xf numFmtId="44" fontId="0" fillId="0" borderId="0" xfId="0" applyNumberFormat="1" applyBorder="1"/>
    <xf numFmtId="0" fontId="0" fillId="49" borderId="11" xfId="0" applyFill="1" applyBorder="1" applyAlignment="1">
      <alignment horizontal="left"/>
    </xf>
    <xf numFmtId="44" fontId="0" fillId="0" borderId="13" xfId="0" applyNumberFormat="1" applyBorder="1"/>
    <xf numFmtId="0" fontId="0" fillId="0" borderId="13" xfId="0" applyBorder="1"/>
    <xf numFmtId="0" fontId="0" fillId="0" borderId="39" xfId="0" applyBorder="1"/>
    <xf numFmtId="169" fontId="0" fillId="0" borderId="5" xfId="2" applyNumberFormat="1" applyFont="1" applyBorder="1"/>
    <xf numFmtId="0" fontId="0" fillId="49" borderId="5" xfId="0" applyFill="1" applyBorder="1"/>
    <xf numFmtId="0" fontId="19" fillId="0" borderId="0" xfId="12" applyAlignment="1" applyProtection="1"/>
    <xf numFmtId="0" fontId="27" fillId="49" borderId="5" xfId="20" applyFont="1" applyFill="1" applyBorder="1"/>
    <xf numFmtId="168" fontId="1" fillId="52" borderId="0" xfId="1" applyNumberFormat="1" applyFont="1" applyFill="1" applyAlignment="1">
      <alignment horizontal="center" vertical="center" readingOrder="1"/>
    </xf>
    <xf numFmtId="9" fontId="5" fillId="0" borderId="0" xfId="11" applyFill="1" applyAlignment="1">
      <alignment horizontal="center" readingOrder="1"/>
    </xf>
    <xf numFmtId="170" fontId="5" fillId="52" borderId="0" xfId="1" applyNumberFormat="1" applyFont="1" applyFill="1" applyAlignment="1">
      <alignment horizontal="center" readingOrder="1"/>
    </xf>
    <xf numFmtId="9" fontId="0" fillId="0" borderId="7" xfId="0" applyNumberFormat="1" applyBorder="1" applyAlignment="1">
      <alignment horizontal="center" vertical="center"/>
    </xf>
    <xf numFmtId="9" fontId="0" fillId="0" borderId="12" xfId="0" applyNumberFormat="1" applyBorder="1" applyAlignment="1">
      <alignment horizontal="center" vertical="center"/>
    </xf>
    <xf numFmtId="9" fontId="0" fillId="0" borderId="4" xfId="0" applyNumberFormat="1" applyBorder="1" applyAlignment="1">
      <alignment horizontal="center" vertical="center"/>
    </xf>
    <xf numFmtId="9" fontId="0" fillId="0" borderId="0" xfId="0" applyNumberFormat="1" applyBorder="1" applyAlignment="1">
      <alignment horizontal="center" vertical="center"/>
    </xf>
    <xf numFmtId="0" fontId="0" fillId="0" borderId="0" xfId="0" applyBorder="1" applyAlignment="1">
      <alignment horizontal="center" vertical="center"/>
    </xf>
    <xf numFmtId="168" fontId="0" fillId="0" borderId="6" xfId="1" applyNumberFormat="1" applyFont="1" applyBorder="1" applyAlignment="1">
      <alignment horizontal="center" vertical="center"/>
    </xf>
    <xf numFmtId="168" fontId="0" fillId="0" borderId="22" xfId="1" applyNumberFormat="1" applyFont="1" applyBorder="1" applyAlignment="1">
      <alignment horizontal="center" vertical="center"/>
    </xf>
    <xf numFmtId="168" fontId="0" fillId="0" borderId="11" xfId="1" applyNumberFormat="1" applyFont="1" applyBorder="1" applyAlignment="1">
      <alignment horizontal="center" vertical="center"/>
    </xf>
    <xf numFmtId="0" fontId="23" fillId="18" borderId="0" xfId="0" applyFont="1" applyFill="1" applyAlignment="1">
      <alignment horizontal="center" wrapText="1"/>
    </xf>
    <xf numFmtId="168" fontId="0" fillId="53" borderId="9" xfId="0" applyNumberFormat="1" applyFill="1" applyBorder="1"/>
    <xf numFmtId="0" fontId="0" fillId="53" borderId="8" xfId="0" applyFill="1" applyBorder="1"/>
    <xf numFmtId="0" fontId="2" fillId="18" borderId="0" xfId="0" applyFont="1" applyFill="1" applyAlignment="1">
      <alignment wrapText="1"/>
    </xf>
    <xf numFmtId="15" fontId="54" fillId="0" borderId="0" xfId="190" applyNumberFormat="1" applyFont="1" applyFill="1" applyAlignment="1">
      <alignment horizontal="center" vertical="center"/>
    </xf>
    <xf numFmtId="164" fontId="0" fillId="0" borderId="0" xfId="0" applyNumberFormat="1" applyFill="1">
      <alignment readingOrder="1"/>
    </xf>
    <xf numFmtId="0" fontId="23" fillId="54" borderId="9" xfId="0" applyFont="1" applyFill="1" applyBorder="1"/>
    <xf numFmtId="0" fontId="23" fillId="54" borderId="8" xfId="0" applyFont="1" applyFill="1" applyBorder="1"/>
    <xf numFmtId="0" fontId="0" fillId="6" borderId="0" xfId="0" applyFill="1">
      <alignment readingOrder="1"/>
    </xf>
    <xf numFmtId="168" fontId="0" fillId="6" borderId="0" xfId="0" applyNumberFormat="1" applyFill="1">
      <alignment readingOrder="1"/>
    </xf>
    <xf numFmtId="168" fontId="0" fillId="6" borderId="0" xfId="1" applyNumberFormat="1" applyFont="1" applyFill="1">
      <alignment readingOrder="1"/>
    </xf>
    <xf numFmtId="0" fontId="5" fillId="50" borderId="0" xfId="5" applyFill="1">
      <alignment readingOrder="1"/>
    </xf>
    <xf numFmtId="169" fontId="0" fillId="0" borderId="0" xfId="0" applyNumberFormat="1"/>
    <xf numFmtId="0" fontId="5" fillId="49" borderId="5" xfId="5" applyFill="1" applyBorder="1" applyAlignment="1">
      <alignment wrapText="1" readingOrder="1"/>
    </xf>
    <xf numFmtId="0" fontId="18" fillId="49" borderId="12" xfId="5" applyFont="1" applyFill="1" applyBorder="1" applyAlignment="1">
      <alignment wrapText="1" readingOrder="1"/>
    </xf>
    <xf numFmtId="0" fontId="5" fillId="49" borderId="12" xfId="5" applyFont="1" applyFill="1" applyBorder="1" applyAlignment="1">
      <alignment wrapText="1" readingOrder="1"/>
    </xf>
    <xf numFmtId="0" fontId="5" fillId="49" borderId="0" xfId="5" applyFill="1">
      <alignment readingOrder="1"/>
    </xf>
    <xf numFmtId="0" fontId="55" fillId="55" borderId="40" xfId="0" applyFont="1" applyFill="1" applyBorder="1" applyAlignment="1">
      <alignment horizontal="center" vertical="top" wrapText="1"/>
    </xf>
    <xf numFmtId="0" fontId="55" fillId="55" borderId="41" xfId="0" applyFont="1" applyFill="1" applyBorder="1" applyAlignment="1">
      <alignment horizontal="center" vertical="top" wrapText="1"/>
    </xf>
    <xf numFmtId="0" fontId="55" fillId="55" borderId="15" xfId="0" applyFont="1" applyFill="1" applyBorder="1" applyAlignment="1">
      <alignment horizontal="center" vertical="top" wrapText="1"/>
    </xf>
    <xf numFmtId="0" fontId="55" fillId="0" borderId="40" xfId="0" applyFont="1" applyBorder="1" applyAlignment="1">
      <alignment horizontal="center" vertical="top" wrapText="1"/>
    </xf>
    <xf numFmtId="0" fontId="55" fillId="56" borderId="15" xfId="0" applyFont="1" applyFill="1" applyBorder="1" applyAlignment="1">
      <alignment horizontal="center" vertical="top" wrapText="1"/>
    </xf>
    <xf numFmtId="0" fontId="55" fillId="0" borderId="41" xfId="0" applyFont="1" applyBorder="1" applyAlignment="1">
      <alignment horizontal="center" vertical="top" wrapText="1"/>
    </xf>
    <xf numFmtId="0" fontId="55" fillId="57" borderId="15" xfId="0" applyFont="1" applyFill="1" applyBorder="1" applyAlignment="1">
      <alignment horizontal="center" vertical="top" wrapText="1"/>
    </xf>
    <xf numFmtId="9" fontId="5" fillId="50" borderId="0" xfId="5" applyNumberFormat="1" applyFill="1">
      <alignment readingOrder="1"/>
    </xf>
    <xf numFmtId="0" fontId="5" fillId="19" borderId="0" xfId="5" applyFill="1" applyAlignment="1">
      <alignment horizontal="center" wrapText="1" readingOrder="1"/>
    </xf>
    <xf numFmtId="2" fontId="5" fillId="50" borderId="0" xfId="5" applyNumberFormat="1" applyFill="1">
      <alignment readingOrder="1"/>
    </xf>
    <xf numFmtId="1" fontId="5" fillId="0" borderId="0" xfId="5" applyNumberFormat="1" applyFill="1">
      <alignment readingOrder="1"/>
    </xf>
    <xf numFmtId="0" fontId="5" fillId="58" borderId="0" xfId="5" applyFill="1" applyAlignment="1">
      <alignment wrapText="1" readingOrder="1"/>
    </xf>
    <xf numFmtId="15" fontId="56" fillId="0" borderId="0" xfId="190" applyNumberFormat="1" applyFont="1" applyAlignment="1">
      <alignment horizontal="center" vertical="center"/>
    </xf>
    <xf numFmtId="15" fontId="57" fillId="0" borderId="0" xfId="190" applyNumberFormat="1" applyFont="1" applyAlignment="1">
      <alignment horizontal="center" vertical="center"/>
    </xf>
    <xf numFmtId="0" fontId="57" fillId="0" borderId="0" xfId="0" applyFont="1"/>
    <xf numFmtId="0" fontId="0" fillId="49" borderId="37" xfId="0" applyFill="1" applyBorder="1"/>
    <xf numFmtId="0" fontId="0" fillId="49" borderId="38" xfId="0" applyFill="1" applyBorder="1"/>
    <xf numFmtId="169" fontId="0" fillId="0" borderId="0" xfId="0" applyNumberFormat="1" applyBorder="1"/>
    <xf numFmtId="169" fontId="0" fillId="0" borderId="38" xfId="0" applyNumberFormat="1" applyBorder="1"/>
    <xf numFmtId="169" fontId="0" fillId="0" borderId="13" xfId="0" applyNumberFormat="1" applyBorder="1"/>
    <xf numFmtId="169" fontId="0" fillId="0" borderId="39" xfId="0" applyNumberFormat="1" applyBorder="1"/>
    <xf numFmtId="0" fontId="31" fillId="23" borderId="9" xfId="0" applyFont="1" applyFill="1" applyBorder="1" applyAlignment="1">
      <alignment horizontal="left" wrapText="1" readingOrder="1"/>
    </xf>
    <xf numFmtId="0" fontId="31" fillId="23" borderId="8" xfId="0" applyFont="1" applyFill="1" applyBorder="1" applyAlignment="1">
      <alignment horizontal="center" wrapText="1" readingOrder="1"/>
    </xf>
    <xf numFmtId="0" fontId="31" fillId="24" borderId="9" xfId="0" applyFont="1" applyFill="1" applyBorder="1" applyAlignment="1">
      <alignment horizontal="left" readingOrder="1"/>
    </xf>
    <xf numFmtId="0" fontId="31" fillId="24" borderId="10" xfId="0" applyFont="1" applyFill="1" applyBorder="1" applyAlignment="1">
      <alignment horizontal="center" wrapText="1" readingOrder="1"/>
    </xf>
    <xf numFmtId="0" fontId="31" fillId="24" borderId="8" xfId="0" applyFont="1" applyFill="1" applyBorder="1" applyAlignment="1">
      <alignment horizontal="center" wrapText="1" readingOrder="1"/>
    </xf>
    <xf numFmtId="0" fontId="0" fillId="0" borderId="16" xfId="0" applyBorder="1">
      <alignment readingOrder="1"/>
    </xf>
    <xf numFmtId="0" fontId="0" fillId="0" borderId="15" xfId="0" applyBorder="1">
      <alignment readingOrder="1"/>
    </xf>
    <xf numFmtId="0" fontId="14" fillId="17" borderId="1" xfId="0" applyFont="1" applyFill="1" applyBorder="1" applyAlignment="1">
      <alignment horizontal="centerContinuous" wrapText="1" readingOrder="1"/>
    </xf>
    <xf numFmtId="0" fontId="14" fillId="17" borderId="3" xfId="0" applyFont="1" applyFill="1" applyBorder="1" applyAlignment="1">
      <alignment horizontal="centerContinuous" wrapText="1" readingOrder="1"/>
    </xf>
    <xf numFmtId="164" fontId="14" fillId="17" borderId="1" xfId="0" applyNumberFormat="1" applyFont="1" applyFill="1" applyBorder="1" applyAlignment="1">
      <alignment horizontal="centerContinuous" wrapText="1" readingOrder="1"/>
    </xf>
    <xf numFmtId="164" fontId="14" fillId="17" borderId="2" xfId="0" applyNumberFormat="1" applyFont="1" applyFill="1" applyBorder="1" applyAlignment="1">
      <alignment horizontal="centerContinuous" wrapText="1" readingOrder="1"/>
    </xf>
    <xf numFmtId="164" fontId="14" fillId="17" borderId="3" xfId="0" applyNumberFormat="1" applyFont="1" applyFill="1" applyBorder="1" applyAlignment="1">
      <alignment horizontal="centerContinuous" wrapText="1" readingOrder="1"/>
    </xf>
    <xf numFmtId="164" fontId="14" fillId="17" borderId="10" xfId="0" applyNumberFormat="1" applyFont="1" applyFill="1" applyBorder="1" applyAlignment="1">
      <alignment horizontal="center" wrapText="1" readingOrder="1"/>
    </xf>
    <xf numFmtId="0" fontId="14" fillId="13" borderId="5" xfId="0" applyFont="1" applyFill="1" applyBorder="1" applyAlignment="1">
      <alignment horizontal="center" wrapText="1" readingOrder="1"/>
    </xf>
    <xf numFmtId="0" fontId="14" fillId="13" borderId="8" xfId="0" applyFont="1" applyFill="1" applyBorder="1" applyAlignment="1">
      <alignment horizontal="center" wrapText="1" readingOrder="1"/>
    </xf>
    <xf numFmtId="164" fontId="14" fillId="13" borderId="8" xfId="0" applyNumberFormat="1" applyFont="1" applyFill="1" applyBorder="1" applyAlignment="1">
      <alignment horizontal="center" wrapText="1" readingOrder="1"/>
    </xf>
    <xf numFmtId="174" fontId="14" fillId="13" borderId="8" xfId="0" applyNumberFormat="1" applyFont="1" applyFill="1" applyBorder="1" applyAlignment="1">
      <alignment horizontal="center" wrapText="1" readingOrder="1"/>
    </xf>
    <xf numFmtId="164" fontId="13" fillId="0" borderId="0" xfId="0" applyNumberFormat="1" applyFont="1">
      <alignment readingOrder="1"/>
    </xf>
    <xf numFmtId="164" fontId="20" fillId="0" borderId="0" xfId="0" applyNumberFormat="1" applyFont="1">
      <alignment readingOrder="1"/>
    </xf>
    <xf numFmtId="0" fontId="14" fillId="14" borderId="1" xfId="0" applyFont="1" applyFill="1" applyBorder="1" applyAlignment="1">
      <alignment horizontal="centerContinuous" wrapText="1" readingOrder="1"/>
    </xf>
    <xf numFmtId="0" fontId="14" fillId="14" borderId="2" xfId="0" applyFont="1" applyFill="1" applyBorder="1" applyAlignment="1">
      <alignment horizontal="centerContinuous" wrapText="1" readingOrder="1"/>
    </xf>
    <xf numFmtId="164" fontId="14" fillId="14" borderId="2" xfId="0" applyNumberFormat="1" applyFont="1" applyFill="1" applyBorder="1" applyAlignment="1">
      <alignment horizontal="centerContinuous" wrapText="1" readingOrder="1"/>
    </xf>
    <xf numFmtId="164" fontId="14" fillId="14" borderId="3" xfId="0" applyNumberFormat="1" applyFont="1" applyFill="1" applyBorder="1" applyAlignment="1">
      <alignment horizontal="centerContinuous" wrapText="1" readingOrder="1"/>
    </xf>
    <xf numFmtId="164" fontId="14" fillId="14" borderId="10" xfId="0" applyNumberFormat="1" applyFont="1" applyFill="1" applyBorder="1" applyAlignment="1">
      <alignment horizontal="center" wrapText="1" readingOrder="1"/>
    </xf>
    <xf numFmtId="164" fontId="14" fillId="14" borderId="1" xfId="0" applyNumberFormat="1" applyFont="1" applyFill="1" applyBorder="1" applyAlignment="1">
      <alignment horizontal="centerContinuous" wrapText="1" readingOrder="1"/>
    </xf>
    <xf numFmtId="0" fontId="15" fillId="0" borderId="0" xfId="0" applyFont="1">
      <alignment readingOrder="1"/>
    </xf>
    <xf numFmtId="164" fontId="15" fillId="0" borderId="0" xfId="0" applyNumberFormat="1" applyFont="1">
      <alignment readingOrder="1"/>
    </xf>
    <xf numFmtId="177" fontId="15" fillId="0" borderId="0" xfId="0" applyNumberFormat="1" applyFont="1">
      <alignment readingOrder="1"/>
    </xf>
    <xf numFmtId="177" fontId="0" fillId="0" borderId="0" xfId="0" applyNumberFormat="1">
      <alignment readingOrder="1"/>
    </xf>
    <xf numFmtId="177" fontId="20" fillId="0" borderId="0" xfId="0" applyNumberFormat="1" applyFont="1">
      <alignment readingOrder="1"/>
    </xf>
    <xf numFmtId="0" fontId="14" fillId="14" borderId="5" xfId="0" applyFont="1" applyFill="1" applyBorder="1" applyAlignment="1">
      <alignment horizontal="center" wrapText="1" readingOrder="1"/>
    </xf>
    <xf numFmtId="0" fontId="14" fillId="14" borderId="8" xfId="0" applyFont="1" applyFill="1" applyBorder="1" applyAlignment="1">
      <alignment horizontal="center" wrapText="1" readingOrder="1"/>
    </xf>
    <xf numFmtId="164" fontId="14" fillId="14" borderId="8" xfId="0" applyNumberFormat="1" applyFont="1" applyFill="1" applyBorder="1" applyAlignment="1">
      <alignment horizontal="center" wrapText="1" readingOrder="1"/>
    </xf>
    <xf numFmtId="164" fontId="14" fillId="14" borderId="23" xfId="0" applyNumberFormat="1" applyFont="1" applyFill="1" applyBorder="1" applyAlignment="1">
      <alignment horizontal="centerContinuous" wrapText="1" readingOrder="1"/>
    </xf>
    <xf numFmtId="164" fontId="14" fillId="14" borderId="24" xfId="0" applyNumberFormat="1" applyFont="1" applyFill="1" applyBorder="1" applyAlignment="1">
      <alignment horizontal="centerContinuous" wrapText="1" readingOrder="1"/>
    </xf>
    <xf numFmtId="0" fontId="57" fillId="0" borderId="0" xfId="0" applyFont="1" applyAlignment="1">
      <alignment horizontal="center" vertical="center"/>
    </xf>
    <xf numFmtId="1" fontId="0" fillId="49" borderId="0" xfId="0" applyNumberFormat="1" applyFill="1">
      <alignment readingOrder="1"/>
    </xf>
    <xf numFmtId="9" fontId="5" fillId="49" borderId="0" xfId="3" applyFont="1" applyFill="1">
      <alignment readingOrder="1"/>
    </xf>
    <xf numFmtId="9" fontId="0" fillId="0" borderId="0" xfId="3" applyFont="1">
      <alignment readingOrder="1"/>
    </xf>
    <xf numFmtId="9" fontId="0" fillId="0" borderId="0" xfId="0" applyNumberFormat="1" applyAlignment="1">
      <alignment horizontal="center" readingOrder="1"/>
    </xf>
    <xf numFmtId="0" fontId="23" fillId="49" borderId="5" xfId="0" applyFont="1" applyFill="1" applyBorder="1"/>
    <xf numFmtId="0" fontId="23" fillId="49" borderId="6" xfId="0" applyFont="1" applyFill="1" applyBorder="1"/>
    <xf numFmtId="0" fontId="23" fillId="49" borderId="11" xfId="0" applyFont="1" applyFill="1" applyBorder="1"/>
    <xf numFmtId="9" fontId="23" fillId="49" borderId="5" xfId="11" applyFont="1" applyFill="1" applyBorder="1"/>
    <xf numFmtId="0" fontId="0" fillId="50" borderId="0" xfId="0" applyFill="1">
      <alignment readingOrder="1"/>
    </xf>
    <xf numFmtId="9" fontId="0" fillId="50" borderId="0" xfId="0" applyNumberFormat="1" applyFill="1">
      <alignment readingOrder="1"/>
    </xf>
    <xf numFmtId="168" fontId="0" fillId="50" borderId="0" xfId="1" applyNumberFormat="1" applyFont="1" applyFill="1">
      <alignment readingOrder="1"/>
    </xf>
    <xf numFmtId="0" fontId="23" fillId="50" borderId="37" xfId="0" applyFont="1" applyFill="1" applyBorder="1"/>
    <xf numFmtId="0" fontId="23" fillId="50" borderId="39" xfId="0" applyFont="1" applyFill="1" applyBorder="1"/>
    <xf numFmtId="164" fontId="0" fillId="50" borderId="0" xfId="0" applyNumberFormat="1" applyFill="1">
      <alignment readingOrder="1"/>
    </xf>
    <xf numFmtId="0" fontId="23" fillId="59" borderId="5" xfId="0" applyFont="1" applyFill="1" applyBorder="1"/>
    <xf numFmtId="164" fontId="23" fillId="59" borderId="5" xfId="0" applyNumberFormat="1" applyFont="1" applyFill="1" applyBorder="1"/>
    <xf numFmtId="0" fontId="2" fillId="49" borderId="7" xfId="0" applyFont="1" applyFill="1" applyBorder="1" applyAlignment="1">
      <alignment horizontal="center" readingOrder="1"/>
    </xf>
    <xf numFmtId="0" fontId="2" fillId="49" borderId="4" xfId="0" applyFont="1" applyFill="1" applyBorder="1" applyAlignment="1">
      <alignment horizontal="center" readingOrder="1"/>
    </xf>
    <xf numFmtId="2" fontId="0" fillId="0" borderId="0" xfId="0" applyNumberFormat="1" applyFill="1">
      <alignment readingOrder="1"/>
    </xf>
    <xf numFmtId="0" fontId="23" fillId="54" borderId="5" xfId="0" applyFont="1" applyFill="1" applyBorder="1"/>
    <xf numFmtId="0" fontId="23" fillId="49" borderId="7" xfId="0" applyFont="1" applyFill="1" applyBorder="1"/>
    <xf numFmtId="0" fontId="3" fillId="49" borderId="0" xfId="0" applyFont="1" applyFill="1" applyBorder="1"/>
    <xf numFmtId="0" fontId="23" fillId="54" borderId="7" xfId="0" applyFont="1" applyFill="1" applyBorder="1"/>
    <xf numFmtId="0" fontId="23" fillId="49" borderId="9" xfId="0" applyFont="1" applyFill="1" applyBorder="1"/>
    <xf numFmtId="9" fontId="0" fillId="59" borderId="0" xfId="3" applyFont="1" applyFill="1">
      <alignment readingOrder="1"/>
    </xf>
    <xf numFmtId="9" fontId="0" fillId="59" borderId="0" xfId="11" applyFont="1" applyFill="1" applyAlignment="1">
      <alignment horizontal="center" readingOrder="1"/>
    </xf>
    <xf numFmtId="1" fontId="0" fillId="50" borderId="0" xfId="0" applyNumberFormat="1" applyFill="1">
      <alignment readingOrder="1"/>
    </xf>
    <xf numFmtId="9" fontId="2" fillId="50" borderId="42" xfId="0" applyNumberFormat="1" applyFont="1" applyFill="1" applyBorder="1">
      <alignment readingOrder="1"/>
    </xf>
    <xf numFmtId="168" fontId="0" fillId="50" borderId="0" xfId="0" applyNumberFormat="1" applyFill="1">
      <alignment readingOrder="1"/>
    </xf>
    <xf numFmtId="1" fontId="0" fillId="59" borderId="0" xfId="0" applyNumberFormat="1" applyFill="1" applyAlignment="1">
      <alignment horizontal="center" readingOrder="1"/>
    </xf>
    <xf numFmtId="164" fontId="0" fillId="59" borderId="0" xfId="0" applyNumberFormat="1" applyFill="1" applyAlignment="1">
      <alignment horizontal="center" readingOrder="1"/>
    </xf>
    <xf numFmtId="0" fontId="23" fillId="50" borderId="5" xfId="0" applyFont="1" applyFill="1" applyBorder="1"/>
    <xf numFmtId="0" fontId="5" fillId="58" borderId="12" xfId="5" applyFont="1" applyFill="1" applyBorder="1" applyAlignment="1">
      <alignment wrapText="1" readingOrder="1"/>
    </xf>
    <xf numFmtId="15" fontId="57" fillId="0" borderId="0" xfId="190" applyNumberFormat="1" applyFont="1" applyFill="1" applyAlignment="1">
      <alignment horizontal="center" vertical="center"/>
    </xf>
    <xf numFmtId="15" fontId="57" fillId="0" borderId="0" xfId="0" applyNumberFormat="1" applyFont="1" applyAlignment="1">
      <alignment horizontal="center" vertical="center"/>
    </xf>
    <xf numFmtId="9" fontId="0" fillId="22" borderId="5" xfId="0" applyNumberFormat="1" applyFill="1" applyBorder="1"/>
    <xf numFmtId="9" fontId="0" fillId="0" borderId="5" xfId="0" applyNumberFormat="1" applyBorder="1" applyAlignment="1">
      <alignment horizontal="center"/>
    </xf>
    <xf numFmtId="171" fontId="0" fillId="0" borderId="5" xfId="0" applyNumberFormat="1" applyBorder="1" applyAlignment="1">
      <alignment horizontal="center"/>
    </xf>
    <xf numFmtId="0" fontId="23" fillId="49" borderId="36" xfId="0" applyFont="1" applyFill="1" applyBorder="1"/>
    <xf numFmtId="0" fontId="23" fillId="49" borderId="37" xfId="0" applyFont="1" applyFill="1" applyBorder="1"/>
    <xf numFmtId="0" fontId="23" fillId="49" borderId="13" xfId="0" applyFont="1" applyFill="1" applyBorder="1"/>
    <xf numFmtId="0" fontId="23" fillId="49" borderId="39" xfId="0" applyFont="1" applyFill="1" applyBorder="1"/>
    <xf numFmtId="2" fontId="0" fillId="8" borderId="0" xfId="0" applyNumberFormat="1" applyFill="1" applyAlignment="1">
      <alignment horizontal="center" readingOrder="1"/>
    </xf>
    <xf numFmtId="1" fontId="0" fillId="8" borderId="0" xfId="0" applyNumberFormat="1" applyFill="1" applyAlignment="1">
      <alignment horizontal="center" readingOrder="1"/>
    </xf>
    <xf numFmtId="168" fontId="0" fillId="8" borderId="0" xfId="9" applyNumberFormat="1" applyFont="1" applyFill="1" applyAlignment="1">
      <alignment horizontal="center" readingOrder="1"/>
    </xf>
    <xf numFmtId="0" fontId="0" fillId="0" borderId="0" xfId="0" applyAlignment="1"/>
    <xf numFmtId="0" fontId="58" fillId="60" borderId="44" xfId="0" applyFont="1" applyFill="1" applyBorder="1" applyAlignment="1">
      <alignment horizontal="left" vertical="center"/>
    </xf>
    <xf numFmtId="0" fontId="58" fillId="60" borderId="45" xfId="0" applyFont="1" applyFill="1" applyBorder="1" applyAlignment="1">
      <alignment horizontal="left" vertical="center"/>
    </xf>
    <xf numFmtId="0" fontId="58" fillId="60" borderId="46" xfId="0" applyFont="1" applyFill="1" applyBorder="1" applyAlignment="1">
      <alignment horizontal="left" vertical="center"/>
    </xf>
    <xf numFmtId="0" fontId="60" fillId="60" borderId="47" xfId="0" applyFont="1" applyFill="1" applyBorder="1" applyAlignment="1"/>
    <xf numFmtId="0" fontId="60" fillId="60" borderId="43" xfId="0" applyFont="1" applyFill="1" applyBorder="1" applyAlignment="1"/>
    <xf numFmtId="0" fontId="60" fillId="60" borderId="48" xfId="0" applyFont="1" applyFill="1" applyBorder="1" applyAlignment="1"/>
    <xf numFmtId="0" fontId="60" fillId="6" borderId="47" xfId="0" applyFont="1" applyFill="1" applyBorder="1" applyAlignment="1"/>
    <xf numFmtId="0" fontId="60" fillId="6" borderId="43" xfId="0" applyFont="1" applyFill="1" applyBorder="1" applyAlignment="1"/>
    <xf numFmtId="0" fontId="60" fillId="6" borderId="48" xfId="0" applyFont="1" applyFill="1" applyBorder="1" applyAlignment="1"/>
    <xf numFmtId="0" fontId="0" fillId="0" borderId="0" xfId="0" applyAlignment="1">
      <alignment horizontal="center"/>
    </xf>
    <xf numFmtId="2" fontId="0" fillId="0" borderId="0" xfId="0" applyNumberFormat="1" applyAlignment="1">
      <alignment horizontal="center"/>
    </xf>
    <xf numFmtId="1" fontId="0" fillId="0" borderId="0" xfId="0" applyNumberFormat="1" applyAlignment="1">
      <alignment horizontal="center"/>
    </xf>
    <xf numFmtId="0" fontId="61" fillId="61" borderId="0" xfId="0" applyFont="1" applyFill="1" applyBorder="1" applyAlignment="1">
      <alignment horizontal="center" wrapText="1"/>
    </xf>
    <xf numFmtId="180" fontId="0" fillId="0" borderId="0" xfId="0" applyNumberFormat="1"/>
    <xf numFmtId="0" fontId="0" fillId="50" borderId="6" xfId="0" applyNumberFormat="1" applyFill="1" applyBorder="1" applyAlignment="1">
      <alignment horizontal="left" vertical="center" wrapText="1" readingOrder="1"/>
    </xf>
    <xf numFmtId="0" fontId="0" fillId="50" borderId="36" xfId="0" applyNumberFormat="1" applyFill="1" applyBorder="1" applyAlignment="1">
      <alignment horizontal="left" vertical="center" wrapText="1" readingOrder="1"/>
    </xf>
    <xf numFmtId="0" fontId="0" fillId="50" borderId="37" xfId="0" applyNumberFormat="1" applyFill="1" applyBorder="1" applyAlignment="1">
      <alignment horizontal="left" vertical="center" wrapText="1" readingOrder="1"/>
    </xf>
    <xf numFmtId="0" fontId="0" fillId="50" borderId="22" xfId="0" applyNumberFormat="1" applyFill="1" applyBorder="1" applyAlignment="1">
      <alignment horizontal="left" vertical="center" wrapText="1" readingOrder="1"/>
    </xf>
    <xf numFmtId="0" fontId="0" fillId="50" borderId="0" xfId="0" applyNumberFormat="1" applyFill="1" applyBorder="1" applyAlignment="1">
      <alignment horizontal="left" vertical="center" wrapText="1" readingOrder="1"/>
    </xf>
    <xf numFmtId="0" fontId="0" fillId="50" borderId="38" xfId="0" applyNumberFormat="1" applyFill="1" applyBorder="1" applyAlignment="1">
      <alignment horizontal="left" vertical="center" wrapText="1" readingOrder="1"/>
    </xf>
    <xf numFmtId="0" fontId="0" fillId="50" borderId="13" xfId="0" applyNumberFormat="1" applyFill="1" applyBorder="1" applyAlignment="1">
      <alignment horizontal="left" vertical="center" wrapText="1" readingOrder="1"/>
    </xf>
    <xf numFmtId="0" fontId="0" fillId="50" borderId="39" xfId="0" applyNumberFormat="1" applyFill="1" applyBorder="1" applyAlignment="1">
      <alignment horizontal="left" vertical="center" wrapText="1" readingOrder="1"/>
    </xf>
    <xf numFmtId="0" fontId="14" fillId="3" borderId="9" xfId="7" applyFont="1" applyFill="1" applyBorder="1" applyAlignment="1">
      <alignment horizontal="center"/>
    </xf>
    <xf numFmtId="0" fontId="14" fillId="3" borderId="10" xfId="7" applyFont="1" applyFill="1" applyBorder="1" applyAlignment="1">
      <alignment horizontal="center"/>
    </xf>
    <xf numFmtId="0" fontId="14" fillId="3" borderId="8" xfId="7" applyFont="1" applyFill="1" applyBorder="1" applyAlignment="1">
      <alignment horizontal="center"/>
    </xf>
    <xf numFmtId="0" fontId="11" fillId="4" borderId="5" xfId="0" applyFont="1" applyFill="1" applyBorder="1" applyAlignment="1">
      <alignment horizontal="center"/>
    </xf>
    <xf numFmtId="0" fontId="15" fillId="0" borderId="5" xfId="0" applyFont="1" applyBorder="1" applyAlignment="1">
      <alignment horizontal="center"/>
    </xf>
    <xf numFmtId="0" fontId="15" fillId="6" borderId="5" xfId="7" applyFont="1" applyFill="1" applyBorder="1" applyAlignment="1">
      <alignment horizontal="center"/>
    </xf>
    <xf numFmtId="0" fontId="0" fillId="49" borderId="5" xfId="0" applyFill="1" applyBorder="1" applyAlignment="1">
      <alignment horizontal="center"/>
    </xf>
    <xf numFmtId="0" fontId="2" fillId="18" borderId="5" xfId="0" applyFont="1" applyFill="1" applyBorder="1" applyAlignment="1">
      <alignment horizontal="center"/>
    </xf>
    <xf numFmtId="9" fontId="0" fillId="0" borderId="7" xfId="0" applyNumberFormat="1" applyBorder="1" applyAlignment="1">
      <alignment horizontal="center" vertical="center"/>
    </xf>
    <xf numFmtId="9" fontId="0" fillId="0" borderId="12" xfId="0" applyNumberFormat="1" applyBorder="1" applyAlignment="1">
      <alignment horizontal="center" vertical="center"/>
    </xf>
    <xf numFmtId="9" fontId="0" fillId="0" borderId="4" xfId="0" applyNumberFormat="1" applyBorder="1" applyAlignment="1">
      <alignment horizontal="center" vertical="center"/>
    </xf>
    <xf numFmtId="0" fontId="0" fillId="0" borderId="4" xfId="0" applyBorder="1" applyAlignment="1">
      <alignment horizontal="center" vertical="center"/>
    </xf>
    <xf numFmtId="0" fontId="5" fillId="18" borderId="9" xfId="13" applyFont="1" applyFill="1" applyBorder="1" applyAlignment="1">
      <alignment horizontal="center" wrapText="1"/>
    </xf>
    <xf numFmtId="0" fontId="5" fillId="18" borderId="10" xfId="13" applyFont="1" applyFill="1" applyBorder="1" applyAlignment="1">
      <alignment horizontal="center" wrapText="1"/>
    </xf>
    <xf numFmtId="0" fontId="5" fillId="18" borderId="8" xfId="13" applyFont="1" applyFill="1" applyBorder="1" applyAlignment="1">
      <alignment horizontal="center" wrapText="1"/>
    </xf>
    <xf numFmtId="9" fontId="0" fillId="0" borderId="5" xfId="0" applyNumberFormat="1" applyBorder="1" applyAlignment="1">
      <alignment horizontal="center" vertical="center"/>
    </xf>
    <xf numFmtId="0" fontId="0" fillId="0" borderId="5" xfId="0" applyBorder="1" applyAlignment="1">
      <alignment horizontal="center" vertical="center"/>
    </xf>
    <xf numFmtId="0" fontId="0" fillId="18" borderId="13" xfId="0" applyFill="1" applyBorder="1" applyAlignment="1">
      <alignment horizontal="center" vertical="center" wrapText="1" readingOrder="1"/>
    </xf>
    <xf numFmtId="0" fontId="0" fillId="0" borderId="9" xfId="0" applyBorder="1" applyAlignment="1">
      <alignment horizontal="center" vertical="center" wrapText="1" readingOrder="1"/>
    </xf>
    <xf numFmtId="0" fontId="0" fillId="0" borderId="10" xfId="0" applyBorder="1" applyAlignment="1">
      <alignment horizontal="center" vertical="center" wrapText="1" readingOrder="1"/>
    </xf>
    <xf numFmtId="0" fontId="0" fillId="0" borderId="8" xfId="0" applyBorder="1" applyAlignment="1">
      <alignment horizontal="center" vertical="center" wrapText="1" readingOrder="1"/>
    </xf>
    <xf numFmtId="0" fontId="0" fillId="0" borderId="14" xfId="0" applyBorder="1" applyAlignment="1">
      <alignment horizontal="center" vertical="center" wrapText="1" readingOrder="1"/>
    </xf>
    <xf numFmtId="0" fontId="0" fillId="0" borderId="15" xfId="0" applyBorder="1" applyAlignment="1">
      <alignment horizontal="center" vertical="center" wrapText="1" readingOrder="1"/>
    </xf>
    <xf numFmtId="0" fontId="0" fillId="0" borderId="14" xfId="0" applyBorder="1" applyAlignment="1">
      <alignment horizontal="center" vertical="center" readingOrder="1"/>
    </xf>
    <xf numFmtId="0" fontId="0" fillId="0" borderId="16" xfId="0" applyBorder="1" applyAlignment="1">
      <alignment horizontal="center" vertical="center" readingOrder="1"/>
    </xf>
    <xf numFmtId="0" fontId="0" fillId="0" borderId="15" xfId="0" applyBorder="1" applyAlignment="1">
      <alignment horizontal="center" vertical="center" readingOrder="1"/>
    </xf>
    <xf numFmtId="0" fontId="15" fillId="12" borderId="9" xfId="0" applyFont="1" applyFill="1" applyBorder="1" applyAlignment="1">
      <alignment horizontal="center" readingOrder="1"/>
    </xf>
    <xf numFmtId="0" fontId="15" fillId="12" borderId="10" xfId="0" applyFont="1" applyFill="1" applyBorder="1" applyAlignment="1">
      <alignment horizontal="center" readingOrder="1"/>
    </xf>
    <xf numFmtId="0" fontId="15" fillId="12" borderId="8" xfId="0" applyFont="1" applyFill="1" applyBorder="1" applyAlignment="1">
      <alignment horizontal="center" readingOrder="1"/>
    </xf>
    <xf numFmtId="0" fontId="0" fillId="49" borderId="9" xfId="0" applyFill="1" applyBorder="1" applyAlignment="1">
      <alignment horizontal="center" vertical="center"/>
    </xf>
    <xf numFmtId="0" fontId="0" fillId="49" borderId="10" xfId="0" applyFill="1" applyBorder="1" applyAlignment="1">
      <alignment horizontal="center" vertical="center"/>
    </xf>
    <xf numFmtId="0" fontId="0" fillId="49" borderId="8" xfId="0" applyFill="1" applyBorder="1" applyAlignment="1">
      <alignment horizontal="center" vertical="center"/>
    </xf>
    <xf numFmtId="0" fontId="55" fillId="55" borderId="14" xfId="0" applyFont="1" applyFill="1" applyBorder="1" applyAlignment="1">
      <alignment horizontal="center" vertical="center" wrapText="1"/>
    </xf>
    <xf numFmtId="0" fontId="55" fillId="55" borderId="16" xfId="0" applyFont="1" applyFill="1" applyBorder="1" applyAlignment="1">
      <alignment horizontal="center" vertical="center" wrapText="1"/>
    </xf>
    <xf numFmtId="0" fontId="55" fillId="55" borderId="15" xfId="0" applyFont="1" applyFill="1" applyBorder="1" applyAlignment="1">
      <alignment horizontal="center" vertical="center" wrapText="1"/>
    </xf>
    <xf numFmtId="0" fontId="5" fillId="18" borderId="22" xfId="13" applyFont="1" applyFill="1" applyBorder="1" applyAlignment="1">
      <alignment horizontal="center"/>
    </xf>
    <xf numFmtId="0" fontId="5" fillId="18" borderId="0" xfId="13" applyFont="1" applyFill="1" applyBorder="1" applyAlignment="1">
      <alignment horizontal="center"/>
    </xf>
    <xf numFmtId="0" fontId="5" fillId="18" borderId="9" xfId="13" applyFont="1" applyFill="1" applyBorder="1" applyAlignment="1">
      <alignment horizontal="center"/>
    </xf>
    <xf numFmtId="0" fontId="5" fillId="18" borderId="10" xfId="13" applyFont="1" applyFill="1" applyBorder="1" applyAlignment="1">
      <alignment horizontal="center"/>
    </xf>
    <xf numFmtId="0" fontId="5" fillId="18" borderId="8" xfId="13" applyFont="1" applyFill="1" applyBorder="1" applyAlignment="1">
      <alignment horizontal="center"/>
    </xf>
    <xf numFmtId="1" fontId="5" fillId="0" borderId="0" xfId="13" applyNumberFormat="1" applyAlignment="1">
      <alignment horizontal="center"/>
    </xf>
    <xf numFmtId="0" fontId="0" fillId="60" borderId="43" xfId="0" applyFill="1" applyBorder="1" applyAlignment="1">
      <alignment horizontal="center"/>
    </xf>
    <xf numFmtId="0" fontId="0" fillId="0" borderId="43" xfId="0" applyBorder="1" applyAlignment="1"/>
    <xf numFmtId="0" fontId="0" fillId="49" borderId="6" xfId="0" applyFill="1" applyBorder="1">
      <alignment readingOrder="1"/>
    </xf>
    <xf numFmtId="0" fontId="0" fillId="49" borderId="22" xfId="0" applyFill="1" applyBorder="1">
      <alignment readingOrder="1"/>
    </xf>
    <xf numFmtId="0" fontId="0" fillId="49" borderId="11" xfId="0" applyFill="1" applyBorder="1">
      <alignment readingOrder="1"/>
    </xf>
    <xf numFmtId="0" fontId="53" fillId="51" borderId="37" xfId="0" applyFont="1" applyFill="1" applyBorder="1">
      <alignment readingOrder="1"/>
    </xf>
    <xf numFmtId="0" fontId="53" fillId="51" borderId="38" xfId="0" applyFont="1" applyFill="1" applyBorder="1">
      <alignment readingOrder="1"/>
    </xf>
    <xf numFmtId="164" fontId="2" fillId="59" borderId="13" xfId="0" applyNumberFormat="1" applyFont="1" applyFill="1" applyBorder="1" applyAlignment="1">
      <alignment horizontal="center" readingOrder="1"/>
    </xf>
    <xf numFmtId="0" fontId="0" fillId="49" borderId="13" xfId="0" applyFill="1" applyBorder="1">
      <alignment readingOrder="1"/>
    </xf>
    <xf numFmtId="15" fontId="0" fillId="0" borderId="0" xfId="0" applyNumberFormat="1"/>
    <xf numFmtId="0" fontId="0" fillId="49" borderId="13" xfId="0" applyFont="1" applyFill="1" applyBorder="1">
      <alignment readingOrder="1"/>
    </xf>
  </cellXfs>
  <cellStyles count="213">
    <cellStyle name="20% - Accent1 2" xfId="21"/>
    <cellStyle name="20% - Accent1 2 2" xfId="22"/>
    <cellStyle name="20% - Accent2 2" xfId="23"/>
    <cellStyle name="20% - Accent3 2" xfId="24"/>
    <cellStyle name="20% - Accent3 2 2" xfId="25"/>
    <cellStyle name="20% - Accent4 2" xfId="26"/>
    <cellStyle name="20% - Accent4 2 2" xfId="27"/>
    <cellStyle name="20% - Accent5 2" xfId="28"/>
    <cellStyle name="20% - Accent6 2" xfId="29"/>
    <cellStyle name="40% - Accent1 2" xfId="30"/>
    <cellStyle name="40% - Accent1 2 2" xfId="31"/>
    <cellStyle name="40% - Accent2 2" xfId="32"/>
    <cellStyle name="40% - Accent2 2 2" xfId="33"/>
    <cellStyle name="40% - Accent3 2" xfId="34"/>
    <cellStyle name="40% - Accent3 2 2" xfId="35"/>
    <cellStyle name="40% - Accent4 2" xfId="36"/>
    <cellStyle name="40% - Accent4 2 2" xfId="37"/>
    <cellStyle name="40% - Accent5 2" xfId="38"/>
    <cellStyle name="40% - Accent6 2" xfId="39"/>
    <cellStyle name="40% - Accent6 2 2" xfId="40"/>
    <cellStyle name="60% - Accent1 2" xfId="41"/>
    <cellStyle name="60% - Accent1 2 2" xfId="42"/>
    <cellStyle name="60% - Accent2 2" xfId="43"/>
    <cellStyle name="60% - Accent2 2 2" xfId="44"/>
    <cellStyle name="60% - Accent3 2" xfId="45"/>
    <cellStyle name="60% - Accent3 2 2" xfId="46"/>
    <cellStyle name="60% - Accent4 2" xfId="47"/>
    <cellStyle name="60% - Accent4 2 2" xfId="48"/>
    <cellStyle name="60% - Accent5 2" xfId="49"/>
    <cellStyle name="60% - Accent6 2" xfId="50"/>
    <cellStyle name="60% - Accent6 2 2" xfId="51"/>
    <cellStyle name="Accent1 2" xfId="52"/>
    <cellStyle name="Accent1 2 2" xfId="53"/>
    <cellStyle name="Accent2 2" xfId="54"/>
    <cellStyle name="Accent3 2" xfId="55"/>
    <cellStyle name="Accent3 2 2" xfId="56"/>
    <cellStyle name="Accent4 2" xfId="57"/>
    <cellStyle name="Accent4 2 2" xfId="58"/>
    <cellStyle name="Accent5 2" xfId="59"/>
    <cellStyle name="Accent6 2" xfId="60"/>
    <cellStyle name="Bad 2" xfId="61"/>
    <cellStyle name="Bad 2 2" xfId="62"/>
    <cellStyle name="Calculation 2" xfId="63"/>
    <cellStyle name="Calculation 2 2" xfId="64"/>
    <cellStyle name="Check Cell 2" xfId="65"/>
    <cellStyle name="Comma" xfId="1" builtinId="3"/>
    <cellStyle name="Comma 2" xfId="9"/>
    <cellStyle name="Comma 2 2" xfId="66"/>
    <cellStyle name="Comma 2 2 2" xfId="67"/>
    <cellStyle name="Comma 2 2 3" xfId="68"/>
    <cellStyle name="Comma 2 3" xfId="69"/>
    <cellStyle name="Comma 2 4" xfId="70"/>
    <cellStyle name="Comma 3" xfId="71"/>
    <cellStyle name="Comma 3 2" xfId="72"/>
    <cellStyle name="Comma 3 2 2" xfId="73"/>
    <cellStyle name="Comma 3 2 3" xfId="74"/>
    <cellStyle name="Comma 3 3" xfId="75"/>
    <cellStyle name="Comma 3 4" xfId="76"/>
    <cellStyle name="Currency" xfId="2" builtinId="4"/>
    <cellStyle name="Currency 2" xfId="10"/>
    <cellStyle name="Currency 2 2" xfId="77"/>
    <cellStyle name="Currency 2 2 2" xfId="78"/>
    <cellStyle name="Currency 2 2 3" xfId="79"/>
    <cellStyle name="Currency 2 3" xfId="80"/>
    <cellStyle name="Currency 2 4" xfId="81"/>
    <cellStyle name="Currency 3" xfId="82"/>
    <cellStyle name="Currency 3 2" xfId="83"/>
    <cellStyle name="Currency 3 2 2" xfId="84"/>
    <cellStyle name="Currency 3 2 3" xfId="85"/>
    <cellStyle name="Currency 3 3" xfId="86"/>
    <cellStyle name="Currency 3 4" xfId="87"/>
    <cellStyle name="Data Field" xfId="14"/>
    <cellStyle name="Data Field 2" xfId="88"/>
    <cellStyle name="Data Field 2 2" xfId="89"/>
    <cellStyle name="Data Field 2 3" xfId="90"/>
    <cellStyle name="Data Field 3" xfId="91"/>
    <cellStyle name="Data Field 4" xfId="92"/>
    <cellStyle name="Data Name" xfId="15"/>
    <cellStyle name="Date/Time" xfId="16"/>
    <cellStyle name="Explanatory Text 2" xfId="93"/>
    <cellStyle name="Good 2" xfId="94"/>
    <cellStyle name="Heading" xfId="17"/>
    <cellStyle name="Heading 1 2" xfId="95"/>
    <cellStyle name="Heading 1 2 2" xfId="96"/>
    <cellStyle name="Heading 3 2" xfId="97"/>
    <cellStyle name="Heading 3 2 2" xfId="98"/>
    <cellStyle name="Heading 4 2" xfId="99"/>
    <cellStyle name="Heading 4 2 2" xfId="100"/>
    <cellStyle name="Hyperlink" xfId="12" builtinId="8"/>
    <cellStyle name="Hyperlink 2" xfId="101"/>
    <cellStyle name="Hyperlink 3" xfId="102"/>
    <cellStyle name="Input 2" xfId="103"/>
    <cellStyle name="Linked Cell 2" xfId="104"/>
    <cellStyle name="Neutral 2" xfId="105"/>
    <cellStyle name="Normal" xfId="0" builtinId="0"/>
    <cellStyle name="Normal 10" xfId="106"/>
    <cellStyle name="Normal 11" xfId="107"/>
    <cellStyle name="Normal 12" xfId="108"/>
    <cellStyle name="Normal 13" xfId="5"/>
    <cellStyle name="Normal 13 2" xfId="109"/>
    <cellStyle name="Normal 14" xfId="110"/>
    <cellStyle name="Normal 14 2" xfId="111"/>
    <cellStyle name="Normal 14 3" xfId="112"/>
    <cellStyle name="Normal 14 3 2" xfId="191"/>
    <cellStyle name="Normal 14 4" xfId="113"/>
    <cellStyle name="Normal 14 4 2" xfId="192"/>
    <cellStyle name="Normal 14 5" xfId="193"/>
    <cellStyle name="Normal 15" xfId="114"/>
    <cellStyle name="Normal 15 2" xfId="115"/>
    <cellStyle name="Normal 15 2 2" xfId="194"/>
    <cellStyle name="Normal 15 3" xfId="116"/>
    <cellStyle name="Normal 15 3 2" xfId="195"/>
    <cellStyle name="Normal 15 4" xfId="196"/>
    <cellStyle name="Normal 16" xfId="117"/>
    <cellStyle name="Normal 17" xfId="118"/>
    <cellStyle name="Normal 17 2" xfId="197"/>
    <cellStyle name="Normal 2" xfId="20"/>
    <cellStyle name="Normal 2 2" xfId="119"/>
    <cellStyle name="Normal 2 2 2" xfId="120"/>
    <cellStyle name="Normal 2 2 2 2" xfId="121"/>
    <cellStyle name="Normal 2 2 2 3" xfId="122"/>
    <cellStyle name="Normal 2 2 3" xfId="123"/>
    <cellStyle name="Normal 2 2 4" xfId="124"/>
    <cellStyle name="Normal 2 3" xfId="125"/>
    <cellStyle name="Normal 2 3 2" xfId="126"/>
    <cellStyle name="Normal 2 3 3" xfId="127"/>
    <cellStyle name="Normal 2 4" xfId="128"/>
    <cellStyle name="Normal 2 4 2" xfId="129"/>
    <cellStyle name="Normal 2 4 3" xfId="130"/>
    <cellStyle name="Normal 2 5" xfId="131"/>
    <cellStyle name="Normal 2 6" xfId="132"/>
    <cellStyle name="Normal 2 6 2" xfId="133"/>
    <cellStyle name="Normal 2 7" xfId="134"/>
    <cellStyle name="Normal 3" xfId="6"/>
    <cellStyle name="Normal 3 2" xfId="135"/>
    <cellStyle name="Normal 3 2 2" xfId="136"/>
    <cellStyle name="Normal 3 2 3" xfId="137"/>
    <cellStyle name="Normal 3 3" xfId="138"/>
    <cellStyle name="Normal 3 4" xfId="139"/>
    <cellStyle name="Normal 4" xfId="140"/>
    <cellStyle name="Normal 4 2" xfId="141"/>
    <cellStyle name="Normal 4 3" xfId="142"/>
    <cellStyle name="Normal 4 3 2" xfId="143"/>
    <cellStyle name="Normal 4 3 2 2" xfId="198"/>
    <cellStyle name="Normal 4 3 3" xfId="144"/>
    <cellStyle name="Normal 4 3 3 2" xfId="199"/>
    <cellStyle name="Normal 4 3 4" xfId="200"/>
    <cellStyle name="Normal 4 4" xfId="145"/>
    <cellStyle name="Normal 4 4 2" xfId="146"/>
    <cellStyle name="Normal 4 4 2 2" xfId="201"/>
    <cellStyle name="Normal 4 4 3" xfId="147"/>
    <cellStyle name="Normal 4 4 3 2" xfId="202"/>
    <cellStyle name="Normal 4 4 4" xfId="203"/>
    <cellStyle name="Normal 4 5" xfId="148"/>
    <cellStyle name="Normal 4 5 2" xfId="149"/>
    <cellStyle name="Normal 4 5 2 2" xfId="204"/>
    <cellStyle name="Normal 4 5 3" xfId="150"/>
    <cellStyle name="Normal 4 5 3 2" xfId="205"/>
    <cellStyle name="Normal 4 5 4" xfId="206"/>
    <cellStyle name="Normal 4 6" xfId="151"/>
    <cellStyle name="Normal 4 6 2" xfId="207"/>
    <cellStyle name="Normal 4 7" xfId="152"/>
    <cellStyle name="Normal 4 7 2" xfId="208"/>
    <cellStyle name="Normal 4 8" xfId="209"/>
    <cellStyle name="Normal 5" xfId="153"/>
    <cellStyle name="Normal 5 2" xfId="154"/>
    <cellStyle name="Normal 6" xfId="155"/>
    <cellStyle name="Normal 7" xfId="156"/>
    <cellStyle name="Normal 7 2" xfId="157"/>
    <cellStyle name="Normal 8" xfId="158"/>
    <cellStyle name="Normal 8 2" xfId="159"/>
    <cellStyle name="Normal 9" xfId="160"/>
    <cellStyle name="Normal 9 2" xfId="161"/>
    <cellStyle name="Normal 9 3" xfId="162"/>
    <cellStyle name="Normal_MTDUCT" xfId="7"/>
    <cellStyle name="Normal_PC-LPDPackage-6P-D14" xfId="4"/>
    <cellStyle name="Normal_PC-LPDPackageNew-5P" xfId="13"/>
    <cellStyle name="Normal_PC-PackRTOptimize-D1-6p-D2" xfId="190"/>
    <cellStyle name="Normal_ProCostFinAssumptions_Sector" xfId="8"/>
    <cellStyle name="Note 2" xfId="163"/>
    <cellStyle name="Note 2 2" xfId="164"/>
    <cellStyle name="Output 2" xfId="165"/>
    <cellStyle name="Output 2 2" xfId="166"/>
    <cellStyle name="Percent" xfId="3" builtinId="5"/>
    <cellStyle name="Percent 2" xfId="11"/>
    <cellStyle name="Percent 2 2" xfId="167"/>
    <cellStyle name="Percent 2 2 2" xfId="168"/>
    <cellStyle name="Percent 2 2 2 2" xfId="169"/>
    <cellStyle name="Percent 2 2 2 3" xfId="170"/>
    <cellStyle name="Percent 2 2 3" xfId="171"/>
    <cellStyle name="Percent 2 2 4" xfId="172"/>
    <cellStyle name="Percent 2 3" xfId="173"/>
    <cellStyle name="Percent 2 3 2" xfId="174"/>
    <cellStyle name="Percent 2 3 2 2" xfId="210"/>
    <cellStyle name="Percent 2 3 3" xfId="175"/>
    <cellStyle name="Percent 2 3 3 2" xfId="211"/>
    <cellStyle name="Percent 2 3 4" xfId="212"/>
    <cellStyle name="Percent 3" xfId="176"/>
    <cellStyle name="Percent 3 2" xfId="177"/>
    <cellStyle name="Percent 3 2 2" xfId="178"/>
    <cellStyle name="Percent 3 2 3" xfId="179"/>
    <cellStyle name="Percent 3 3" xfId="180"/>
    <cellStyle name="Percent 3 4" xfId="181"/>
    <cellStyle name="Percent 4" xfId="182"/>
    <cellStyle name="Percent 4 2" xfId="183"/>
    <cellStyle name="Percent 5" xfId="184"/>
    <cellStyle name="Title 2" xfId="185"/>
    <cellStyle name="Title 2 2" xfId="186"/>
    <cellStyle name="Total 2" xfId="187"/>
    <cellStyle name="Total 2 2" xfId="188"/>
    <cellStyle name="Warning Text 2" xfId="189"/>
    <cellStyle name="표준_ENERGY CONSUMP" xfId="18"/>
    <cellStyle name="常规_海外市场服务网站资料操作BOM" xfId="19"/>
  </cellStyles>
  <dxfs count="0"/>
  <tableStyles count="0" defaultTableStyle="TableStyleMedium9" defaultPivotStyle="PivotStyleLight16"/>
  <colors>
    <mruColors>
      <color rgb="FFFFFF99"/>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8" Type="http://schemas.openxmlformats.org/officeDocument/2006/relationships/image" Target="../media/image14.emf"/><Relationship Id="rId3" Type="http://schemas.openxmlformats.org/officeDocument/2006/relationships/image" Target="../media/image9.emf"/><Relationship Id="rId7" Type="http://schemas.openxmlformats.org/officeDocument/2006/relationships/image" Target="../media/image13.emf"/><Relationship Id="rId2" Type="http://schemas.openxmlformats.org/officeDocument/2006/relationships/image" Target="../media/image8.emf"/><Relationship Id="rId1" Type="http://schemas.openxmlformats.org/officeDocument/2006/relationships/image" Target="../media/image7.emf"/><Relationship Id="rId6" Type="http://schemas.openxmlformats.org/officeDocument/2006/relationships/image" Target="../media/image12.emf"/><Relationship Id="rId5" Type="http://schemas.openxmlformats.org/officeDocument/2006/relationships/image" Target="../media/image11.emf"/><Relationship Id="rId4" Type="http://schemas.openxmlformats.org/officeDocument/2006/relationships/image" Target="../media/image10.emf"/><Relationship Id="rId9" Type="http://schemas.openxmlformats.org/officeDocument/2006/relationships/image" Target="../media/image15.emf"/></Relationships>
</file>

<file path=xl/drawings/_rels/drawing5.xml.rels><?xml version="1.0" encoding="UTF-8" standalone="yes"?>
<Relationships xmlns="http://schemas.openxmlformats.org/package/2006/relationships"><Relationship Id="rId3" Type="http://schemas.openxmlformats.org/officeDocument/2006/relationships/image" Target="../media/image18.emf"/><Relationship Id="rId2" Type="http://schemas.openxmlformats.org/officeDocument/2006/relationships/image" Target="../media/image17.emf"/><Relationship Id="rId1" Type="http://schemas.openxmlformats.org/officeDocument/2006/relationships/image" Target="../media/image16.emf"/><Relationship Id="rId4" Type="http://schemas.openxmlformats.org/officeDocument/2006/relationships/image" Target="../media/image19.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oneCell">
    <xdr:from>
      <xdr:col>0</xdr:col>
      <xdr:colOff>590550</xdr:colOff>
      <xdr:row>4</xdr:row>
      <xdr:rowOff>114300</xdr:rowOff>
    </xdr:from>
    <xdr:to>
      <xdr:col>10</xdr:col>
      <xdr:colOff>85725</xdr:colOff>
      <xdr:row>31</xdr:row>
      <xdr:rowOff>27004</xdr:rowOff>
    </xdr:to>
    <xdr:pic>
      <xdr:nvPicPr>
        <xdr:cNvPr id="133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590550" y="762000"/>
          <a:ext cx="7439025" cy="6161104"/>
        </a:xfrm>
        <a:prstGeom prst="rect">
          <a:avLst/>
        </a:prstGeom>
        <a:noFill/>
        <a:ln>
          <a:solidFill>
            <a:schemeClr val="accent1"/>
          </a:solidFill>
        </a:ln>
      </xdr:spPr>
    </xdr:pic>
    <xdr:clientData/>
  </xdr:twoCellAnchor>
  <xdr:twoCellAnchor>
    <xdr:from>
      <xdr:col>1</xdr:col>
      <xdr:colOff>19050</xdr:colOff>
      <xdr:row>33</xdr:row>
      <xdr:rowOff>142875</xdr:rowOff>
    </xdr:from>
    <xdr:to>
      <xdr:col>13</xdr:col>
      <xdr:colOff>0</xdr:colOff>
      <xdr:row>64</xdr:row>
      <xdr:rowOff>28575</xdr:rowOff>
    </xdr:to>
    <xdr:sp macro="" textlink="">
      <xdr:nvSpPr>
        <xdr:cNvPr id="3" name="TextBox 2"/>
        <xdr:cNvSpPr txBox="1"/>
      </xdr:nvSpPr>
      <xdr:spPr>
        <a:xfrm>
          <a:off x="628650" y="7362825"/>
          <a:ext cx="7296150" cy="4905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Charlie:</a:t>
          </a:r>
        </a:p>
        <a:p>
          <a:r>
            <a:rPr lang="en-US" sz="1100">
              <a:solidFill>
                <a:schemeClr val="dk1"/>
              </a:solidFill>
              <a:latin typeface="+mn-lt"/>
              <a:ea typeface="+mn-ea"/>
              <a:cs typeface="+mn-cs"/>
            </a:rPr>
            <a:t> </a:t>
          </a:r>
        </a:p>
        <a:p>
          <a:r>
            <a:rPr lang="en-US" sz="1100">
              <a:solidFill>
                <a:schemeClr val="dk1"/>
              </a:solidFill>
              <a:latin typeface="+mn-lt"/>
              <a:ea typeface="+mn-ea"/>
              <a:cs typeface="+mn-cs"/>
            </a:rPr>
            <a:t>Below are cost quotes from one particular manufacturer, Cooper.  I can’t say offhand how suitable a replacement these would be for a 1000 W HID product in a given application, the proof is in the pudding.  But you can see there’s a 41,000 lumen product below for only $1200.  Earlier I was going to guess that a 50,000 lumen replacement product is probably in the $1500 range, and that’s probably not a bad guess today.  But if you’re projecting this out a couple of years, geez the price drop on these has been really rapid.  I might guess less than a $1000 within 5 years based on recent history.</a:t>
          </a:r>
        </a:p>
        <a:p>
          <a:r>
            <a:rPr lang="en-US" sz="1100">
              <a:solidFill>
                <a:schemeClr val="dk1"/>
              </a:solidFill>
              <a:latin typeface="+mn-lt"/>
              <a:ea typeface="+mn-ea"/>
              <a:cs typeface="+mn-cs"/>
            </a:rPr>
            <a:t> </a:t>
          </a:r>
        </a:p>
        <a:p>
          <a:r>
            <a:rPr lang="en-US" sz="1100">
              <a:solidFill>
                <a:schemeClr val="dk1"/>
              </a:solidFill>
              <a:latin typeface="+mn-lt"/>
              <a:ea typeface="+mn-ea"/>
              <a:cs typeface="+mn-cs"/>
            </a:rPr>
            <a:t>Bruce</a:t>
          </a:r>
        </a:p>
        <a:p>
          <a:r>
            <a:rPr lang="en-US" sz="1100">
              <a:solidFill>
                <a:schemeClr val="dk1"/>
              </a:solidFill>
              <a:latin typeface="+mn-lt"/>
              <a:ea typeface="+mn-ea"/>
              <a:cs typeface="+mn-cs"/>
            </a:rPr>
            <a:t> </a:t>
          </a:r>
        </a:p>
        <a:p>
          <a:r>
            <a:rPr lang="en-US" sz="1100" b="1">
              <a:solidFill>
                <a:schemeClr val="dk1"/>
              </a:solidFill>
              <a:latin typeface="+mn-lt"/>
              <a:ea typeface="+mn-ea"/>
              <a:cs typeface="+mn-cs"/>
            </a:rPr>
            <a:t>From:</a:t>
          </a:r>
          <a:r>
            <a:rPr lang="en-US" sz="1100">
              <a:solidFill>
                <a:schemeClr val="dk1"/>
              </a:solidFill>
              <a:latin typeface="+mn-lt"/>
              <a:ea typeface="+mn-ea"/>
              <a:cs typeface="+mn-cs"/>
            </a:rPr>
            <a:t> Wilkerson, Andrea M </a:t>
          </a:r>
          <a:br>
            <a:rPr lang="en-US" sz="1100">
              <a:solidFill>
                <a:schemeClr val="dk1"/>
              </a:solidFill>
              <a:latin typeface="+mn-lt"/>
              <a:ea typeface="+mn-ea"/>
              <a:cs typeface="+mn-cs"/>
            </a:rPr>
          </a:br>
          <a:r>
            <a:rPr lang="en-US" sz="1100" b="1">
              <a:solidFill>
                <a:schemeClr val="dk1"/>
              </a:solidFill>
              <a:latin typeface="+mn-lt"/>
              <a:ea typeface="+mn-ea"/>
              <a:cs typeface="+mn-cs"/>
            </a:rPr>
            <a:t>Sent:</a:t>
          </a:r>
          <a:r>
            <a:rPr lang="en-US" sz="1100">
              <a:solidFill>
                <a:schemeClr val="dk1"/>
              </a:solidFill>
              <a:latin typeface="+mn-lt"/>
              <a:ea typeface="+mn-ea"/>
              <a:cs typeface="+mn-cs"/>
            </a:rPr>
            <a:t> Wednesday, November 05, 2014 3:22 PM</a:t>
          </a:r>
          <a:br>
            <a:rPr lang="en-US" sz="1100">
              <a:solidFill>
                <a:schemeClr val="dk1"/>
              </a:solidFill>
              <a:latin typeface="+mn-lt"/>
              <a:ea typeface="+mn-ea"/>
              <a:cs typeface="+mn-cs"/>
            </a:rPr>
          </a:br>
          <a:r>
            <a:rPr lang="en-US" sz="1100" b="1">
              <a:solidFill>
                <a:schemeClr val="dk1"/>
              </a:solidFill>
              <a:latin typeface="+mn-lt"/>
              <a:ea typeface="+mn-ea"/>
              <a:cs typeface="+mn-cs"/>
            </a:rPr>
            <a:t>To:</a:t>
          </a:r>
          <a:r>
            <a:rPr lang="en-US" sz="1100">
              <a:solidFill>
                <a:schemeClr val="dk1"/>
              </a:solidFill>
              <a:latin typeface="+mn-lt"/>
              <a:ea typeface="+mn-ea"/>
              <a:cs typeface="+mn-cs"/>
            </a:rPr>
            <a:t> Kinzey, Bruce R</a:t>
          </a:r>
          <a:br>
            <a:rPr lang="en-US" sz="1100">
              <a:solidFill>
                <a:schemeClr val="dk1"/>
              </a:solidFill>
              <a:latin typeface="+mn-lt"/>
              <a:ea typeface="+mn-ea"/>
              <a:cs typeface="+mn-cs"/>
            </a:rPr>
          </a:br>
          <a:r>
            <a:rPr lang="en-US" sz="1100" b="1">
              <a:solidFill>
                <a:schemeClr val="dk1"/>
              </a:solidFill>
              <a:latin typeface="+mn-lt"/>
              <a:ea typeface="+mn-ea"/>
              <a:cs typeface="+mn-cs"/>
            </a:rPr>
            <a:t>Subject:</a:t>
          </a:r>
          <a:r>
            <a:rPr lang="en-US" sz="1100">
              <a:solidFill>
                <a:schemeClr val="dk1"/>
              </a:solidFill>
              <a:latin typeface="+mn-lt"/>
              <a:ea typeface="+mn-ea"/>
              <a:cs typeface="+mn-cs"/>
            </a:rPr>
            <a:t> LED Pricing </a:t>
          </a:r>
        </a:p>
        <a:p>
          <a:r>
            <a:rPr lang="en-US" sz="1100">
              <a:solidFill>
                <a:schemeClr val="dk1"/>
              </a:solidFill>
              <a:latin typeface="+mn-lt"/>
              <a:ea typeface="+mn-ea"/>
              <a:cs typeface="+mn-cs"/>
            </a:rPr>
            <a:t> </a:t>
          </a:r>
        </a:p>
        <a:p>
          <a:r>
            <a:rPr lang="en-US" sz="1100">
              <a:solidFill>
                <a:schemeClr val="dk1"/>
              </a:solidFill>
              <a:latin typeface="+mn-lt"/>
              <a:ea typeface="+mn-ea"/>
              <a:cs typeface="+mn-cs"/>
            </a:rPr>
            <a:t>Hi Bruce,</a:t>
          </a:r>
        </a:p>
        <a:p>
          <a:r>
            <a:rPr lang="en-US" sz="1100">
              <a:solidFill>
                <a:schemeClr val="dk1"/>
              </a:solidFill>
              <a:latin typeface="+mn-lt"/>
              <a:ea typeface="+mn-ea"/>
              <a:cs typeface="+mn-cs"/>
            </a:rPr>
            <a:t> </a:t>
          </a:r>
        </a:p>
        <a:p>
          <a:r>
            <a:rPr lang="en-US" sz="1100">
              <a:solidFill>
                <a:schemeClr val="dk1"/>
              </a:solidFill>
              <a:latin typeface="+mn-lt"/>
              <a:ea typeface="+mn-ea"/>
              <a:cs typeface="+mn-cs"/>
            </a:rPr>
            <a:t>I realized I was looking at the older generation. The newest generation lumen output is listed below.</a:t>
          </a:r>
        </a:p>
        <a:p>
          <a:r>
            <a:rPr lang="en-US" sz="1100">
              <a:solidFill>
                <a:schemeClr val="dk1"/>
              </a:solidFill>
              <a:latin typeface="+mn-lt"/>
              <a:ea typeface="+mn-ea"/>
              <a:cs typeface="+mn-cs"/>
            </a:rPr>
            <a:t> </a:t>
          </a:r>
        </a:p>
        <a:p>
          <a:r>
            <a:rPr lang="en-US" sz="1100">
              <a:solidFill>
                <a:schemeClr val="dk1"/>
              </a:solidFill>
              <a:latin typeface="+mn-lt"/>
              <a:ea typeface="+mn-ea"/>
              <a:cs typeface="+mn-cs"/>
            </a:rPr>
            <a:t>Wattage               Lumens                Price</a:t>
          </a:r>
        </a:p>
        <a:p>
          <a:r>
            <a:rPr lang="en-US" sz="1100">
              <a:solidFill>
                <a:schemeClr val="dk1"/>
              </a:solidFill>
              <a:latin typeface="+mn-lt"/>
              <a:ea typeface="+mn-ea"/>
              <a:cs typeface="+mn-cs"/>
            </a:rPr>
            <a:t>264                         25,652                   900         </a:t>
          </a:r>
        </a:p>
        <a:p>
          <a:r>
            <a:rPr lang="en-US" sz="1100">
              <a:solidFill>
                <a:schemeClr val="dk1"/>
              </a:solidFill>
              <a:latin typeface="+mn-lt"/>
              <a:ea typeface="+mn-ea"/>
              <a:cs typeface="+mn-cs"/>
            </a:rPr>
            <a:t>421                         41,134                   1200</a:t>
          </a:r>
        </a:p>
        <a:p>
          <a:r>
            <a:rPr lang="en-US" sz="1100">
              <a:solidFill>
                <a:schemeClr val="dk1"/>
              </a:solidFill>
              <a:latin typeface="+mn-lt"/>
              <a:ea typeface="+mn-ea"/>
              <a:cs typeface="+mn-cs"/>
            </a:rPr>
            <a:t> </a:t>
          </a:r>
        </a:p>
        <a:p>
          <a:r>
            <a:rPr lang="en-US" sz="1100">
              <a:solidFill>
                <a:schemeClr val="dk1"/>
              </a:solidFill>
              <a:latin typeface="+mn-lt"/>
              <a:ea typeface="+mn-ea"/>
              <a:cs typeface="+mn-cs"/>
            </a:rPr>
            <a:t> </a:t>
          </a:r>
        </a:p>
        <a:p>
          <a:r>
            <a:rPr lang="en-US" sz="1100">
              <a:solidFill>
                <a:schemeClr val="dk1"/>
              </a:solidFill>
              <a:latin typeface="+mn-lt"/>
              <a:ea typeface="+mn-ea"/>
              <a:cs typeface="+mn-cs"/>
            </a:rPr>
            <a:t>Andrea</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17</xdr:row>
      <xdr:rowOff>76201</xdr:rowOff>
    </xdr:from>
    <xdr:to>
      <xdr:col>5</xdr:col>
      <xdr:colOff>352425</xdr:colOff>
      <xdr:row>27</xdr:row>
      <xdr:rowOff>146441</xdr:rowOff>
    </xdr:to>
    <xdr:pic>
      <xdr:nvPicPr>
        <xdr:cNvPr id="1433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1209675" y="2828926"/>
          <a:ext cx="5895975" cy="1689490"/>
        </a:xfrm>
        <a:prstGeom prst="rect">
          <a:avLst/>
        </a:prstGeom>
        <a:noFill/>
        <a:ln>
          <a:solidFill>
            <a:schemeClr val="accent1"/>
          </a:solidFill>
        </a:ln>
      </xdr:spPr>
    </xdr:pic>
    <xdr:clientData/>
  </xdr:twoCellAnchor>
  <xdr:twoCellAnchor>
    <xdr:from>
      <xdr:col>6</xdr:col>
      <xdr:colOff>28575</xdr:colOff>
      <xdr:row>17</xdr:row>
      <xdr:rowOff>123825</xdr:rowOff>
    </xdr:from>
    <xdr:to>
      <xdr:col>12</xdr:col>
      <xdr:colOff>66675</xdr:colOff>
      <xdr:row>25</xdr:row>
      <xdr:rowOff>123825</xdr:rowOff>
    </xdr:to>
    <xdr:sp macro="" textlink="">
      <xdr:nvSpPr>
        <xdr:cNvPr id="3" name="TextBox 2"/>
        <xdr:cNvSpPr txBox="1"/>
      </xdr:nvSpPr>
      <xdr:spPr>
        <a:xfrm>
          <a:off x="6257925" y="2876550"/>
          <a:ext cx="3819525" cy="1295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For</a:t>
          </a:r>
          <a:r>
            <a:rPr lang="en-US" sz="1100" baseline="0"/>
            <a:t> 2016 use 50% for baseline penetration for new based on DOE forecast interpolation.</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7</xdr:col>
      <xdr:colOff>257175</xdr:colOff>
      <xdr:row>38</xdr:row>
      <xdr:rowOff>142875</xdr:rowOff>
    </xdr:to>
    <xdr:pic>
      <xdr:nvPicPr>
        <xdr:cNvPr id="15361"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609600" y="323850"/>
          <a:ext cx="5553075" cy="5972175"/>
        </a:xfrm>
        <a:prstGeom prst="rect">
          <a:avLst/>
        </a:prstGeom>
        <a:noFill/>
        <a:ln>
          <a:solidFill>
            <a:schemeClr val="accent1"/>
          </a:solidFill>
        </a:ln>
      </xdr:spPr>
    </xdr:pic>
    <xdr:clientData/>
  </xdr:twoCellAnchor>
  <xdr:twoCellAnchor editAs="oneCell">
    <xdr:from>
      <xdr:col>22</xdr:col>
      <xdr:colOff>0</xdr:colOff>
      <xdr:row>2</xdr:row>
      <xdr:rowOff>0</xdr:rowOff>
    </xdr:from>
    <xdr:to>
      <xdr:col>30</xdr:col>
      <xdr:colOff>428625</xdr:colOff>
      <xdr:row>31</xdr:row>
      <xdr:rowOff>95250</xdr:rowOff>
    </xdr:to>
    <xdr:pic>
      <xdr:nvPicPr>
        <xdr:cNvPr id="15362"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13411200" y="323850"/>
          <a:ext cx="5438775" cy="4791075"/>
        </a:xfrm>
        <a:prstGeom prst="rect">
          <a:avLst/>
        </a:prstGeom>
        <a:noFill/>
      </xdr:spPr>
    </xdr:pic>
    <xdr:clientData/>
  </xdr:twoCellAnchor>
  <xdr:twoCellAnchor editAs="oneCell">
    <xdr:from>
      <xdr:col>11</xdr:col>
      <xdr:colOff>0</xdr:colOff>
      <xdr:row>1</xdr:row>
      <xdr:rowOff>161924</xdr:rowOff>
    </xdr:from>
    <xdr:to>
      <xdr:col>20</xdr:col>
      <xdr:colOff>605595</xdr:colOff>
      <xdr:row>43</xdr:row>
      <xdr:rowOff>57149</xdr:rowOff>
    </xdr:to>
    <xdr:pic>
      <xdr:nvPicPr>
        <xdr:cNvPr id="15363"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6705600" y="323849"/>
          <a:ext cx="6091995" cy="6696075"/>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66675</xdr:colOff>
      <xdr:row>27</xdr:row>
      <xdr:rowOff>9525</xdr:rowOff>
    </xdr:from>
    <xdr:to>
      <xdr:col>7</xdr:col>
      <xdr:colOff>171450</xdr:colOff>
      <xdr:row>39</xdr:row>
      <xdr:rowOff>133349</xdr:rowOff>
    </xdr:to>
    <xdr:pic>
      <xdr:nvPicPr>
        <xdr:cNvPr id="2" name="Picture 7"/>
        <xdr:cNvPicPr>
          <a:picLocks noChangeAspect="1" noChangeArrowheads="1"/>
        </xdr:cNvPicPr>
      </xdr:nvPicPr>
      <xdr:blipFill>
        <a:blip xmlns:r="http://schemas.openxmlformats.org/officeDocument/2006/relationships" r:embed="rId1" cstate="print"/>
        <a:srcRect/>
        <a:stretch>
          <a:fillRect/>
        </a:stretch>
      </xdr:blipFill>
      <xdr:spPr bwMode="auto">
        <a:xfrm>
          <a:off x="66675" y="5534025"/>
          <a:ext cx="7343775" cy="3276600"/>
        </a:xfrm>
        <a:prstGeom prst="rect">
          <a:avLst/>
        </a:prstGeom>
        <a:noFill/>
        <a:ln w="9525">
          <a:solidFill>
            <a:srgbClr val="000000"/>
          </a:solidFill>
          <a:miter lim="800000"/>
          <a:headEnd/>
          <a:tailEnd/>
        </a:ln>
      </xdr:spPr>
    </xdr:pic>
    <xdr:clientData/>
  </xdr:twoCellAnchor>
  <xdr:twoCellAnchor editAs="oneCell">
    <xdr:from>
      <xdr:col>0</xdr:col>
      <xdr:colOff>485775</xdr:colOff>
      <xdr:row>42</xdr:row>
      <xdr:rowOff>28575</xdr:rowOff>
    </xdr:from>
    <xdr:to>
      <xdr:col>5</xdr:col>
      <xdr:colOff>266700</xdr:colOff>
      <xdr:row>52</xdr:row>
      <xdr:rowOff>104776</xdr:rowOff>
    </xdr:to>
    <xdr:pic>
      <xdr:nvPicPr>
        <xdr:cNvPr id="3" name="Picture 8"/>
        <xdr:cNvPicPr>
          <a:picLocks noChangeAspect="1" noChangeArrowheads="1"/>
        </xdr:cNvPicPr>
      </xdr:nvPicPr>
      <xdr:blipFill>
        <a:blip xmlns:r="http://schemas.openxmlformats.org/officeDocument/2006/relationships" r:embed="rId2" cstate="print"/>
        <a:srcRect/>
        <a:stretch>
          <a:fillRect/>
        </a:stretch>
      </xdr:blipFill>
      <xdr:spPr bwMode="auto">
        <a:xfrm>
          <a:off x="485775" y="9191625"/>
          <a:ext cx="5514975" cy="2486025"/>
        </a:xfrm>
        <a:prstGeom prst="rect">
          <a:avLst/>
        </a:prstGeom>
        <a:noFill/>
        <a:ln w="9525" algn="ctr">
          <a:solidFill>
            <a:srgbClr val="000000"/>
          </a:solidFill>
          <a:miter lim="800000"/>
          <a:headEnd/>
          <a:tailEnd/>
        </a:ln>
      </xdr:spPr>
    </xdr:pic>
    <xdr:clientData/>
  </xdr:twoCellAnchor>
  <xdr:twoCellAnchor editAs="oneCell">
    <xdr:from>
      <xdr:col>0</xdr:col>
      <xdr:colOff>533400</xdr:colOff>
      <xdr:row>58</xdr:row>
      <xdr:rowOff>19050</xdr:rowOff>
    </xdr:from>
    <xdr:to>
      <xdr:col>6</xdr:col>
      <xdr:colOff>85725</xdr:colOff>
      <xdr:row>85</xdr:row>
      <xdr:rowOff>38100</xdr:rowOff>
    </xdr:to>
    <xdr:pic>
      <xdr:nvPicPr>
        <xdr:cNvPr id="4" name="Picture 10"/>
        <xdr:cNvPicPr>
          <a:picLocks noChangeAspect="1" noChangeArrowheads="1"/>
        </xdr:cNvPicPr>
      </xdr:nvPicPr>
      <xdr:blipFill>
        <a:blip xmlns:r="http://schemas.openxmlformats.org/officeDocument/2006/relationships" r:embed="rId3" cstate="print"/>
        <a:srcRect/>
        <a:stretch>
          <a:fillRect/>
        </a:stretch>
      </xdr:blipFill>
      <xdr:spPr bwMode="auto">
        <a:xfrm>
          <a:off x="533400" y="13535025"/>
          <a:ext cx="5972175" cy="4410075"/>
        </a:xfrm>
        <a:prstGeom prst="rect">
          <a:avLst/>
        </a:prstGeom>
        <a:noFill/>
        <a:ln w="9525" algn="ctr">
          <a:solidFill>
            <a:srgbClr val="000000"/>
          </a:solidFill>
          <a:miter lim="800000"/>
          <a:headEnd/>
          <a:tailEnd/>
        </a:ln>
      </xdr:spPr>
    </xdr:pic>
    <xdr:clientData/>
  </xdr:twoCellAnchor>
  <xdr:twoCellAnchor editAs="oneCell">
    <xdr:from>
      <xdr:col>0</xdr:col>
      <xdr:colOff>381000</xdr:colOff>
      <xdr:row>91</xdr:row>
      <xdr:rowOff>152400</xdr:rowOff>
    </xdr:from>
    <xdr:to>
      <xdr:col>6</xdr:col>
      <xdr:colOff>514350</xdr:colOff>
      <xdr:row>119</xdr:row>
      <xdr:rowOff>28575</xdr:rowOff>
    </xdr:to>
    <xdr:pic>
      <xdr:nvPicPr>
        <xdr:cNvPr id="5" name="Picture 11"/>
        <xdr:cNvPicPr>
          <a:picLocks noChangeAspect="1" noChangeArrowheads="1"/>
        </xdr:cNvPicPr>
      </xdr:nvPicPr>
      <xdr:blipFill>
        <a:blip xmlns:r="http://schemas.openxmlformats.org/officeDocument/2006/relationships" r:embed="rId4" cstate="print"/>
        <a:srcRect/>
        <a:stretch>
          <a:fillRect/>
        </a:stretch>
      </xdr:blipFill>
      <xdr:spPr bwMode="auto">
        <a:xfrm>
          <a:off x="381000" y="19030950"/>
          <a:ext cx="6553200" cy="4410075"/>
        </a:xfrm>
        <a:prstGeom prst="rect">
          <a:avLst/>
        </a:prstGeom>
        <a:noFill/>
        <a:ln w="9525" algn="ctr">
          <a:solidFill>
            <a:srgbClr val="000000"/>
          </a:solidFill>
          <a:miter lim="800000"/>
          <a:headEnd/>
          <a:tailEnd/>
        </a:ln>
      </xdr:spPr>
    </xdr:pic>
    <xdr:clientData/>
  </xdr:twoCellAnchor>
  <xdr:twoCellAnchor editAs="oneCell">
    <xdr:from>
      <xdr:col>0</xdr:col>
      <xdr:colOff>247650</xdr:colOff>
      <xdr:row>121</xdr:row>
      <xdr:rowOff>95250</xdr:rowOff>
    </xdr:from>
    <xdr:to>
      <xdr:col>8</xdr:col>
      <xdr:colOff>428625</xdr:colOff>
      <xdr:row>135</xdr:row>
      <xdr:rowOff>133349</xdr:rowOff>
    </xdr:to>
    <xdr:pic>
      <xdr:nvPicPr>
        <xdr:cNvPr id="6" name="Picture 12"/>
        <xdr:cNvPicPr>
          <a:picLocks noChangeAspect="1" noChangeArrowheads="1"/>
        </xdr:cNvPicPr>
      </xdr:nvPicPr>
      <xdr:blipFill>
        <a:blip xmlns:r="http://schemas.openxmlformats.org/officeDocument/2006/relationships" r:embed="rId5" cstate="print"/>
        <a:srcRect/>
        <a:stretch>
          <a:fillRect/>
        </a:stretch>
      </xdr:blipFill>
      <xdr:spPr bwMode="auto">
        <a:xfrm>
          <a:off x="247650" y="23831550"/>
          <a:ext cx="8029575" cy="2466975"/>
        </a:xfrm>
        <a:prstGeom prst="rect">
          <a:avLst/>
        </a:prstGeom>
        <a:noFill/>
        <a:ln w="9525" algn="ctr">
          <a:solidFill>
            <a:srgbClr val="000000"/>
          </a:solidFill>
          <a:miter lim="800000"/>
          <a:headEnd/>
          <a:tailEnd/>
        </a:ln>
      </xdr:spPr>
    </xdr:pic>
    <xdr:clientData/>
  </xdr:twoCellAnchor>
  <xdr:twoCellAnchor editAs="oneCell">
    <xdr:from>
      <xdr:col>0</xdr:col>
      <xdr:colOff>571500</xdr:colOff>
      <xdr:row>139</xdr:row>
      <xdr:rowOff>0</xdr:rowOff>
    </xdr:from>
    <xdr:to>
      <xdr:col>9</xdr:col>
      <xdr:colOff>28575</xdr:colOff>
      <xdr:row>154</xdr:row>
      <xdr:rowOff>66675</xdr:rowOff>
    </xdr:to>
    <xdr:pic>
      <xdr:nvPicPr>
        <xdr:cNvPr id="7" name="Picture 13"/>
        <xdr:cNvPicPr>
          <a:picLocks noChangeAspect="1" noChangeArrowheads="1"/>
        </xdr:cNvPicPr>
      </xdr:nvPicPr>
      <xdr:blipFill>
        <a:blip xmlns:r="http://schemas.openxmlformats.org/officeDocument/2006/relationships" r:embed="rId6" cstate="print"/>
        <a:srcRect/>
        <a:stretch>
          <a:fillRect/>
        </a:stretch>
      </xdr:blipFill>
      <xdr:spPr bwMode="auto">
        <a:xfrm>
          <a:off x="571500" y="26812875"/>
          <a:ext cx="7915275" cy="2495550"/>
        </a:xfrm>
        <a:prstGeom prst="rect">
          <a:avLst/>
        </a:prstGeom>
        <a:noFill/>
        <a:ln w="9525" algn="ctr">
          <a:solidFill>
            <a:srgbClr val="000000"/>
          </a:solidFill>
          <a:miter lim="800000"/>
          <a:headEnd/>
          <a:tailEnd/>
        </a:ln>
      </xdr:spPr>
    </xdr:pic>
    <xdr:clientData/>
  </xdr:twoCellAnchor>
  <xdr:twoCellAnchor editAs="oneCell">
    <xdr:from>
      <xdr:col>0</xdr:col>
      <xdr:colOff>514350</xdr:colOff>
      <xdr:row>156</xdr:row>
      <xdr:rowOff>19050</xdr:rowOff>
    </xdr:from>
    <xdr:to>
      <xdr:col>8</xdr:col>
      <xdr:colOff>66675</xdr:colOff>
      <xdr:row>189</xdr:row>
      <xdr:rowOff>95251</xdr:rowOff>
    </xdr:to>
    <xdr:pic>
      <xdr:nvPicPr>
        <xdr:cNvPr id="8" name="Picture 14"/>
        <xdr:cNvPicPr>
          <a:picLocks noChangeAspect="1" noChangeArrowheads="1"/>
        </xdr:cNvPicPr>
      </xdr:nvPicPr>
      <xdr:blipFill>
        <a:blip xmlns:r="http://schemas.openxmlformats.org/officeDocument/2006/relationships" r:embed="rId7" cstate="print"/>
        <a:srcRect/>
        <a:stretch>
          <a:fillRect/>
        </a:stretch>
      </xdr:blipFill>
      <xdr:spPr bwMode="auto">
        <a:xfrm>
          <a:off x="514350" y="29584650"/>
          <a:ext cx="7400925" cy="5905500"/>
        </a:xfrm>
        <a:prstGeom prst="rect">
          <a:avLst/>
        </a:prstGeom>
        <a:noFill/>
        <a:ln w="9525" algn="ctr">
          <a:solidFill>
            <a:srgbClr val="000000"/>
          </a:solidFill>
          <a:miter lim="800000"/>
          <a:headEnd/>
          <a:tailEnd/>
        </a:ln>
      </xdr:spPr>
    </xdr:pic>
    <xdr:clientData/>
  </xdr:twoCellAnchor>
  <xdr:twoCellAnchor editAs="oneCell">
    <xdr:from>
      <xdr:col>0</xdr:col>
      <xdr:colOff>828675</xdr:colOff>
      <xdr:row>194</xdr:row>
      <xdr:rowOff>123825</xdr:rowOff>
    </xdr:from>
    <xdr:to>
      <xdr:col>8</xdr:col>
      <xdr:colOff>361950</xdr:colOff>
      <xdr:row>216</xdr:row>
      <xdr:rowOff>123825</xdr:rowOff>
    </xdr:to>
    <xdr:pic>
      <xdr:nvPicPr>
        <xdr:cNvPr id="9" name="Picture 15"/>
        <xdr:cNvPicPr>
          <a:picLocks noChangeAspect="1" noChangeArrowheads="1"/>
        </xdr:cNvPicPr>
      </xdr:nvPicPr>
      <xdr:blipFill>
        <a:blip xmlns:r="http://schemas.openxmlformats.org/officeDocument/2006/relationships" r:embed="rId8" cstate="print"/>
        <a:srcRect/>
        <a:stretch>
          <a:fillRect/>
        </a:stretch>
      </xdr:blipFill>
      <xdr:spPr bwMode="auto">
        <a:xfrm>
          <a:off x="828675" y="36328350"/>
          <a:ext cx="7381875" cy="4362450"/>
        </a:xfrm>
        <a:prstGeom prst="rect">
          <a:avLst/>
        </a:prstGeom>
        <a:noFill/>
        <a:ln w="9525" algn="ctr">
          <a:solidFill>
            <a:srgbClr val="000000"/>
          </a:solidFill>
          <a:miter lim="800000"/>
          <a:headEnd/>
          <a:tailEnd/>
        </a:ln>
      </xdr:spPr>
    </xdr:pic>
    <xdr:clientData/>
  </xdr:twoCellAnchor>
  <xdr:twoCellAnchor editAs="oneCell">
    <xdr:from>
      <xdr:col>0</xdr:col>
      <xdr:colOff>0</xdr:colOff>
      <xdr:row>4</xdr:row>
      <xdr:rowOff>95250</xdr:rowOff>
    </xdr:from>
    <xdr:to>
      <xdr:col>7</xdr:col>
      <xdr:colOff>295275</xdr:colOff>
      <xdr:row>26</xdr:row>
      <xdr:rowOff>72669</xdr:rowOff>
    </xdr:to>
    <xdr:pic>
      <xdr:nvPicPr>
        <xdr:cNvPr id="10" name="Picture 16"/>
        <xdr:cNvPicPr>
          <a:picLocks noChangeAspect="1" noChangeArrowheads="1"/>
        </xdr:cNvPicPr>
      </xdr:nvPicPr>
      <xdr:blipFill>
        <a:blip xmlns:r="http://schemas.openxmlformats.org/officeDocument/2006/relationships" r:embed="rId9" cstate="print"/>
        <a:srcRect/>
        <a:stretch>
          <a:fillRect/>
        </a:stretch>
      </xdr:blipFill>
      <xdr:spPr bwMode="auto">
        <a:xfrm>
          <a:off x="0" y="742950"/>
          <a:ext cx="7534275" cy="4724400"/>
        </a:xfrm>
        <a:prstGeom prst="rect">
          <a:avLst/>
        </a:prstGeom>
        <a:noFill/>
        <a:ln w="9525">
          <a:solidFill>
            <a:srgbClr val="000000"/>
          </a:solid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0</xdr:colOff>
      <xdr:row>3</xdr:row>
      <xdr:rowOff>0</xdr:rowOff>
    </xdr:from>
    <xdr:to>
      <xdr:col>5</xdr:col>
      <xdr:colOff>1171575</xdr:colOff>
      <xdr:row>10</xdr:row>
      <xdr:rowOff>152400</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1828800" y="485775"/>
          <a:ext cx="5400675" cy="1285875"/>
        </a:xfrm>
        <a:prstGeom prst="rect">
          <a:avLst/>
        </a:prstGeom>
        <a:noFill/>
      </xdr:spPr>
    </xdr:pic>
    <xdr:clientData/>
  </xdr:twoCellAnchor>
  <xdr:twoCellAnchor editAs="oneCell">
    <xdr:from>
      <xdr:col>3</xdr:col>
      <xdr:colOff>0</xdr:colOff>
      <xdr:row>12</xdr:row>
      <xdr:rowOff>161924</xdr:rowOff>
    </xdr:from>
    <xdr:to>
      <xdr:col>5</xdr:col>
      <xdr:colOff>1457325</xdr:colOff>
      <xdr:row>32</xdr:row>
      <xdr:rowOff>42121</xdr:rowOff>
    </xdr:to>
    <xdr:pic>
      <xdr:nvPicPr>
        <xdr:cNvPr id="3"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1828800" y="2105024"/>
          <a:ext cx="5686425" cy="3118697"/>
        </a:xfrm>
        <a:prstGeom prst="rect">
          <a:avLst/>
        </a:prstGeom>
        <a:noFill/>
      </xdr:spPr>
    </xdr:pic>
    <xdr:clientData/>
  </xdr:twoCellAnchor>
  <xdr:twoCellAnchor editAs="oneCell">
    <xdr:from>
      <xdr:col>6</xdr:col>
      <xdr:colOff>495300</xdr:colOff>
      <xdr:row>14</xdr:row>
      <xdr:rowOff>152400</xdr:rowOff>
    </xdr:from>
    <xdr:to>
      <xdr:col>6</xdr:col>
      <xdr:colOff>5324475</xdr:colOff>
      <xdr:row>30</xdr:row>
      <xdr:rowOff>95250</xdr:rowOff>
    </xdr:to>
    <xdr:pic>
      <xdr:nvPicPr>
        <xdr:cNvPr id="4"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8353425" y="2419350"/>
          <a:ext cx="4829175" cy="2533650"/>
        </a:xfrm>
        <a:prstGeom prst="rect">
          <a:avLst/>
        </a:prstGeom>
        <a:noFill/>
      </xdr:spPr>
    </xdr:pic>
    <xdr:clientData/>
  </xdr:twoCellAnchor>
  <xdr:twoCellAnchor editAs="oneCell">
    <xdr:from>
      <xdr:col>6</xdr:col>
      <xdr:colOff>571500</xdr:colOff>
      <xdr:row>4</xdr:row>
      <xdr:rowOff>95250</xdr:rowOff>
    </xdr:from>
    <xdr:to>
      <xdr:col>6</xdr:col>
      <xdr:colOff>5819775</xdr:colOff>
      <xdr:row>13</xdr:row>
      <xdr:rowOff>76200</xdr:rowOff>
    </xdr:to>
    <xdr:pic>
      <xdr:nvPicPr>
        <xdr:cNvPr id="5" name="Picture 4"/>
        <xdr:cNvPicPr>
          <a:picLocks noChangeAspect="1" noChangeArrowheads="1"/>
        </xdr:cNvPicPr>
      </xdr:nvPicPr>
      <xdr:blipFill>
        <a:blip xmlns:r="http://schemas.openxmlformats.org/officeDocument/2006/relationships" r:embed="rId4" cstate="print"/>
        <a:srcRect/>
        <a:stretch>
          <a:fillRect/>
        </a:stretch>
      </xdr:blipFill>
      <xdr:spPr bwMode="auto">
        <a:xfrm>
          <a:off x="8429625" y="742950"/>
          <a:ext cx="5248275" cy="143827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m_Master_7P.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m-ExteriorLighting-7P_V1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eventhPlan/Conservation%20Analysis/Global%20EE%20Inputs/Units%20Forecasts/7P%20Forecasts%20D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Interior%20Lighting/PNLPricePerfLED.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Int_Light_Comp-7P_v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Overview"/>
      <sheetName val="MLIST"/>
      <sheetName val="FILES"/>
      <sheetName val="APPLIC"/>
      <sheetName val="BASE"/>
      <sheetName val="STOCK"/>
      <sheetName val="TURN"/>
      <sheetName val="ACHIEV"/>
      <sheetName val="FEAS"/>
      <sheetName val="RAMP"/>
      <sheetName val="CODE"/>
      <sheetName val="CHAR"/>
      <sheetName val="Floor"/>
      <sheetName val="Vars"/>
      <sheetName val="Labels"/>
      <sheetName val="Lookup"/>
      <sheetName val="EUI"/>
      <sheetName val="Measure Name List"/>
      <sheetName val="CBSA Data"/>
      <sheetName val="CBSA Data New"/>
      <sheetName val="BPA Taxonomy"/>
    </sheetNames>
    <definedNames>
      <definedName name="ACHIEV" refersTo="='ACHIEV'!$B$19:$Y$119"/>
      <definedName name="BLDGTYPE" refersTo="='APPLIC'!$B$11:$U$11"/>
      <definedName name="TURN" refersTo="='TURN'!$B$12:$U$95" sheetId="6"/>
    </definedNames>
    <sheetDataSet>
      <sheetData sheetId="0">
        <row r="82">
          <cell r="B82" t="str">
            <v>Contents</v>
          </cell>
        </row>
        <row r="83">
          <cell r="B83" t="str">
            <v>Overview of model structure</v>
          </cell>
        </row>
        <row r="84">
          <cell r="B84" t="str">
            <v xml:space="preserve">Update Log:  Log for updates to Draft 6th Plan Assessment </v>
          </cell>
        </row>
        <row r="85">
          <cell r="B85" t="str">
            <v>Master List of measure bundles</v>
          </cell>
        </row>
        <row r="86">
          <cell r="B86" t="str">
            <v>List and links to measure-level files. Plus housekeeping and administrative functions.</v>
          </cell>
        </row>
        <row r="87">
          <cell r="B87" t="str">
            <v>Applicability factor for the measure bundle.  Fraction of stock the measure applies to.</v>
          </cell>
        </row>
        <row r="88">
          <cell r="B88" t="str">
            <v>Baseline penetration of measure bundles.  Estimated fraction of stock where the measure is already in place.</v>
          </cell>
        </row>
        <row r="89">
          <cell r="B89" t="str">
            <v>Vintage cohort for measure bundles.</v>
          </cell>
        </row>
        <row r="90">
          <cell r="B90" t="str">
            <v>Turnover rate for stock to which measure applies.</v>
          </cell>
        </row>
        <row r="91">
          <cell r="B91" t="str">
            <v>Achievable rate of acquisition for measure bundles by year</v>
          </cell>
        </row>
        <row r="92">
          <cell r="B92" t="str">
            <v>Tables developed to estimate regional baseline penetration for various elements of energy codes by jurisdiction</v>
          </cell>
        </row>
        <row r="93">
          <cell r="B93" t="str">
            <v xml:space="preserve">Key characteristics for stock by vintage cohort and building subtype.  Used to develop regional application of measures. </v>
          </cell>
        </row>
        <row r="94">
          <cell r="B94" t="str">
            <v>Floor area forecast summary used to develop data in CHAR</v>
          </cell>
        </row>
        <row r="95">
          <cell r="B95" t="str">
            <v>List of variables and definitions used in the CHAR tab and elsewhere in the files.</v>
          </cell>
        </row>
        <row r="96">
          <cell r="B96" t="str">
            <v>Map of building types labels from different sources.</v>
          </cell>
        </row>
        <row r="97">
          <cell r="B97" t="str">
            <v>Lookup table for vintage cohort</v>
          </cell>
        </row>
        <row r="98">
          <cell r="B98" t="str">
            <v xml:space="preserve">Reference EUI from various sources including CBECS &amp; CBSA.  </v>
          </cell>
        </row>
      </sheetData>
      <sheetData sheetId="1">
        <row r="11">
          <cell r="B11" t="str">
            <v>Base Measure Name</v>
          </cell>
          <cell r="C11" t="str">
            <v>VCohort</v>
          </cell>
          <cell r="D11" t="str">
            <v>Measure Index Name</v>
          </cell>
          <cell r="E11" t="str">
            <v>Unit of Savings</v>
          </cell>
          <cell r="F11" t="str">
            <v>Measure Bundle Description</v>
          </cell>
          <cell r="G11" t="str">
            <v>Number of Measures in Bundle</v>
          </cell>
          <cell r="H11" t="str">
            <v>Descriptive Name</v>
          </cell>
          <cell r="I11" t="str">
            <v>Segment</v>
          </cell>
          <cell r="J11" t="str">
            <v>Savings Sources</v>
          </cell>
          <cell r="K11" t="str">
            <v>7P Technical Savings (aMW)</v>
          </cell>
          <cell r="L11" t="str">
            <v>Baseline</v>
          </cell>
          <cell r="M11" t="str">
            <v>Baseline Saturation</v>
          </cell>
          <cell r="N11" t="str">
            <v>Baseline Notes</v>
          </cell>
          <cell r="O11" t="str">
            <v>Cost Source</v>
          </cell>
          <cell r="P11" t="str">
            <v>Cost Notes</v>
          </cell>
          <cell r="Q11" t="str">
            <v>New from 6P</v>
          </cell>
          <cell r="R11" t="str">
            <v>6P Vintage</v>
          </cell>
          <cell r="S11" t="str">
            <v>Status</v>
          </cell>
          <cell r="T11" t="str">
            <v>Status notes</v>
          </cell>
          <cell r="U11" t="str">
            <v>Category</v>
          </cell>
        </row>
        <row r="12">
          <cell r="B12" t="str">
            <v>Compressed Air</v>
          </cell>
          <cell r="C12" t="str">
            <v>Retro</v>
          </cell>
          <cell r="D12" t="str">
            <v>Compressed Air-Retro</v>
          </cell>
          <cell r="E12" t="str">
            <v>kWh per HP BT</v>
          </cell>
          <cell r="F12" t="str">
            <v>Compressed Air Controls</v>
          </cell>
          <cell r="G12">
            <v>1</v>
          </cell>
          <cell r="H12" t="str">
            <v>Compressed Air Controls</v>
          </cell>
          <cell r="I12" t="str">
            <v>Some</v>
          </cell>
          <cell r="L12" t="str">
            <v>CBSA 2014</v>
          </cell>
          <cell r="Q12" t="str">
            <v>x</v>
          </cell>
          <cell r="R12" t="str">
            <v>N/A</v>
          </cell>
          <cell r="U12" t="str">
            <v>Compressed Air System Controls</v>
          </cell>
        </row>
        <row r="13">
          <cell r="B13" t="str">
            <v>Compressed Air</v>
          </cell>
          <cell r="C13" t="str">
            <v>NR</v>
          </cell>
          <cell r="D13" t="str">
            <v>Compressed Air-NR</v>
          </cell>
          <cell r="E13" t="str">
            <v>kWh per HP BT</v>
          </cell>
          <cell r="F13" t="str">
            <v>Compressed Air Improvements</v>
          </cell>
          <cell r="G13">
            <v>1</v>
          </cell>
          <cell r="H13" t="str">
            <v>Compressed Air Improvements</v>
          </cell>
          <cell r="I13" t="str">
            <v>Some</v>
          </cell>
          <cell r="L13" t="str">
            <v>CBSA 2014</v>
          </cell>
          <cell r="Q13" t="str">
            <v>x</v>
          </cell>
          <cell r="R13" t="str">
            <v>N/A</v>
          </cell>
          <cell r="U13" t="str">
            <v>Compressed Air System Improvements</v>
          </cell>
        </row>
        <row r="14">
          <cell r="B14" t="str">
            <v>Network PC Power Management</v>
          </cell>
          <cell r="C14" t="str">
            <v>Retro</v>
          </cell>
          <cell r="D14" t="str">
            <v>Network PC Power Management-Retro</v>
          </cell>
          <cell r="E14" t="str">
            <v>Count</v>
          </cell>
          <cell r="F14" t="str">
            <v>Control of a networked computer's advanced energy management systems</v>
          </cell>
          <cell r="G14">
            <v>1</v>
          </cell>
          <cell r="H14" t="str">
            <v>Network PC Power Management</v>
          </cell>
          <cell r="I14" t="str">
            <v>All</v>
          </cell>
          <cell r="L14" t="str">
            <v>CBSA 2014</v>
          </cell>
          <cell r="R14" t="str">
            <v>N/A</v>
          </cell>
          <cell r="U14" t="str">
            <v>Computer Technologies</v>
          </cell>
        </row>
        <row r="15">
          <cell r="B15" t="str">
            <v>Laptop</v>
          </cell>
          <cell r="C15" t="str">
            <v>NR</v>
          </cell>
          <cell r="D15" t="str">
            <v>Laptop-NR</v>
          </cell>
          <cell r="E15" t="str">
            <v>Count</v>
          </cell>
          <cell r="F15" t="str">
            <v>ENERGY STAR Laptops</v>
          </cell>
          <cell r="G15">
            <v>1</v>
          </cell>
          <cell r="H15" t="str">
            <v>ENERGY STAR Laptops</v>
          </cell>
          <cell r="I15" t="str">
            <v>All</v>
          </cell>
          <cell r="L15" t="str">
            <v>CBSA 2014</v>
          </cell>
          <cell r="R15" t="str">
            <v>N/A</v>
          </cell>
          <cell r="U15" t="str">
            <v>Computer Technologies</v>
          </cell>
        </row>
        <row r="16">
          <cell r="B16" t="str">
            <v>Smart Plug Power Strips</v>
          </cell>
          <cell r="C16" t="str">
            <v>Retro</v>
          </cell>
          <cell r="D16" t="str">
            <v>Smart Plug Power Strips-Retro</v>
          </cell>
          <cell r="E16" t="str">
            <v>Count</v>
          </cell>
          <cell r="F16" t="str">
            <v>Smart Plug Power Strips</v>
          </cell>
          <cell r="G16">
            <v>1</v>
          </cell>
          <cell r="H16" t="str">
            <v>Smart Plug Power Strips</v>
          </cell>
          <cell r="I16" t="str">
            <v>All</v>
          </cell>
          <cell r="L16" t="str">
            <v>CBSA 2014</v>
          </cell>
          <cell r="Q16" t="str">
            <v>x</v>
          </cell>
          <cell r="R16" t="str">
            <v>N/A</v>
          </cell>
          <cell r="U16" t="str">
            <v xml:space="preserve">Plug Load </v>
          </cell>
        </row>
        <row r="17">
          <cell r="B17" t="str">
            <v>Data Centers</v>
          </cell>
          <cell r="C17" t="str">
            <v>NR</v>
          </cell>
          <cell r="D17" t="str">
            <v>Data Centers-NR</v>
          </cell>
          <cell r="E17" t="str">
            <v>Count</v>
          </cell>
          <cell r="F17" t="str">
            <v xml:space="preserve">Data Centers; Virtualization, efficient servers, network gear, power supplies, and other measures at NR </v>
          </cell>
          <cell r="G17">
            <v>22</v>
          </cell>
          <cell r="H17" t="str">
            <v>Data Centers</v>
          </cell>
          <cell r="I17" t="str">
            <v>All</v>
          </cell>
          <cell r="L17" t="str">
            <v>CBSA 2014</v>
          </cell>
          <cell r="Q17" t="str">
            <v>x</v>
          </cell>
          <cell r="R17" t="str">
            <v>N/A</v>
          </cell>
          <cell r="U17" t="str">
            <v>Computer Technologies</v>
          </cell>
        </row>
        <row r="18">
          <cell r="B18" t="str">
            <v>Monitor</v>
          </cell>
          <cell r="C18" t="str">
            <v>NR</v>
          </cell>
          <cell r="D18" t="str">
            <v>Monitor-NR</v>
          </cell>
          <cell r="E18" t="str">
            <v>Count</v>
          </cell>
          <cell r="F18" t="str">
            <v>Commercial Computer Monitor</v>
          </cell>
          <cell r="G18">
            <v>1</v>
          </cell>
          <cell r="H18" t="str">
            <v>ENERGY STAR Monitor</v>
          </cell>
          <cell r="I18" t="str">
            <v>All</v>
          </cell>
          <cell r="L18" t="str">
            <v>Std Monitor</v>
          </cell>
          <cell r="R18" t="str">
            <v>N/A</v>
          </cell>
          <cell r="U18" t="str">
            <v>Computer Technologies</v>
          </cell>
        </row>
        <row r="19">
          <cell r="B19" t="str">
            <v>Desktop</v>
          </cell>
          <cell r="C19" t="str">
            <v>NR</v>
          </cell>
          <cell r="D19" t="str">
            <v>Desktop-NR</v>
          </cell>
          <cell r="E19" t="str">
            <v>Count</v>
          </cell>
          <cell r="F19" t="str">
            <v>Commercial Computer Desktop</v>
          </cell>
          <cell r="G19">
            <v>1</v>
          </cell>
          <cell r="H19" t="str">
            <v>ENERGY STAR Desktop</v>
          </cell>
          <cell r="I19" t="str">
            <v>All</v>
          </cell>
          <cell r="L19" t="str">
            <v>Std Computer</v>
          </cell>
          <cell r="R19" t="str">
            <v>N/A</v>
          </cell>
          <cell r="U19" t="str">
            <v>Computer Technologies</v>
          </cell>
        </row>
        <row r="20">
          <cell r="B20" t="str">
            <v>Pre-Rinse Spray Valve</v>
          </cell>
          <cell r="C20" t="str">
            <v>Retro</v>
          </cell>
          <cell r="D20" t="str">
            <v>Pre-Rinse Spray Valve-Retro</v>
          </cell>
          <cell r="E20" t="str">
            <v>Count</v>
          </cell>
          <cell r="F20" t="str">
            <v>Low-flow pre-rinse spray valves for restaurant kitchens, cafeterias, and food-serving</v>
          </cell>
          <cell r="G20">
            <v>1</v>
          </cell>
          <cell r="H20" t="str">
            <v>Pre-Rinse Spray Valve</v>
          </cell>
          <cell r="I20" t="str">
            <v>Some</v>
          </cell>
          <cell r="L20" t="str">
            <v>CBSA 2014</v>
          </cell>
          <cell r="R20" t="str">
            <v>N/A</v>
          </cell>
          <cell r="U20" t="str">
            <v>Water Using Devices</v>
          </cell>
        </row>
        <row r="21">
          <cell r="B21" t="str">
            <v>Cooking Equipment</v>
          </cell>
          <cell r="C21" t="str">
            <v>NR</v>
          </cell>
          <cell r="D21" t="str">
            <v>Cooking Equipment-NR</v>
          </cell>
          <cell r="E21" t="str">
            <v>Count</v>
          </cell>
          <cell r="F21" t="str">
            <v>Efficient cooking equipment such as hot food holders, steamers and ovens</v>
          </cell>
          <cell r="G21">
            <v>4</v>
          </cell>
          <cell r="H21" t="str">
            <v>Cooking Equipment</v>
          </cell>
          <cell r="I21" t="str">
            <v>All</v>
          </cell>
          <cell r="L21" t="str">
            <v>CBSA 2014</v>
          </cell>
          <cell r="R21" t="str">
            <v>N/A</v>
          </cell>
          <cell r="U21" t="str">
            <v>Cooking</v>
          </cell>
        </row>
        <row r="22">
          <cell r="B22" t="str">
            <v>Premium HVAC Equipment</v>
          </cell>
          <cell r="C22" t="str">
            <v>New</v>
          </cell>
          <cell r="D22" t="str">
            <v>Premium HVAC Equipment-New</v>
          </cell>
          <cell r="E22" t="str">
            <v>kWh per KSF BT</v>
          </cell>
          <cell r="F22" t="str">
            <v>HVAC equipment more efficient than applicable code or standard practice</v>
          </cell>
          <cell r="G22">
            <v>4</v>
          </cell>
          <cell r="H22" t="str">
            <v>Premium HVAC Equipment</v>
          </cell>
          <cell r="I22" t="str">
            <v>All</v>
          </cell>
          <cell r="L22" t="str">
            <v>CBSA 2014</v>
          </cell>
          <cell r="R22" t="str">
            <v>PRE/POST 2006</v>
          </cell>
          <cell r="U22" t="str">
            <v>HVAC System Improvements</v>
          </cell>
        </row>
        <row r="23">
          <cell r="B23" t="str">
            <v>Premium HVAC Equipment</v>
          </cell>
          <cell r="C23" t="str">
            <v>NR</v>
          </cell>
          <cell r="D23" t="str">
            <v>Premium HVAC Equipment-NR</v>
          </cell>
          <cell r="E23" t="str">
            <v>kWh per KSF BT</v>
          </cell>
          <cell r="F23" t="str">
            <v>HVAC equipment more efficient than applicable code or standard practice</v>
          </cell>
          <cell r="G23">
            <v>4</v>
          </cell>
          <cell r="H23" t="str">
            <v>Premium HVAC Equipment</v>
          </cell>
          <cell r="I23" t="str">
            <v>All</v>
          </cell>
          <cell r="L23" t="str">
            <v>CBSA 2014</v>
          </cell>
          <cell r="R23" t="str">
            <v>PRE/POST 2006</v>
          </cell>
          <cell r="U23" t="str">
            <v>HVAC System Improvements</v>
          </cell>
        </row>
        <row r="24">
          <cell r="B24" t="str">
            <v>Glass</v>
          </cell>
          <cell r="C24" t="str">
            <v>New</v>
          </cell>
          <cell r="D24" t="str">
            <v>Glass-New</v>
          </cell>
          <cell r="E24" t="str">
            <v>kWh per KSF BT</v>
          </cell>
          <cell r="F24" t="str">
            <v>Windows and glazing more efficiecnt that code or standard practice</v>
          </cell>
          <cell r="G24">
            <v>39</v>
          </cell>
          <cell r="H24" t="str">
            <v>Windows</v>
          </cell>
          <cell r="I24" t="str">
            <v>All</v>
          </cell>
          <cell r="L24" t="str">
            <v>CBSA 2014</v>
          </cell>
          <cell r="R24" t="str">
            <v>PRE1987/PRE2002/POST2006</v>
          </cell>
          <cell r="U24" t="str">
            <v>Envelope</v>
          </cell>
        </row>
        <row r="25">
          <cell r="B25" t="str">
            <v>Glass</v>
          </cell>
          <cell r="C25" t="str">
            <v>NR</v>
          </cell>
          <cell r="D25" t="str">
            <v>Glass-NR</v>
          </cell>
          <cell r="E25" t="str">
            <v>kWh per KSF BT</v>
          </cell>
          <cell r="F25" t="str">
            <v>Windows and glazing more efficiecnt that code or standard practice</v>
          </cell>
          <cell r="G25">
            <v>39</v>
          </cell>
          <cell r="H25" t="str">
            <v>Windows</v>
          </cell>
          <cell r="I25" t="str">
            <v>All</v>
          </cell>
          <cell r="L25" t="str">
            <v>CBSA 2014</v>
          </cell>
          <cell r="R25" t="str">
            <v>PRE1987/PRE2002/POST2007</v>
          </cell>
          <cell r="U25" t="str">
            <v>Envelope</v>
          </cell>
        </row>
        <row r="26">
          <cell r="B26" t="str">
            <v>Glass</v>
          </cell>
          <cell r="C26" t="str">
            <v>Retro</v>
          </cell>
          <cell r="D26" t="str">
            <v>Glass-Retro</v>
          </cell>
          <cell r="E26" t="str">
            <v>kWh per KSF BT</v>
          </cell>
          <cell r="F26" t="str">
            <v>Windows and glazing more efficiecnt that code or standard practice</v>
          </cell>
          <cell r="G26">
            <v>3</v>
          </cell>
          <cell r="H26" t="str">
            <v>Windows</v>
          </cell>
          <cell r="I26" t="str">
            <v>All</v>
          </cell>
          <cell r="L26" t="str">
            <v>CBSA 2014</v>
          </cell>
          <cell r="R26" t="str">
            <v>PRE1987/PRE2002/POST2008</v>
          </cell>
          <cell r="U26" t="str">
            <v>Envelope</v>
          </cell>
        </row>
        <row r="27">
          <cell r="B27" t="str">
            <v>Advanced Rooftop Controller</v>
          </cell>
          <cell r="C27" t="str">
            <v>New</v>
          </cell>
          <cell r="D27" t="str">
            <v>Advanced Rooftop Controller-New</v>
          </cell>
          <cell r="E27" t="str">
            <v>kWh per KSF BT</v>
          </cell>
          <cell r="F27" t="str">
            <v>Suite of measures and control strategies for buildings served by package roof top HVAC units</v>
          </cell>
          <cell r="G27">
            <v>3</v>
          </cell>
          <cell r="H27" t="str">
            <v>Advanced Rooftop Controller</v>
          </cell>
          <cell r="I27" t="str">
            <v>Most</v>
          </cell>
          <cell r="L27" t="str">
            <v>CBSA 2014</v>
          </cell>
          <cell r="R27" t="str">
            <v>PRE/POST 2006</v>
          </cell>
          <cell r="U27" t="str">
            <v>HVAC System Improvements</v>
          </cell>
        </row>
        <row r="28">
          <cell r="B28" t="str">
            <v>Advanced Rooftop Controller</v>
          </cell>
          <cell r="C28" t="str">
            <v>NR</v>
          </cell>
          <cell r="D28" t="str">
            <v>Advanced Rooftop Controller-NR</v>
          </cell>
          <cell r="E28" t="str">
            <v>kWh per KSF BT</v>
          </cell>
          <cell r="F28" t="str">
            <v>Suite of measures and control strategies for buildings served by package roof top HVAC units</v>
          </cell>
          <cell r="G28">
            <v>2</v>
          </cell>
          <cell r="H28" t="str">
            <v>Advanced Rooftop Controller</v>
          </cell>
          <cell r="I28" t="str">
            <v>Most</v>
          </cell>
          <cell r="L28" t="str">
            <v>CBSA 2014</v>
          </cell>
          <cell r="R28" t="str">
            <v>PRE/POST 2006</v>
          </cell>
          <cell r="U28" t="str">
            <v>HVAC System Improvements</v>
          </cell>
        </row>
        <row r="29">
          <cell r="B29" t="str">
            <v>Advanced Rooftop Controller</v>
          </cell>
          <cell r="C29" t="str">
            <v>Retro</v>
          </cell>
          <cell r="D29" t="str">
            <v>Advanced Rooftop Controller-Retro</v>
          </cell>
          <cell r="E29" t="str">
            <v>kWh per KSF BT</v>
          </cell>
          <cell r="F29" t="str">
            <v>Suite of measures and control strategies for buildings served by package roof top HVAC units</v>
          </cell>
          <cell r="G29">
            <v>3</v>
          </cell>
          <cell r="H29" t="str">
            <v>Advanced Rooftop Controller</v>
          </cell>
          <cell r="I29" t="str">
            <v>Most</v>
          </cell>
          <cell r="L29" t="str">
            <v>CBSA 2014</v>
          </cell>
          <cell r="R29" t="str">
            <v>PRE/POST 2006</v>
          </cell>
          <cell r="U29" t="str">
            <v>HVAC System Improvements</v>
          </cell>
        </row>
        <row r="30">
          <cell r="B30" t="str">
            <v>Variable Speed Chiller</v>
          </cell>
          <cell r="C30" t="str">
            <v>New</v>
          </cell>
          <cell r="D30" t="str">
            <v>Variable Speed Chiller-New</v>
          </cell>
          <cell r="E30" t="str">
            <v>kWh per KSF BT</v>
          </cell>
          <cell r="F30" t="str">
            <v>Variable speed chillers</v>
          </cell>
          <cell r="G30">
            <v>1</v>
          </cell>
          <cell r="H30" t="str">
            <v>Variable Speed Chiller</v>
          </cell>
          <cell r="I30" t="str">
            <v>Some</v>
          </cell>
          <cell r="L30" t="str">
            <v>CBSA 2014</v>
          </cell>
          <cell r="R30" t="str">
            <v>PRE/POST 2006</v>
          </cell>
          <cell r="U30" t="str">
            <v>Envelope</v>
          </cell>
        </row>
        <row r="31">
          <cell r="B31" t="str">
            <v>Variable Speed Chiller</v>
          </cell>
          <cell r="C31" t="str">
            <v>NR</v>
          </cell>
          <cell r="D31" t="str">
            <v>Variable Speed Chiller-NR</v>
          </cell>
          <cell r="E31" t="str">
            <v>kWh per KSF BT</v>
          </cell>
          <cell r="F31" t="str">
            <v>Variable speed chillers</v>
          </cell>
          <cell r="G31">
            <v>1</v>
          </cell>
          <cell r="H31" t="str">
            <v>Variable Speed Chiller</v>
          </cell>
          <cell r="I31" t="str">
            <v>Some</v>
          </cell>
          <cell r="L31" t="str">
            <v>CBSA 2014</v>
          </cell>
          <cell r="R31" t="str">
            <v>PRE/POST 2006</v>
          </cell>
          <cell r="U31" t="str">
            <v>Envelope</v>
          </cell>
        </row>
        <row r="32">
          <cell r="B32" t="str">
            <v>Commercial EM</v>
          </cell>
          <cell r="C32" t="str">
            <v>New</v>
          </cell>
          <cell r="D32" t="str">
            <v>Commercial EM-New</v>
          </cell>
          <cell r="E32" t="str">
            <v>kWh per KSF BT</v>
          </cell>
          <cell r="F32" t="str">
            <v>Commercial Energy Management</v>
          </cell>
          <cell r="G32">
            <v>1</v>
          </cell>
          <cell r="H32" t="str">
            <v>Commercial Energy Management For Complex systems</v>
          </cell>
          <cell r="I32" t="str">
            <v>All</v>
          </cell>
          <cell r="L32" t="str">
            <v>CBSA 2014</v>
          </cell>
          <cell r="R32" t="str">
            <v>PRE/POST 2006</v>
          </cell>
          <cell r="U32" t="str">
            <v>Whole Bldg/Meter Level System Improvements</v>
          </cell>
        </row>
        <row r="33">
          <cell r="B33" t="str">
            <v>Commercial EM</v>
          </cell>
          <cell r="C33" t="str">
            <v>NR</v>
          </cell>
          <cell r="D33" t="str">
            <v>Commercial EM-NR</v>
          </cell>
          <cell r="E33" t="str">
            <v>kWh per KSF BT</v>
          </cell>
          <cell r="F33" t="str">
            <v>Commercial Energy Management</v>
          </cell>
          <cell r="G33">
            <v>1</v>
          </cell>
          <cell r="H33" t="str">
            <v>Commercial Energy Management For Complex systems</v>
          </cell>
          <cell r="I33" t="str">
            <v>All</v>
          </cell>
          <cell r="L33" t="str">
            <v>CBSA 2014</v>
          </cell>
          <cell r="R33" t="str">
            <v>PRE/POST 2006</v>
          </cell>
          <cell r="U33" t="str">
            <v>Whole Bldg/Meter Level System Improvements</v>
          </cell>
        </row>
        <row r="34">
          <cell r="B34" t="str">
            <v>Commercial EM</v>
          </cell>
          <cell r="C34" t="str">
            <v>Retro</v>
          </cell>
          <cell r="D34" t="str">
            <v>Commercial EM-Retro</v>
          </cell>
          <cell r="E34" t="str">
            <v>kWh per KSF BT</v>
          </cell>
          <cell r="F34" t="str">
            <v>Commercial Energy Management</v>
          </cell>
          <cell r="G34">
            <v>20</v>
          </cell>
          <cell r="H34" t="str">
            <v>Commercial Energy Management For Complex systems</v>
          </cell>
          <cell r="I34" t="str">
            <v>All</v>
          </cell>
          <cell r="L34" t="str">
            <v>CBSA 2014</v>
          </cell>
          <cell r="R34" t="str">
            <v>PRE/POST 2006</v>
          </cell>
          <cell r="U34" t="str">
            <v>Whole Bldg/Meter Level System Improvements</v>
          </cell>
        </row>
        <row r="35">
          <cell r="B35" t="str">
            <v>Evaporative Assist Cooling</v>
          </cell>
          <cell r="C35" t="str">
            <v>New</v>
          </cell>
          <cell r="D35" t="str">
            <v>Evaporative Assist Cooling-New</v>
          </cell>
          <cell r="E35" t="str">
            <v>kWh per KSF BT</v>
          </cell>
          <cell r="F35" t="str">
            <v>Evaporative Assist Cooling</v>
          </cell>
          <cell r="G35">
            <v>1</v>
          </cell>
          <cell r="H35" t="str">
            <v>Evaporative Assist Cooling</v>
          </cell>
          <cell r="I35" t="str">
            <v>Some</v>
          </cell>
          <cell r="L35" t="str">
            <v>CBSA 2014</v>
          </cell>
          <cell r="R35" t="str">
            <v>PRE/POST 2006</v>
          </cell>
          <cell r="U35" t="str">
            <v>HVAC System Improvements</v>
          </cell>
        </row>
        <row r="36">
          <cell r="B36" t="str">
            <v>Evaporative Assist Cooling</v>
          </cell>
          <cell r="C36" t="str">
            <v>NR</v>
          </cell>
          <cell r="D36" t="str">
            <v>Evaporative Assist Cooling-NR</v>
          </cell>
          <cell r="E36" t="str">
            <v>kWh per KSF BT</v>
          </cell>
          <cell r="F36" t="str">
            <v>Evaporative Assist Cooling</v>
          </cell>
          <cell r="G36">
            <v>1</v>
          </cell>
          <cell r="H36" t="str">
            <v>Evaporative Assist Cooling</v>
          </cell>
          <cell r="I36" t="str">
            <v>Some</v>
          </cell>
          <cell r="L36" t="str">
            <v>CBSA 2014</v>
          </cell>
          <cell r="R36" t="str">
            <v>PRE/POST 2006</v>
          </cell>
          <cell r="U36" t="str">
            <v>HVAC System Improvements</v>
          </cell>
        </row>
        <row r="37">
          <cell r="B37" t="str">
            <v>Economizer</v>
          </cell>
          <cell r="C37" t="str">
            <v>Retro</v>
          </cell>
          <cell r="D37" t="str">
            <v>Economizer-Retro</v>
          </cell>
          <cell r="E37" t="str">
            <v>kWh per KSF BT</v>
          </cell>
          <cell r="F37" t="str">
            <v>Economizer Improvements</v>
          </cell>
          <cell r="G37">
            <v>2</v>
          </cell>
          <cell r="H37" t="str">
            <v>Economizer maintenance and repair</v>
          </cell>
          <cell r="I37" t="str">
            <v>Some</v>
          </cell>
          <cell r="L37" t="str">
            <v>CBSA 2014</v>
          </cell>
          <cell r="R37" t="str">
            <v>POST 2006</v>
          </cell>
          <cell r="U37" t="str">
            <v>HVAC System Improvements</v>
          </cell>
        </row>
        <row r="38">
          <cell r="B38" t="str">
            <v>Demand Control Ventilation</v>
          </cell>
          <cell r="C38" t="str">
            <v>New</v>
          </cell>
          <cell r="D38" t="str">
            <v>Demand Control Ventilation-New</v>
          </cell>
          <cell r="E38" t="str">
            <v>kWh per KSF BT</v>
          </cell>
          <cell r="F38" t="str">
            <v>Fan control strategies, DCV and Fleet Strategy DOAS with heat recovery in simple HVAC systems</v>
          </cell>
          <cell r="G38">
            <v>2</v>
          </cell>
          <cell r="H38" t="str">
            <v>Demand Control Ventilation</v>
          </cell>
          <cell r="I38" t="str">
            <v>All</v>
          </cell>
          <cell r="L38" t="str">
            <v>CBSA 2014</v>
          </cell>
          <cell r="R38" t="str">
            <v>PRE/POST 2006</v>
          </cell>
          <cell r="U38" t="str">
            <v>HVAC System Controls</v>
          </cell>
        </row>
        <row r="39">
          <cell r="B39" t="str">
            <v>Demand Control Ventilation</v>
          </cell>
          <cell r="C39" t="str">
            <v>NR</v>
          </cell>
          <cell r="D39" t="str">
            <v>Demand Control Ventilation-NR</v>
          </cell>
          <cell r="E39" t="str">
            <v>kWh per KSF BT</v>
          </cell>
          <cell r="F39" t="str">
            <v>Fan control strategies, DCV and Fleet Strategy DOAS with heat recovery in simple HVAC systems</v>
          </cell>
          <cell r="G39">
            <v>1</v>
          </cell>
          <cell r="H39" t="str">
            <v>Demand Control Ventilation</v>
          </cell>
          <cell r="I39" t="str">
            <v>All</v>
          </cell>
          <cell r="L39" t="str">
            <v>CBSA 2014</v>
          </cell>
          <cell r="R39" t="str">
            <v>PRE/POST 2006</v>
          </cell>
          <cell r="U39" t="str">
            <v>HVAC System Controls</v>
          </cell>
        </row>
        <row r="40">
          <cell r="B40" t="str">
            <v>Demand Control Ventilation</v>
          </cell>
          <cell r="C40" t="str">
            <v>Retro</v>
          </cell>
          <cell r="D40" t="str">
            <v>Demand Control Ventilation-Retro</v>
          </cell>
          <cell r="E40" t="str">
            <v>kWh per KSF BT</v>
          </cell>
          <cell r="F40" t="str">
            <v>Fan control strategies, DCV and Fleet Strategy DOAS with heat recovery in simple HVAC systems</v>
          </cell>
          <cell r="G40">
            <v>2</v>
          </cell>
          <cell r="H40" t="str">
            <v>Demand Control Ventilation</v>
          </cell>
          <cell r="I40" t="str">
            <v>All</v>
          </cell>
          <cell r="L40" t="str">
            <v>CBSA 2014</v>
          </cell>
          <cell r="R40" t="str">
            <v>PRE/POST 2006</v>
          </cell>
          <cell r="U40" t="str">
            <v>HVAC System Controls</v>
          </cell>
        </row>
        <row r="41">
          <cell r="B41" t="str">
            <v>Premium Fume Hood</v>
          </cell>
          <cell r="C41" t="str">
            <v>NR</v>
          </cell>
          <cell r="D41" t="str">
            <v>Premium Fume Hood-NR</v>
          </cell>
          <cell r="E41" t="str">
            <v>Count</v>
          </cell>
          <cell r="F41" t="str">
            <v>Effiicient fume hoods in labs</v>
          </cell>
          <cell r="G41">
            <v>1</v>
          </cell>
          <cell r="H41" t="str">
            <v>Premium Fume Hood</v>
          </cell>
          <cell r="I41" t="str">
            <v>Some</v>
          </cell>
          <cell r="L41" t="str">
            <v>CBSA 2014</v>
          </cell>
          <cell r="R41" t="str">
            <v>N/A</v>
          </cell>
          <cell r="U41" t="str">
            <v>Pumps and Fans</v>
          </cell>
        </row>
        <row r="42">
          <cell r="B42" t="str">
            <v>DCV Restaurant Hood</v>
          </cell>
          <cell r="C42" t="str">
            <v>Retro</v>
          </cell>
          <cell r="D42" t="str">
            <v>DCV Restaurant Hood-Retro</v>
          </cell>
          <cell r="E42" t="str">
            <v>Count</v>
          </cell>
          <cell r="F42" t="str">
            <v>Demand control ventilation systems for large restaurant hoods</v>
          </cell>
          <cell r="G42">
            <v>1</v>
          </cell>
          <cell r="H42" t="str">
            <v>DCV Restaurant Hood</v>
          </cell>
          <cell r="I42" t="str">
            <v>Restaurant</v>
          </cell>
          <cell r="L42" t="str">
            <v>CBSA 2014</v>
          </cell>
          <cell r="R42" t="str">
            <v>N/A</v>
          </cell>
          <cell r="U42" t="str">
            <v>Pumps and Fans</v>
          </cell>
        </row>
        <row r="43">
          <cell r="B43" t="str">
            <v>DCV Parking Garage</v>
          </cell>
          <cell r="C43" t="str">
            <v>Retro</v>
          </cell>
          <cell r="D43" t="str">
            <v>DCV Parking Garage-Retro</v>
          </cell>
          <cell r="E43" t="str">
            <v>kWh per kSF BT</v>
          </cell>
          <cell r="F43" t="str">
            <v>Demand control ventilation systems for parking garages</v>
          </cell>
          <cell r="G43">
            <v>1</v>
          </cell>
          <cell r="H43" t="str">
            <v>DCV Parking Garage</v>
          </cell>
          <cell r="I43" t="str">
            <v>All</v>
          </cell>
          <cell r="L43" t="str">
            <v>CBSA 2014</v>
          </cell>
          <cell r="Q43" t="str">
            <v>x</v>
          </cell>
          <cell r="R43" t="str">
            <v>N/A</v>
          </cell>
          <cell r="U43" t="str">
            <v>Pumps and Fans</v>
          </cell>
        </row>
        <row r="44">
          <cell r="B44" t="str">
            <v>Weatherization - School</v>
          </cell>
          <cell r="C44" t="str">
            <v>Retro</v>
          </cell>
          <cell r="D44" t="str">
            <v>Weatherization - School-Retro</v>
          </cell>
          <cell r="E44" t="str">
            <v>kWh per KSF BT</v>
          </cell>
          <cell r="F44" t="str">
            <v>School building weatherization</v>
          </cell>
          <cell r="G44">
            <v>1</v>
          </cell>
          <cell r="H44" t="str">
            <v>Weatherization - School</v>
          </cell>
          <cell r="I44" t="str">
            <v>K-12</v>
          </cell>
          <cell r="L44" t="str">
            <v>CBSA 2014</v>
          </cell>
          <cell r="Q44" t="str">
            <v>x</v>
          </cell>
          <cell r="R44" t="str">
            <v>N/A</v>
          </cell>
          <cell r="U44" t="str">
            <v>Envelope</v>
          </cell>
        </row>
        <row r="45">
          <cell r="B45" t="str">
            <v>Energy Recovery Ventilator</v>
          </cell>
          <cell r="C45" t="str">
            <v>NR</v>
          </cell>
          <cell r="D45" t="str">
            <v>Energy Recovery Ventilator-NR</v>
          </cell>
          <cell r="E45" t="str">
            <v>Count</v>
          </cell>
          <cell r="F45" t="str">
            <v>Heat Recovery Ventilation</v>
          </cell>
          <cell r="G45">
            <v>1</v>
          </cell>
          <cell r="H45" t="str">
            <v>Heat Recovery Ventilation</v>
          </cell>
          <cell r="I45" t="str">
            <v>All</v>
          </cell>
          <cell r="L45" t="str">
            <v>CBSA 20154</v>
          </cell>
          <cell r="R45" t="str">
            <v>N/A</v>
          </cell>
          <cell r="U45" t="str">
            <v>Computer Technologies</v>
          </cell>
        </row>
        <row r="46">
          <cell r="B46" t="str">
            <v>AC Heat Recovery for Water Heating</v>
          </cell>
          <cell r="C46" t="str">
            <v>NR</v>
          </cell>
          <cell r="D46" t="str">
            <v>AC Heat Recovery for Water Heating-NR</v>
          </cell>
          <cell r="E46" t="str">
            <v>Count</v>
          </cell>
          <cell r="F46" t="str">
            <v>AC Heat Recovery for Water Heating</v>
          </cell>
          <cell r="G46">
            <v>1</v>
          </cell>
          <cell r="H46" t="str">
            <v>AC Heat Recovery for Water Heating</v>
          </cell>
          <cell r="I46" t="str">
            <v>All</v>
          </cell>
          <cell r="L46" t="str">
            <v>CBSA 2014</v>
          </cell>
          <cell r="Q46" t="str">
            <v>x</v>
          </cell>
          <cell r="R46" t="str">
            <v>N/A</v>
          </cell>
          <cell r="U46" t="str">
            <v>Heat Recovery</v>
          </cell>
        </row>
        <row r="47">
          <cell r="B47" t="str">
            <v>Room Occupancy Sensors in Lodging</v>
          </cell>
          <cell r="C47" t="str">
            <v>Retro</v>
          </cell>
          <cell r="D47" t="str">
            <v>Room Occupancy Sensors in Lodging-Retro</v>
          </cell>
          <cell r="E47" t="str">
            <v>Count</v>
          </cell>
          <cell r="F47" t="str">
            <v>Room Occupancy Sensors in Lodging</v>
          </cell>
          <cell r="G47">
            <v>1</v>
          </cell>
          <cell r="H47" t="str">
            <v>Room Occupancy Sensors in Lodging</v>
          </cell>
          <cell r="I47" t="str">
            <v>Lodging</v>
          </cell>
          <cell r="L47" t="str">
            <v>CBSA 2014</v>
          </cell>
          <cell r="Q47" t="str">
            <v>x</v>
          </cell>
          <cell r="R47" t="str">
            <v>N/A</v>
          </cell>
          <cell r="U47" t="str">
            <v>Whole Bldg/Meter Level System Improvements</v>
          </cell>
        </row>
        <row r="48">
          <cell r="B48" t="str">
            <v>Chiller - chilled water retrofit</v>
          </cell>
          <cell r="C48" t="str">
            <v>Retro</v>
          </cell>
          <cell r="D48" t="str">
            <v>Chiller - chilled water retrofit-Retro</v>
          </cell>
          <cell r="E48" t="str">
            <v>kWh per KSF BT</v>
          </cell>
          <cell r="F48" t="str">
            <v>Chiller system improvements</v>
          </cell>
          <cell r="G48">
            <v>1</v>
          </cell>
          <cell r="H48" t="str">
            <v>Chiller - chilled water retrofit</v>
          </cell>
          <cell r="I48" t="str">
            <v>Some</v>
          </cell>
          <cell r="L48" t="str">
            <v>CBSA 2014</v>
          </cell>
          <cell r="Q48" t="str">
            <v>x</v>
          </cell>
          <cell r="R48" t="str">
            <v>N/A</v>
          </cell>
          <cell r="U48" t="str">
            <v>HVAC System Improvements</v>
          </cell>
        </row>
        <row r="49">
          <cell r="B49" t="str">
            <v>Chiller - equip retrofits</v>
          </cell>
          <cell r="C49" t="str">
            <v>Retro</v>
          </cell>
          <cell r="D49" t="str">
            <v>Chiller - equip retrofits-Retro</v>
          </cell>
          <cell r="E49" t="str">
            <v>kWh per KSF BT</v>
          </cell>
          <cell r="F49" t="str">
            <v>Chiller equipment improvements</v>
          </cell>
          <cell r="G49">
            <v>1</v>
          </cell>
          <cell r="H49" t="str">
            <v>Chiller - equip retrofits</v>
          </cell>
          <cell r="I49" t="str">
            <v>Some</v>
          </cell>
          <cell r="L49" t="str">
            <v>CBSA 2014</v>
          </cell>
          <cell r="Q49" t="str">
            <v>x</v>
          </cell>
          <cell r="R49" t="str">
            <v>N/A</v>
          </cell>
          <cell r="U49" t="str">
            <v>HVAC System Improvements</v>
          </cell>
        </row>
        <row r="50">
          <cell r="B50" t="str">
            <v>Pool Blankets</v>
          </cell>
          <cell r="C50" t="str">
            <v>Retro</v>
          </cell>
          <cell r="D50" t="str">
            <v>Pool Blankets-Retro</v>
          </cell>
          <cell r="E50" t="str">
            <v>Count</v>
          </cell>
          <cell r="F50" t="str">
            <v>Pool Blankets</v>
          </cell>
          <cell r="G50">
            <v>1</v>
          </cell>
          <cell r="H50" t="str">
            <v>Pool Blankets</v>
          </cell>
          <cell r="I50" t="str">
            <v>Some</v>
          </cell>
          <cell r="L50" t="str">
            <v>CBSA 2014</v>
          </cell>
          <cell r="Q50" t="str">
            <v>x</v>
          </cell>
          <cell r="R50" t="str">
            <v>N/A</v>
          </cell>
          <cell r="U50" t="str">
            <v>Pool System Improvements</v>
          </cell>
        </row>
        <row r="51">
          <cell r="B51" t="str">
            <v>Web-Enabled Thermostats</v>
          </cell>
          <cell r="C51" t="str">
            <v>Retro</v>
          </cell>
          <cell r="D51" t="str">
            <v>Web-Enabled Thermostats-Retro</v>
          </cell>
          <cell r="E51" t="str">
            <v>kWh per KSF BT</v>
          </cell>
          <cell r="F51" t="str">
            <v>Web-Enabled Thermostats</v>
          </cell>
          <cell r="G51">
            <v>1</v>
          </cell>
          <cell r="H51" t="str">
            <v>Web-Enabled Thermostats</v>
          </cell>
          <cell r="I51" t="str">
            <v>Some</v>
          </cell>
          <cell r="L51" t="str">
            <v>CBSA 2014</v>
          </cell>
          <cell r="Q51" t="str">
            <v>x</v>
          </cell>
          <cell r="R51" t="str">
            <v>N/A</v>
          </cell>
          <cell r="U51" t="str">
            <v>HVAC System Controls</v>
          </cell>
        </row>
        <row r="52">
          <cell r="B52" t="str">
            <v>Garage CO2 ventilation</v>
          </cell>
          <cell r="C52" t="str">
            <v>Retro</v>
          </cell>
          <cell r="D52" t="str">
            <v>Garage CO2 ventilation-Retro</v>
          </cell>
          <cell r="E52" t="str">
            <v>Count</v>
          </cell>
          <cell r="F52" t="str">
            <v>Garage CO2 ventilation</v>
          </cell>
          <cell r="G52">
            <v>1</v>
          </cell>
          <cell r="H52" t="str">
            <v>Garage CO2 ventilation</v>
          </cell>
          <cell r="I52" t="str">
            <v>Some</v>
          </cell>
          <cell r="L52" t="str">
            <v>CBSA 2014</v>
          </cell>
          <cell r="Q52" t="str">
            <v>x</v>
          </cell>
          <cell r="R52" t="str">
            <v>N/A</v>
          </cell>
          <cell r="U52" t="str">
            <v>HVAC System Controls</v>
          </cell>
        </row>
        <row r="53">
          <cell r="B53" t="str">
            <v>Circ Pump ECM and drive</v>
          </cell>
          <cell r="C53" t="str">
            <v>Retro</v>
          </cell>
          <cell r="D53" t="str">
            <v>Circ Pump ECM and drive-Retro</v>
          </cell>
          <cell r="E53" t="str">
            <v>Count</v>
          </cell>
          <cell r="F53" t="str">
            <v>Circulation Pump ECM and drive</v>
          </cell>
          <cell r="G53">
            <v>1</v>
          </cell>
          <cell r="H53" t="str">
            <v>Circ Pump ECM and drive</v>
          </cell>
          <cell r="I53" t="str">
            <v>Some</v>
          </cell>
          <cell r="L53" t="str">
            <v>CBSA 2014</v>
          </cell>
          <cell r="Q53" t="str">
            <v>x</v>
          </cell>
          <cell r="R53" t="str">
            <v>N/A</v>
          </cell>
          <cell r="U53" t="str">
            <v>Pumps and Fans</v>
          </cell>
        </row>
        <row r="54">
          <cell r="B54" t="str">
            <v>VRF</v>
          </cell>
          <cell r="C54" t="str">
            <v>New</v>
          </cell>
          <cell r="D54" t="str">
            <v>VRF-New</v>
          </cell>
          <cell r="E54" t="str">
            <v>kWh per KSF BT</v>
          </cell>
          <cell r="F54" t="str">
            <v>Variable Refrigerant Flow</v>
          </cell>
          <cell r="G54">
            <v>1</v>
          </cell>
          <cell r="H54" t="str">
            <v>Variable Refrigerant Flow</v>
          </cell>
          <cell r="I54" t="str">
            <v>Some</v>
          </cell>
          <cell r="L54" t="str">
            <v>CBSA 2014</v>
          </cell>
          <cell r="Q54" t="str">
            <v>x</v>
          </cell>
          <cell r="U54" t="str">
            <v>HVAC System Improvements</v>
          </cell>
        </row>
        <row r="55">
          <cell r="B55" t="str">
            <v>VRF</v>
          </cell>
          <cell r="C55" t="str">
            <v>Retro</v>
          </cell>
          <cell r="D55" t="str">
            <v>VRF-Retro</v>
          </cell>
          <cell r="E55" t="str">
            <v>kWh per KSF BT</v>
          </cell>
          <cell r="F55" t="str">
            <v>Variable Refrigerant Flow</v>
          </cell>
          <cell r="G55">
            <v>1</v>
          </cell>
          <cell r="H55" t="str">
            <v>Variable Refrigerant Flow</v>
          </cell>
          <cell r="I55" t="str">
            <v>Some</v>
          </cell>
          <cell r="L55" t="str">
            <v>CBSA 2014</v>
          </cell>
          <cell r="Q55" t="str">
            <v>x</v>
          </cell>
          <cell r="R55" t="str">
            <v>N/A</v>
          </cell>
          <cell r="U55" t="str">
            <v>Envelope</v>
          </cell>
        </row>
        <row r="56">
          <cell r="B56" t="str">
            <v>Evaporator Roof Top HVAC</v>
          </cell>
          <cell r="C56" t="str">
            <v>Retro</v>
          </cell>
          <cell r="D56" t="str">
            <v>Evaporator Roof Top HVAC-Retro</v>
          </cell>
          <cell r="E56" t="str">
            <v>kWh per KSF BT</v>
          </cell>
          <cell r="F56" t="str">
            <v>Evaporator Roof Top HVAC</v>
          </cell>
          <cell r="G56">
            <v>1</v>
          </cell>
          <cell r="H56" t="str">
            <v>Evaporator Roof Top HVAC</v>
          </cell>
          <cell r="I56" t="str">
            <v>Some</v>
          </cell>
          <cell r="L56" t="str">
            <v>CBSA 2014</v>
          </cell>
          <cell r="Q56" t="str">
            <v>x</v>
          </cell>
          <cell r="R56" t="str">
            <v>N/A</v>
          </cell>
          <cell r="U56" t="str">
            <v>HVAC System Improvements</v>
          </cell>
        </row>
        <row r="57">
          <cell r="B57" t="str">
            <v>Secondary Glazing Systems</v>
          </cell>
          <cell r="C57" t="str">
            <v>Retro</v>
          </cell>
          <cell r="D57" t="str">
            <v>Secondary Glazing Systems-Retro</v>
          </cell>
          <cell r="E57" t="str">
            <v>kWh per KSF BT</v>
          </cell>
          <cell r="F57" t="str">
            <v>Secondary Glazing Systems</v>
          </cell>
          <cell r="G57">
            <v>1</v>
          </cell>
          <cell r="H57" t="str">
            <v>Secondary Glazing Systems</v>
          </cell>
          <cell r="I57" t="str">
            <v>All</v>
          </cell>
          <cell r="L57" t="str">
            <v>CBSA 2014</v>
          </cell>
          <cell r="Q57" t="str">
            <v>x</v>
          </cell>
          <cell r="R57" t="str">
            <v>N/A</v>
          </cell>
          <cell r="U57" t="str">
            <v>Envelope</v>
          </cell>
        </row>
        <row r="58">
          <cell r="B58" t="str">
            <v>LPD Package</v>
          </cell>
          <cell r="C58" t="str">
            <v>New</v>
          </cell>
          <cell r="D58" t="str">
            <v>LPD Package-New</v>
          </cell>
          <cell r="E58" t="str">
            <v>kWh per KSF BT</v>
          </cell>
          <cell r="F58" t="str">
            <v>Lamp, ballast and fixture improvements to lighting power density</v>
          </cell>
          <cell r="G58">
            <v>8</v>
          </cell>
          <cell r="H58" t="str">
            <v>Lighting Power Density</v>
          </cell>
          <cell r="I58" t="str">
            <v>All</v>
          </cell>
          <cell r="L58" t="str">
            <v>CBSA 2014</v>
          </cell>
          <cell r="R58" t="str">
            <v>PRE/POST 2006</v>
          </cell>
          <cell r="U58" t="str">
            <v>Lamps/Ballasts/Fixtures</v>
          </cell>
        </row>
        <row r="59">
          <cell r="B59" t="str">
            <v>LPD Package</v>
          </cell>
          <cell r="C59" t="str">
            <v>NR</v>
          </cell>
          <cell r="D59" t="str">
            <v>LPD Package-NR</v>
          </cell>
          <cell r="E59" t="str">
            <v>kWh per KSF BT</v>
          </cell>
          <cell r="F59" t="str">
            <v>Lamp, ballast and fixture improvements to lighting power density</v>
          </cell>
          <cell r="G59">
            <v>12</v>
          </cell>
          <cell r="H59" t="str">
            <v>Lighting Power Density</v>
          </cell>
          <cell r="I59" t="str">
            <v>All</v>
          </cell>
          <cell r="L59" t="str">
            <v>CBSA 2014</v>
          </cell>
          <cell r="R59" t="str">
            <v>PRE/POST 2006</v>
          </cell>
          <cell r="U59" t="str">
            <v>Lamps/Ballasts/Fixtures</v>
          </cell>
        </row>
        <row r="60">
          <cell r="B60" t="str">
            <v>LPD Package</v>
          </cell>
          <cell r="C60" t="str">
            <v>Retro</v>
          </cell>
          <cell r="D60" t="str">
            <v>LPD Package-Retro</v>
          </cell>
          <cell r="E60" t="str">
            <v>kWh per KSF BT</v>
          </cell>
          <cell r="F60" t="str">
            <v>Lamp, ballast and fixture improvements to lighting power density</v>
          </cell>
          <cell r="G60">
            <v>22</v>
          </cell>
          <cell r="H60" t="str">
            <v>Lighting Power Density</v>
          </cell>
          <cell r="I60" t="str">
            <v>All</v>
          </cell>
          <cell r="L60" t="str">
            <v>CBSA 2014</v>
          </cell>
          <cell r="R60" t="str">
            <v>PRE/POST 2006</v>
          </cell>
          <cell r="U60" t="str">
            <v>Lamps/Ballasts/Fixtures</v>
          </cell>
        </row>
        <row r="61">
          <cell r="B61" t="str">
            <v>Top Daylighting</v>
          </cell>
          <cell r="C61" t="str">
            <v>New</v>
          </cell>
          <cell r="D61" t="str">
            <v>Top Daylighting-New</v>
          </cell>
          <cell r="E61" t="str">
            <v>kWh per KSF BT</v>
          </cell>
          <cell r="F61" t="str">
            <v>Skylights with lighting controls</v>
          </cell>
          <cell r="G61">
            <v>6</v>
          </cell>
          <cell r="H61" t="str">
            <v>Daylighting with Skylights</v>
          </cell>
          <cell r="I61" t="str">
            <v>All</v>
          </cell>
          <cell r="L61" t="str">
            <v>CBSA 2014</v>
          </cell>
          <cell r="R61" t="str">
            <v>POST 2006</v>
          </cell>
          <cell r="U61" t="str">
            <v>Lighting Controls</v>
          </cell>
        </row>
        <row r="62">
          <cell r="B62" t="str">
            <v>Perimeter Daylighting Controls Advanced</v>
          </cell>
          <cell r="C62" t="str">
            <v>New</v>
          </cell>
          <cell r="D62" t="str">
            <v>Perimeter Daylighting Controls Advanced-New</v>
          </cell>
          <cell r="E62" t="str">
            <v>kWh per KSF BT</v>
          </cell>
          <cell r="F62" t="str">
            <v>Perimeter daylighting controls</v>
          </cell>
          <cell r="G62">
            <v>6</v>
          </cell>
          <cell r="H62" t="str">
            <v>Daylighting with Windows</v>
          </cell>
          <cell r="I62" t="str">
            <v>All</v>
          </cell>
          <cell r="L62" t="str">
            <v>CBSA 2014</v>
          </cell>
          <cell r="R62" t="str">
            <v>PRE/POST 2006</v>
          </cell>
          <cell r="U62" t="str">
            <v>Lighting Controls</v>
          </cell>
        </row>
        <row r="63">
          <cell r="B63" t="str">
            <v>Perimeter Daylighting Controls Advanced</v>
          </cell>
          <cell r="C63" t="str">
            <v>NR</v>
          </cell>
          <cell r="D63" t="str">
            <v>Perimeter Daylighting Controls Advanced-NR</v>
          </cell>
          <cell r="E63" t="str">
            <v>kWh per KSF BT</v>
          </cell>
          <cell r="F63" t="str">
            <v>Perimeter daylighting controls</v>
          </cell>
          <cell r="G63">
            <v>6</v>
          </cell>
          <cell r="H63" t="str">
            <v>Daylighting with Windows</v>
          </cell>
          <cell r="I63" t="str">
            <v>All</v>
          </cell>
          <cell r="L63" t="str">
            <v>CBSA 2014</v>
          </cell>
          <cell r="R63" t="str">
            <v>PRE/POST 2006</v>
          </cell>
          <cell r="U63" t="str">
            <v>Lighting Controls</v>
          </cell>
        </row>
        <row r="64">
          <cell r="B64" t="str">
            <v>Lighting Controls Interior</v>
          </cell>
          <cell r="C64" t="str">
            <v>New</v>
          </cell>
          <cell r="D64" t="str">
            <v>Lighting Controls Interior-New</v>
          </cell>
          <cell r="E64" t="str">
            <v>kWh per KSF BT</v>
          </cell>
          <cell r="F64" t="str">
            <v>Occupancy controls for lighting areas not required by code such as warehouse aisle, classrooms</v>
          </cell>
          <cell r="G64">
            <v>6</v>
          </cell>
          <cell r="H64" t="str">
            <v>Lighting Controls Interior</v>
          </cell>
          <cell r="I64" t="str">
            <v>All</v>
          </cell>
          <cell r="L64" t="str">
            <v>CBSA 2014</v>
          </cell>
          <cell r="R64" t="str">
            <v>PRE/POST 2006</v>
          </cell>
          <cell r="U64" t="str">
            <v>Lighting Controls</v>
          </cell>
        </row>
        <row r="65">
          <cell r="B65" t="str">
            <v>Lighting Controls Interior</v>
          </cell>
          <cell r="C65" t="str">
            <v>NR</v>
          </cell>
          <cell r="D65" t="str">
            <v>Lighting Controls Interior-NR</v>
          </cell>
          <cell r="E65" t="str">
            <v>kWh per KSF BT</v>
          </cell>
          <cell r="F65" t="str">
            <v>Occupancy controls for lighting areas not required by code such as warehouse aisle, classrooms</v>
          </cell>
          <cell r="G65">
            <v>6</v>
          </cell>
          <cell r="H65" t="str">
            <v>Lighting Controls Interior</v>
          </cell>
          <cell r="I65" t="str">
            <v>All</v>
          </cell>
          <cell r="L65" t="str">
            <v>CBSA 2014</v>
          </cell>
          <cell r="R65" t="str">
            <v>PRE/POST 2006</v>
          </cell>
          <cell r="U65" t="str">
            <v>Lighting Controls</v>
          </cell>
        </row>
        <row r="66">
          <cell r="B66" t="str">
            <v>Exterior Building Lighting</v>
          </cell>
          <cell r="C66" t="str">
            <v>New</v>
          </cell>
          <cell r="D66" t="str">
            <v>Exterior Building Lighting-New</v>
          </cell>
          <cell r="E66" t="str">
            <v>kWh per KSF BT</v>
          </cell>
          <cell r="F66" t="str">
            <v>Effiicient façade, walkway, area and decorative exterior lighting, such as LED</v>
          </cell>
          <cell r="G66">
            <v>4</v>
          </cell>
          <cell r="H66" t="str">
            <v>Exterior Building Lighting</v>
          </cell>
          <cell r="I66" t="str">
            <v>All</v>
          </cell>
          <cell r="L66" t="str">
            <v>CBSA 2014</v>
          </cell>
          <cell r="U66" t="str">
            <v>Lamps/Ballasts/Fixtures</v>
          </cell>
        </row>
        <row r="67">
          <cell r="B67" t="str">
            <v>Exterior Building Lighting</v>
          </cell>
          <cell r="C67" t="str">
            <v>NR</v>
          </cell>
          <cell r="D67" t="str">
            <v>Exterior Building Lighting-NR</v>
          </cell>
          <cell r="E67" t="str">
            <v>kWh per KSF BT</v>
          </cell>
          <cell r="F67" t="str">
            <v>Effiicient façade, walkway, area and decorative exterior lighting, such as LED</v>
          </cell>
          <cell r="G67">
            <v>4</v>
          </cell>
          <cell r="H67" t="str">
            <v>Exterior Building Lighting</v>
          </cell>
          <cell r="I67" t="str">
            <v>All</v>
          </cell>
          <cell r="L67" t="str">
            <v>CBSA 2014</v>
          </cell>
          <cell r="R67" t="str">
            <v>N/A</v>
          </cell>
          <cell r="U67" t="str">
            <v>Lamps/Ballasts/Fixtures</v>
          </cell>
        </row>
        <row r="68">
          <cell r="B68" t="str">
            <v>Street and Roadway Lighting</v>
          </cell>
          <cell r="C68" t="str">
            <v>New</v>
          </cell>
          <cell r="D68" t="str">
            <v>Street and Roadway Lighting-New</v>
          </cell>
          <cell r="E68" t="str">
            <v>Count</v>
          </cell>
          <cell r="F68" t="str">
            <v>Efficient street and roadway lighting, LED and induction</v>
          </cell>
          <cell r="G68">
            <v>6</v>
          </cell>
          <cell r="H68" t="str">
            <v>Street and Roadway Lighting</v>
          </cell>
          <cell r="I68" t="str">
            <v>Non-Building</v>
          </cell>
          <cell r="L68" t="str">
            <v>Navigant 2014</v>
          </cell>
          <cell r="U68" t="str">
            <v>Lamps/Ballasts/Fixtures</v>
          </cell>
        </row>
        <row r="69">
          <cell r="B69" t="str">
            <v>Street and Roadway Lighting</v>
          </cell>
          <cell r="C69" t="str">
            <v>NR</v>
          </cell>
          <cell r="D69" t="str">
            <v>Street and Roadway Lighting-NR</v>
          </cell>
          <cell r="E69" t="str">
            <v>Count</v>
          </cell>
          <cell r="F69" t="str">
            <v>Efficient street and roadway lighting, LED and induction</v>
          </cell>
          <cell r="G69">
            <v>6</v>
          </cell>
          <cell r="H69" t="str">
            <v>Street and Roadway Lighting</v>
          </cell>
          <cell r="I69" t="str">
            <v>Non-Building</v>
          </cell>
          <cell r="L69" t="str">
            <v>Survey 2014</v>
          </cell>
          <cell r="R69" t="str">
            <v>N/A</v>
          </cell>
          <cell r="U69" t="str">
            <v>Lamps/Ballasts/Fixtures</v>
          </cell>
        </row>
        <row r="70">
          <cell r="B70" t="str">
            <v>Parking Lighting</v>
          </cell>
          <cell r="C70" t="str">
            <v>New</v>
          </cell>
          <cell r="D70" t="str">
            <v>Parking Lighting-New</v>
          </cell>
          <cell r="E70" t="str">
            <v>kWh per KSF BT</v>
          </cell>
          <cell r="F70" t="str">
            <v>Efficient parking lot and garage lighting and controls</v>
          </cell>
          <cell r="G70">
            <v>2</v>
          </cell>
          <cell r="H70" t="str">
            <v>Parking Lighting</v>
          </cell>
          <cell r="I70" t="str">
            <v>All</v>
          </cell>
          <cell r="L70" t="str">
            <v>CBSA 2014</v>
          </cell>
          <cell r="U70" t="str">
            <v>Lamps/Ballasts/Fixtures</v>
          </cell>
          <cell r="V70" t="str">
            <v>Lamps/Ballasts/Fixtures w/Controls</v>
          </cell>
        </row>
        <row r="71">
          <cell r="B71" t="str">
            <v>Parking Lighting</v>
          </cell>
          <cell r="C71" t="str">
            <v>NR</v>
          </cell>
          <cell r="D71" t="str">
            <v>Parking Lighting-NR</v>
          </cell>
          <cell r="E71" t="str">
            <v>kWh per KSF BT</v>
          </cell>
          <cell r="F71" t="str">
            <v>Efficient parking lot and garage lighting and controls</v>
          </cell>
          <cell r="G71">
            <v>2</v>
          </cell>
          <cell r="H71" t="str">
            <v>Parking Lighting</v>
          </cell>
          <cell r="I71" t="str">
            <v>All</v>
          </cell>
          <cell r="L71" t="str">
            <v>CBSA 2014</v>
          </cell>
          <cell r="R71" t="str">
            <v>N/A</v>
          </cell>
          <cell r="U71" t="str">
            <v>Lamps/Ballasts/Fixtures</v>
          </cell>
          <cell r="V71" t="str">
            <v>Lamps/Ballasts/Fixtures w/Controls</v>
          </cell>
        </row>
        <row r="72">
          <cell r="B72" t="str">
            <v>Bi-Level Stairwell Lighting</v>
          </cell>
          <cell r="C72" t="str">
            <v>NR</v>
          </cell>
          <cell r="D72" t="str">
            <v>Bi-Level Stairwell Lighting-NR</v>
          </cell>
          <cell r="E72" t="str">
            <v>kWh per KSF BT</v>
          </cell>
          <cell r="F72" t="str">
            <v xml:space="preserve">Bi-Level occupancy sensor control on stairwell </v>
          </cell>
          <cell r="G72">
            <v>1</v>
          </cell>
          <cell r="H72" t="str">
            <v>Bi-Level Stairwell</v>
          </cell>
          <cell r="I72" t="str">
            <v>All</v>
          </cell>
          <cell r="L72" t="str">
            <v>CBSA 2014</v>
          </cell>
          <cell r="R72" t="str">
            <v>N/A</v>
          </cell>
          <cell r="U72" t="str">
            <v>Lighting Controls</v>
          </cell>
        </row>
        <row r="73">
          <cell r="B73" t="str">
            <v>ECM-VAV</v>
          </cell>
          <cell r="C73" t="str">
            <v>New</v>
          </cell>
          <cell r="D73" t="str">
            <v>ECM-VAV-New</v>
          </cell>
          <cell r="E73" t="str">
            <v>kWh per KSF BT</v>
          </cell>
          <cell r="F73" t="str">
            <v>Electically Commutated Motors on Variable Air Volume Boxes</v>
          </cell>
          <cell r="G73">
            <v>1</v>
          </cell>
          <cell r="H73" t="str">
            <v>ECM Motors on Variable Air Volume Boxes</v>
          </cell>
          <cell r="I73" t="str">
            <v>All</v>
          </cell>
          <cell r="L73" t="str">
            <v>CBSA 2014</v>
          </cell>
          <cell r="R73" t="str">
            <v>PRE/POST 2006</v>
          </cell>
          <cell r="U73" t="str">
            <v>Motors</v>
          </cell>
        </row>
        <row r="74">
          <cell r="B74" t="str">
            <v>ECM-VAV</v>
          </cell>
          <cell r="C74" t="str">
            <v>NR</v>
          </cell>
          <cell r="D74" t="str">
            <v>ECM-VAV-NR</v>
          </cell>
          <cell r="E74" t="str">
            <v>kWh per KSF BT</v>
          </cell>
          <cell r="F74" t="str">
            <v>Electically Commutated Motors on Variable Air Volume Boxes</v>
          </cell>
          <cell r="G74">
            <v>1</v>
          </cell>
          <cell r="H74" t="str">
            <v>ECM Motors on Variable Air Volume Boxes</v>
          </cell>
          <cell r="I74" t="str">
            <v>All</v>
          </cell>
          <cell r="L74" t="str">
            <v>CBSA 2014</v>
          </cell>
          <cell r="R74" t="str">
            <v>PRE/POST 2006</v>
          </cell>
          <cell r="U74" t="str">
            <v>Motors</v>
          </cell>
        </row>
        <row r="75">
          <cell r="B75" t="str">
            <v>Pool pumps</v>
          </cell>
          <cell r="C75" t="str">
            <v>Retro</v>
          </cell>
          <cell r="D75" t="str">
            <v>Pool pumps-Retro</v>
          </cell>
          <cell r="E75" t="str">
            <v>Count</v>
          </cell>
          <cell r="F75" t="str">
            <v>Pool pumps</v>
          </cell>
          <cell r="G75">
            <v>1</v>
          </cell>
          <cell r="H75" t="str">
            <v>Pool pumps</v>
          </cell>
          <cell r="I75" t="str">
            <v>Some</v>
          </cell>
          <cell r="L75" t="str">
            <v>CBSA 2014</v>
          </cell>
          <cell r="Q75" t="str">
            <v>x</v>
          </cell>
          <cell r="R75" t="str">
            <v>N/A</v>
          </cell>
          <cell r="U75" t="str">
            <v>Pool System Improvements</v>
          </cell>
        </row>
        <row r="76">
          <cell r="B76" t="str">
            <v>MotorsRewind</v>
          </cell>
          <cell r="C76" t="str">
            <v>New</v>
          </cell>
          <cell r="D76" t="str">
            <v>MotorsRewind-New</v>
          </cell>
          <cell r="E76" t="str">
            <v>Count</v>
          </cell>
          <cell r="F76" t="str">
            <v>Motors - Rewind</v>
          </cell>
          <cell r="G76">
            <v>1</v>
          </cell>
          <cell r="H76" t="str">
            <v>Motors - Rewind</v>
          </cell>
          <cell r="I76" t="str">
            <v>All</v>
          </cell>
          <cell r="L76" t="str">
            <v>CBSA 2014</v>
          </cell>
          <cell r="Q76" t="str">
            <v>x</v>
          </cell>
          <cell r="R76" t="str">
            <v>N/A</v>
          </cell>
          <cell r="U76" t="str">
            <v>Motors</v>
          </cell>
        </row>
        <row r="77">
          <cell r="B77" t="str">
            <v>MotorsRewind</v>
          </cell>
          <cell r="C77" t="str">
            <v>NR</v>
          </cell>
          <cell r="D77" t="str">
            <v>MotorsRewind-NR</v>
          </cell>
          <cell r="E77" t="str">
            <v>Count</v>
          </cell>
          <cell r="F77" t="str">
            <v>Motors - Rewind</v>
          </cell>
          <cell r="G77">
            <v>1</v>
          </cell>
          <cell r="H77" t="str">
            <v>Motors - Rewind</v>
          </cell>
          <cell r="I77" t="str">
            <v>All</v>
          </cell>
          <cell r="L77" t="str">
            <v>CBSA 2014</v>
          </cell>
          <cell r="Q77" t="str">
            <v>x</v>
          </cell>
          <cell r="R77" t="str">
            <v>N/A</v>
          </cell>
          <cell r="U77" t="str">
            <v>Motors</v>
          </cell>
        </row>
        <row r="78">
          <cell r="B78" t="str">
            <v>Municipal Sewage Treatment</v>
          </cell>
          <cell r="C78" t="str">
            <v>Retro</v>
          </cell>
          <cell r="D78" t="str">
            <v>Municipal Sewage Treatment-Retro</v>
          </cell>
          <cell r="E78" t="str">
            <v>MGD Flow</v>
          </cell>
          <cell r="F78" t="str">
            <v>Suite of measures for sewage treatment</v>
          </cell>
          <cell r="G78">
            <v>10</v>
          </cell>
          <cell r="H78" t="str">
            <v>Municipal Sewage Treatment</v>
          </cell>
          <cell r="I78" t="str">
            <v>Non-Building</v>
          </cell>
          <cell r="J78" t="str">
            <v>BACGEN</v>
          </cell>
          <cell r="L78" t="str">
            <v>2013 EPA Flow rates</v>
          </cell>
          <cell r="M78" t="str">
            <v>Achievements</v>
          </cell>
          <cell r="O78" t="str">
            <v>6P+ETO data</v>
          </cell>
          <cell r="R78" t="str">
            <v>N/A</v>
          </cell>
          <cell r="S78" t="str">
            <v>V1</v>
          </cell>
          <cell r="T78" t="str">
            <v>More data coming from NEEA</v>
          </cell>
          <cell r="U78" t="str">
            <v>Process Loads System Improvements</v>
          </cell>
        </row>
        <row r="79">
          <cell r="B79" t="str">
            <v>Municipal Water Supply</v>
          </cell>
          <cell r="C79" t="str">
            <v>Retro</v>
          </cell>
          <cell r="D79" t="str">
            <v>Municipal Water Supply-Retro</v>
          </cell>
          <cell r="E79" t="str">
            <v>MGD Flow</v>
          </cell>
          <cell r="F79" t="str">
            <v>Suite of measures for water supply systems</v>
          </cell>
          <cell r="G79">
            <v>5</v>
          </cell>
          <cell r="H79" t="str">
            <v>Municipal Water Supply</v>
          </cell>
          <cell r="I79" t="str">
            <v>Non-Building</v>
          </cell>
          <cell r="J79" t="str">
            <v>BACGEN</v>
          </cell>
          <cell r="L79" t="str">
            <v>2013 EPA Flow rates</v>
          </cell>
          <cell r="M79" t="str">
            <v>Achievements</v>
          </cell>
          <cell r="O79" t="str">
            <v>6P+ETO data</v>
          </cell>
          <cell r="R79" t="str">
            <v>N/A</v>
          </cell>
          <cell r="S79" t="str">
            <v>V1</v>
          </cell>
          <cell r="T79" t="str">
            <v>More data coming from NEEA</v>
          </cell>
          <cell r="U79" t="str">
            <v>Process Loads System Improvements</v>
          </cell>
        </row>
        <row r="80">
          <cell r="B80" t="str">
            <v>Engine Generator Block Heaters</v>
          </cell>
          <cell r="C80" t="str">
            <v>Retro</v>
          </cell>
          <cell r="D80" t="str">
            <v>Engine Generator Block Heaters-Retro</v>
          </cell>
          <cell r="E80" t="str">
            <v>Count</v>
          </cell>
          <cell r="F80" t="str">
            <v>Engine Generator Block Heaters (for standby generators)</v>
          </cell>
          <cell r="G80">
            <v>1</v>
          </cell>
          <cell r="H80" t="str">
            <v>Engine Generator Block Heaters</v>
          </cell>
          <cell r="I80" t="str">
            <v>All</v>
          </cell>
          <cell r="L80" t="str">
            <v>No Control</v>
          </cell>
          <cell r="Q80" t="str">
            <v>x</v>
          </cell>
          <cell r="R80" t="str">
            <v>N/A</v>
          </cell>
          <cell r="U80" t="str">
            <v>Process Loads System Controls</v>
          </cell>
        </row>
        <row r="81">
          <cell r="B81" t="str">
            <v>Grocery Refrigeration Bundle</v>
          </cell>
          <cell r="C81" t="str">
            <v>Retro</v>
          </cell>
          <cell r="D81" t="str">
            <v>Grocery Refrigeration Bundle-Retro</v>
          </cell>
          <cell r="E81" t="str">
            <v>kWh per KSF BT</v>
          </cell>
          <cell r="F81" t="str">
            <v>Grocery store refrigeration measures</v>
          </cell>
          <cell r="G81">
            <v>12</v>
          </cell>
          <cell r="H81" t="str">
            <v>Grocery Refrigeration Bundle</v>
          </cell>
          <cell r="I81" t="str">
            <v>Grocery</v>
          </cell>
          <cell r="L81" t="str">
            <v>CBSA 2014</v>
          </cell>
          <cell r="R81" t="str">
            <v>N/A</v>
          </cell>
          <cell r="U81" t="str">
            <v>Refrigeration System Improvements</v>
          </cell>
        </row>
        <row r="82">
          <cell r="B82" t="str">
            <v>Packaged Refrigeration Equipment</v>
          </cell>
          <cell r="C82" t="str">
            <v>New</v>
          </cell>
          <cell r="D82" t="str">
            <v>Packaged Refrigeration Equipment-New</v>
          </cell>
          <cell r="E82" t="str">
            <v>Count</v>
          </cell>
          <cell r="F82" t="str">
            <v>Efficient refrigerators and freezers, beverage merchandizers, ice makers and vending machines</v>
          </cell>
          <cell r="G82">
            <v>20</v>
          </cell>
          <cell r="H82" t="str">
            <v>Packaged Refrigeration Equipment</v>
          </cell>
          <cell r="I82" t="str">
            <v>Grocery</v>
          </cell>
          <cell r="L82" t="str">
            <v>CBSA 2014</v>
          </cell>
          <cell r="R82" t="str">
            <v>N/A</v>
          </cell>
          <cell r="U82" t="str">
            <v>Packaged Refrigeration</v>
          </cell>
        </row>
        <row r="83">
          <cell r="B83" t="str">
            <v>Appliances - Freezers</v>
          </cell>
          <cell r="C83" t="str">
            <v>NR</v>
          </cell>
          <cell r="D83" t="str">
            <v>Appliances - Freezers-NR</v>
          </cell>
          <cell r="E83" t="str">
            <v>Count</v>
          </cell>
          <cell r="F83" t="str">
            <v>Residential freezers in commercial buildings</v>
          </cell>
          <cell r="G83">
            <v>1</v>
          </cell>
          <cell r="H83" t="str">
            <v>Appliances - Freezers</v>
          </cell>
          <cell r="I83" t="str">
            <v>All</v>
          </cell>
          <cell r="L83" t="str">
            <v>Fed Std 2014</v>
          </cell>
          <cell r="Q83" t="str">
            <v>x</v>
          </cell>
          <cell r="R83" t="str">
            <v>N/A</v>
          </cell>
          <cell r="U83" t="str">
            <v>Refrigeration System Improvements</v>
          </cell>
        </row>
        <row r="84">
          <cell r="B84" t="str">
            <v>Appliances - Refrigerators</v>
          </cell>
          <cell r="C84" t="str">
            <v>NR</v>
          </cell>
          <cell r="D84" t="str">
            <v>Appliances - Refrigerators-NR</v>
          </cell>
          <cell r="E84" t="str">
            <v>Count</v>
          </cell>
          <cell r="F84" t="str">
            <v>Residential refrigerators in commercial buildings</v>
          </cell>
          <cell r="G84">
            <v>1</v>
          </cell>
          <cell r="H84" t="str">
            <v>Appliances - Refrigerators</v>
          </cell>
          <cell r="I84" t="str">
            <v>All</v>
          </cell>
          <cell r="L84" t="str">
            <v>Fed Std 2014</v>
          </cell>
          <cell r="Q84" t="str">
            <v>x</v>
          </cell>
          <cell r="R84" t="str">
            <v>N/A</v>
          </cell>
          <cell r="U84" t="str">
            <v>Refrigeration System Improvements</v>
          </cell>
        </row>
        <row r="85">
          <cell r="B85" t="str">
            <v>Water Cooler Controls</v>
          </cell>
          <cell r="C85" t="str">
            <v>NR</v>
          </cell>
          <cell r="D85" t="str">
            <v>Water Cooler Controls-NR</v>
          </cell>
          <cell r="E85" t="str">
            <v>Count</v>
          </cell>
          <cell r="F85" t="str">
            <v>Water Cooler Controls</v>
          </cell>
          <cell r="G85">
            <v>1</v>
          </cell>
          <cell r="H85" t="str">
            <v>Water Cooler Controls</v>
          </cell>
          <cell r="I85" t="str">
            <v>Some</v>
          </cell>
          <cell r="L85" t="str">
            <v>Uncontrolled</v>
          </cell>
          <cell r="Q85" t="str">
            <v>x</v>
          </cell>
          <cell r="R85" t="str">
            <v>N/A</v>
          </cell>
          <cell r="U85" t="str">
            <v>Refrigeration System Controls</v>
          </cell>
        </row>
        <row r="86">
          <cell r="B86" t="str">
            <v>WHTanks</v>
          </cell>
          <cell r="C86" t="str">
            <v>New</v>
          </cell>
          <cell r="D86" t="str">
            <v>WHTanks-New</v>
          </cell>
          <cell r="E86" t="str">
            <v>Count</v>
          </cell>
          <cell r="F86" t="str">
            <v>Clotheswashers more efficient than federal standard</v>
          </cell>
          <cell r="H86" t="str">
            <v>DHW - Efficient Tanks</v>
          </cell>
          <cell r="I86" t="str">
            <v>Some</v>
          </cell>
          <cell r="L86" t="str">
            <v>CBSA 2014</v>
          </cell>
          <cell r="R86" t="str">
            <v>N/A</v>
          </cell>
          <cell r="U86" t="str">
            <v>Water Using Devices</v>
          </cell>
        </row>
        <row r="87">
          <cell r="B87" t="str">
            <v>WHTanks</v>
          </cell>
          <cell r="C87" t="str">
            <v>NR</v>
          </cell>
          <cell r="D87" t="str">
            <v>WHTanks-NR</v>
          </cell>
          <cell r="E87" t="str">
            <v>Count</v>
          </cell>
          <cell r="F87" t="str">
            <v>Efficient Residential water heaters in commercial buildings</v>
          </cell>
          <cell r="G87">
            <v>1</v>
          </cell>
          <cell r="H87" t="str">
            <v>DHW - Efficient Tanks</v>
          </cell>
          <cell r="I87" t="str">
            <v>All</v>
          </cell>
          <cell r="L87" t="str">
            <v>CBSA 2014</v>
          </cell>
          <cell r="Q87" t="str">
            <v>x</v>
          </cell>
          <cell r="R87" t="str">
            <v>N/A</v>
          </cell>
          <cell r="U87" t="str">
            <v>Water Heaters</v>
          </cell>
        </row>
        <row r="88">
          <cell r="B88" t="str">
            <v>Appliances - Clothes Washers</v>
          </cell>
          <cell r="C88" t="str">
            <v>NR</v>
          </cell>
          <cell r="D88" t="str">
            <v>Appliances - Clothes Washers-NR</v>
          </cell>
          <cell r="E88" t="str">
            <v>Count</v>
          </cell>
          <cell r="F88" t="str">
            <v>Efficient residential clothes washers in commercial buildings</v>
          </cell>
          <cell r="G88">
            <v>1</v>
          </cell>
          <cell r="H88" t="str">
            <v>Appliances - Clothes Washers</v>
          </cell>
          <cell r="I88" t="str">
            <v>Some</v>
          </cell>
          <cell r="L88" t="str">
            <v>CBSA 2014</v>
          </cell>
          <cell r="Q88" t="str">
            <v>x</v>
          </cell>
          <cell r="R88" t="str">
            <v>N/A</v>
          </cell>
          <cell r="U88" t="str">
            <v>Water Using Devices</v>
          </cell>
        </row>
        <row r="89">
          <cell r="B89" t="str">
            <v>Showerheads</v>
          </cell>
          <cell r="C89" t="str">
            <v>Retro</v>
          </cell>
          <cell r="D89" t="str">
            <v>Showerheads-Retro</v>
          </cell>
          <cell r="E89" t="str">
            <v>Count</v>
          </cell>
          <cell r="F89" t="str">
            <v>Efficient showerheads</v>
          </cell>
          <cell r="G89">
            <v>1</v>
          </cell>
          <cell r="H89" t="str">
            <v>DHW - Showerheads</v>
          </cell>
          <cell r="I89" t="str">
            <v>Some</v>
          </cell>
          <cell r="L89" t="str">
            <v>2.5 GPM</v>
          </cell>
          <cell r="Q89" t="str">
            <v>x</v>
          </cell>
          <cell r="R89" t="str">
            <v>N/A</v>
          </cell>
          <cell r="U89" t="str">
            <v>Water Using Devices</v>
          </cell>
        </row>
        <row r="90">
          <cell r="B90" t="str">
            <v>Water Heating - GFHX</v>
          </cell>
          <cell r="C90" t="str">
            <v>New</v>
          </cell>
          <cell r="D90" t="str">
            <v>Water Heating - GFHX-New</v>
          </cell>
          <cell r="E90" t="str">
            <v>Count</v>
          </cell>
          <cell r="F90" t="str">
            <v>Drain water heat recovery in new mulitfaimly applications</v>
          </cell>
          <cell r="G90">
            <v>1</v>
          </cell>
          <cell r="H90" t="str">
            <v>Water Heating - GFHX</v>
          </cell>
          <cell r="I90" t="str">
            <v>All</v>
          </cell>
          <cell r="L90" t="str">
            <v>No Heat Recovery</v>
          </cell>
          <cell r="Q90" t="str">
            <v>x</v>
          </cell>
          <cell r="R90" t="str">
            <v>N/A</v>
          </cell>
          <cell r="U90" t="str">
            <v>Water Using Devices</v>
          </cell>
        </row>
        <row r="91">
          <cell r="B91" t="str">
            <v>Demand Control Circulating system DHW</v>
          </cell>
          <cell r="C91" t="str">
            <v>Retro</v>
          </cell>
          <cell r="D91" t="str">
            <v>Demand Control Circulating system DHW-Retro</v>
          </cell>
          <cell r="E91" t="str">
            <v>kWh per KSF BT</v>
          </cell>
          <cell r="F91" t="str">
            <v>Demand Control Circulating system DHW</v>
          </cell>
          <cell r="G91">
            <v>1</v>
          </cell>
          <cell r="H91" t="str">
            <v>Demand Control Circulating system DHW</v>
          </cell>
          <cell r="I91" t="str">
            <v>Some</v>
          </cell>
          <cell r="L91" t="str">
            <v>CBSA 2014</v>
          </cell>
          <cell r="Q91" t="str">
            <v>x</v>
          </cell>
          <cell r="R91" t="str">
            <v>N/A</v>
          </cell>
          <cell r="U91" t="str">
            <v>Water Using Devices</v>
          </cell>
        </row>
        <row r="92">
          <cell r="B92" t="str">
            <v>Central HPWH MF</v>
          </cell>
          <cell r="C92" t="str">
            <v>Retro</v>
          </cell>
          <cell r="D92" t="str">
            <v>Central HPWH MF-Retro</v>
          </cell>
          <cell r="E92" t="str">
            <v>Count</v>
          </cell>
          <cell r="F92" t="str">
            <v>Central HPWH MF</v>
          </cell>
          <cell r="G92">
            <v>1</v>
          </cell>
          <cell r="H92" t="str">
            <v>Central HPWH MF</v>
          </cell>
          <cell r="I92" t="str">
            <v>Multifamily</v>
          </cell>
          <cell r="L92" t="str">
            <v>CBSA 2014</v>
          </cell>
          <cell r="Q92" t="str">
            <v>x</v>
          </cell>
          <cell r="R92" t="str">
            <v>N/A</v>
          </cell>
          <cell r="U92" t="str">
            <v>Water Heaters</v>
          </cell>
        </row>
        <row r="93">
          <cell r="B93" t="str">
            <v>Ultra Low Energy Building</v>
          </cell>
          <cell r="C93" t="str">
            <v>New</v>
          </cell>
          <cell r="D93" t="str">
            <v>Ultra Low Energy Building-New</v>
          </cell>
          <cell r="E93" t="str">
            <v>kWh per KSF BT</v>
          </cell>
          <cell r="F93" t="str">
            <v>Multiple measures applied in integrated design practice</v>
          </cell>
          <cell r="G93">
            <v>13</v>
          </cell>
          <cell r="H93" t="str">
            <v>Ultra Low Energy Building</v>
          </cell>
          <cell r="I93" t="str">
            <v>Some</v>
          </cell>
          <cell r="L93" t="str">
            <v>Code</v>
          </cell>
          <cell r="R93" t="str">
            <v>POST2006</v>
          </cell>
          <cell r="U93" t="str">
            <v>Whole Bldg/Meter Level System Improvements</v>
          </cell>
        </row>
        <row r="94">
          <cell r="B94" t="str">
            <v>Low Power LF Lamps</v>
          </cell>
          <cell r="C94" t="str">
            <v>NR</v>
          </cell>
          <cell r="D94" t="str">
            <v>Low Power LF Lamps-NR</v>
          </cell>
          <cell r="E94" t="str">
            <v>lamp</v>
          </cell>
          <cell r="F94" t="str">
            <v>Shift mix of 32W, 28W and 25W lamps towards low watt lamps</v>
          </cell>
          <cell r="G94">
            <v>2</v>
          </cell>
          <cell r="H94" t="str">
            <v>High Performance Low Power Fluorescent Lamps</v>
          </cell>
          <cell r="I94" t="str">
            <v>All</v>
          </cell>
          <cell r="L94" t="str">
            <v>Federal GSFL 2014</v>
          </cell>
          <cell r="Q94" t="str">
            <v>x</v>
          </cell>
          <cell r="R94" t="str">
            <v>N/A</v>
          </cell>
          <cell r="U94" t="str">
            <v>Lamps/Ballasts/Fixtures</v>
          </cell>
        </row>
        <row r="112">
          <cell r="B112" t="str">
            <v>Category_Name</v>
          </cell>
          <cell r="C112" t="str">
            <v>TAP_Name</v>
          </cell>
        </row>
        <row r="113">
          <cell r="B113" t="str">
            <v>Compressed Air System Controls</v>
          </cell>
          <cell r="C113" t="str">
            <v>Compressed Air Control Improvements (non-VFD)</v>
          </cell>
        </row>
        <row r="114">
          <cell r="B114" t="str">
            <v>Compressed Air System Improvements</v>
          </cell>
          <cell r="C114" t="str">
            <v>Compressed Air Control Improvements (VFD)</v>
          </cell>
        </row>
        <row r="115">
          <cell r="B115" t="str">
            <v>Computer Technologies</v>
          </cell>
          <cell r="C115" t="str">
            <v>Compressed Air System Compressor Improvements (non-VFD)</v>
          </cell>
        </row>
        <row r="116">
          <cell r="B116" t="str">
            <v>Cooking</v>
          </cell>
          <cell r="C116" t="str">
            <v>Compressed Air System Compressor Improvements (VFD)</v>
          </cell>
        </row>
        <row r="117">
          <cell r="B117" t="str">
            <v>Delamping</v>
          </cell>
          <cell r="C117" t="str">
            <v>Compressed Air System Demand Side Improvements</v>
          </cell>
        </row>
        <row r="118">
          <cell r="B118" t="str">
            <v>Elevators</v>
          </cell>
          <cell r="C118" t="str">
            <v>Compressed Air System Dryer Improvements</v>
          </cell>
        </row>
        <row r="119">
          <cell r="B119" t="str">
            <v>Envelope</v>
          </cell>
          <cell r="C119" t="str">
            <v>Compressed Air System Regulation Improvements</v>
          </cell>
        </row>
      </sheetData>
      <sheetData sheetId="2">
        <row r="4">
          <cell r="H4">
            <v>2035</v>
          </cell>
        </row>
        <row r="11">
          <cell r="B11" t="str">
            <v>Measure Index Name</v>
          </cell>
          <cell r="C11" t="str">
            <v>File Link</v>
          </cell>
          <cell r="D11" t="str">
            <v>Supply Curve Worksheet</v>
          </cell>
          <cell r="E11" t="str">
            <v>Lost Opp</v>
          </cell>
          <cell r="F11" t="str">
            <v>Descriptive Name</v>
          </cell>
          <cell r="G11" t="str">
            <v>Most Recent Substantive Update</v>
          </cell>
          <cell r="H11" t="str">
            <v>Cumulative Technically  Achievable Savings in 2035 in MWa</v>
          </cell>
          <cell r="I11" t="str">
            <v>aMW in New Building Non Plug Load</v>
          </cell>
          <cell r="K11" t="str">
            <v>Comparable Estimate for 6th Plan (Pasted Values)</v>
          </cell>
          <cell r="L11" t="str">
            <v>Final Check for Draft Plan</v>
          </cell>
          <cell r="O11" t="str">
            <v>Analyst</v>
          </cell>
          <cell r="P11" t="str">
            <v>Comments Reviewed &amp; Updates Complete</v>
          </cell>
          <cell r="Q11" t="str">
            <v>Run ProCost with Final Inputs (Gas)</v>
          </cell>
          <cell r="R11" t="str">
            <v>Check/Repair RPM Links</v>
          </cell>
          <cell r="S11" t="str">
            <v>SC Curve to Auto High/Low Forecast</v>
          </cell>
          <cell r="T11" t="str">
            <v>SC Curve measure references linked to MList</v>
          </cell>
          <cell r="U11" t="str">
            <v>Check Linked Files and Range Names.  Correct link to ComMaster</v>
          </cell>
        </row>
        <row r="12">
          <cell r="B12" t="str">
            <v>Compressed Air-Retro</v>
          </cell>
          <cell r="C12" t="str">
            <v>COM-CompressedAir-7P_V2.xlsm</v>
          </cell>
          <cell r="F12" t="str">
            <v>Compressed Air Controls</v>
          </cell>
          <cell r="H12">
            <v>3.2238288305372076</v>
          </cell>
          <cell r="I12">
            <v>0</v>
          </cell>
          <cell r="K12" t="str">
            <v/>
          </cell>
          <cell r="O12" t="str">
            <v>ks</v>
          </cell>
        </row>
        <row r="13">
          <cell r="B13" t="str">
            <v>Compressed Air-NR</v>
          </cell>
          <cell r="C13" t="str">
            <v>COM-CompressedAir-7P_V2.xlsm</v>
          </cell>
          <cell r="F13" t="str">
            <v>Compressed Air Improvements</v>
          </cell>
          <cell r="H13">
            <v>1.0195557332307676</v>
          </cell>
          <cell r="I13">
            <v>0</v>
          </cell>
          <cell r="K13" t="str">
            <v/>
          </cell>
          <cell r="O13" t="str">
            <v>ks</v>
          </cell>
        </row>
        <row r="14">
          <cell r="B14" t="str">
            <v>Network PC Power Management-Retro</v>
          </cell>
          <cell r="C14" t="str">
            <v>dropped for 7p</v>
          </cell>
          <cell r="F14" t="str">
            <v>Network PC Power Management</v>
          </cell>
          <cell r="K14">
            <v>72.717466539008427</v>
          </cell>
        </row>
        <row r="15">
          <cell r="B15" t="str">
            <v>Laptop-NR</v>
          </cell>
          <cell r="C15" t="str">
            <v>COM-Computers-7P_V1.xlsx</v>
          </cell>
          <cell r="F15" t="str">
            <v>ENERGY STAR Laptops</v>
          </cell>
          <cell r="H15">
            <v>3.9941361655064203</v>
          </cell>
          <cell r="I15">
            <v>0</v>
          </cell>
          <cell r="K15">
            <v>129.97956115621164</v>
          </cell>
          <cell r="O15" t="str">
            <v>tj</v>
          </cell>
        </row>
        <row r="16">
          <cell r="B16" t="str">
            <v>Smart Plug Power Strips-Retro</v>
          </cell>
          <cell r="C16" t="str">
            <v>COM-Powerstrips-7P_v3.xlsm</v>
          </cell>
          <cell r="F16" t="str">
            <v>Smart Plug Power Strips</v>
          </cell>
          <cell r="H16">
            <v>46.672185845920254</v>
          </cell>
          <cell r="I16">
            <v>0</v>
          </cell>
          <cell r="K16" t="str">
            <v/>
          </cell>
          <cell r="O16" t="str">
            <v>ks</v>
          </cell>
        </row>
        <row r="17">
          <cell r="B17" t="str">
            <v>Data Centers-NR</v>
          </cell>
          <cell r="C17" t="str">
            <v>Com-DataCenters-7P_V4.xlsx</v>
          </cell>
          <cell r="F17" t="str">
            <v>Data Centers</v>
          </cell>
          <cell r="G17">
            <v>42057</v>
          </cell>
          <cell r="H17">
            <v>261.31837015129264</v>
          </cell>
          <cell r="I17">
            <v>0</v>
          </cell>
          <cell r="K17" t="str">
            <v/>
          </cell>
          <cell r="O17" t="str">
            <v>cg</v>
          </cell>
          <cell r="R17">
            <v>42069</v>
          </cell>
          <cell r="T17">
            <v>42069</v>
          </cell>
        </row>
        <row r="18">
          <cell r="B18" t="str">
            <v>Monitor-NR</v>
          </cell>
          <cell r="C18" t="str">
            <v>COM-Computers-7P_V1.xlsx</v>
          </cell>
          <cell r="F18" t="str">
            <v>ENERGY STAR Monitor</v>
          </cell>
          <cell r="H18">
            <v>24.336936136177435</v>
          </cell>
          <cell r="I18">
            <v>0</v>
          </cell>
          <cell r="K18" t="str">
            <v/>
          </cell>
          <cell r="O18" t="str">
            <v>tj</v>
          </cell>
        </row>
        <row r="19">
          <cell r="B19" t="str">
            <v>Desktop-NR</v>
          </cell>
          <cell r="C19" t="str">
            <v>COM-Computers-7P_V1.xlsx</v>
          </cell>
          <cell r="F19" t="str">
            <v>ENERGY STAR Desktop</v>
          </cell>
          <cell r="H19">
            <v>55.8193241357245</v>
          </cell>
          <cell r="I19">
            <v>0</v>
          </cell>
          <cell r="K19" t="str">
            <v/>
          </cell>
          <cell r="O19" t="str">
            <v>tj</v>
          </cell>
        </row>
        <row r="20">
          <cell r="B20" t="str">
            <v>Pre-Rinse Spray Valve-Retro</v>
          </cell>
          <cell r="C20" t="str">
            <v>COM-PreRinseSpray-7P_V2.xlsm</v>
          </cell>
          <cell r="F20" t="str">
            <v>Pre-Rinse Spray Valve</v>
          </cell>
          <cell r="H20">
            <v>0.97671631632425404</v>
          </cell>
          <cell r="I20">
            <v>0</v>
          </cell>
          <cell r="K20">
            <v>1.8020364840570837</v>
          </cell>
          <cell r="O20" t="str">
            <v>ks</v>
          </cell>
        </row>
        <row r="21">
          <cell r="B21" t="str">
            <v>Cooking Equipment-NR</v>
          </cell>
          <cell r="C21" t="str">
            <v>COM-Cooking-7P_V4.xlsm</v>
          </cell>
          <cell r="F21" t="str">
            <v>Cooking Equipment</v>
          </cell>
          <cell r="H21">
            <v>66.300435443908256</v>
          </cell>
          <cell r="I21">
            <v>0</v>
          </cell>
          <cell r="K21">
            <v>31.83672767383753</v>
          </cell>
          <cell r="O21" t="str">
            <v>ks</v>
          </cell>
        </row>
        <row r="22">
          <cell r="B22" t="str">
            <v>Premium HVAC Equipment-New</v>
          </cell>
          <cell r="C22" t="str">
            <v>dropped for 7p Stds</v>
          </cell>
          <cell r="F22" t="str">
            <v>Premium HVAC Equipment</v>
          </cell>
          <cell r="H22">
            <v>0</v>
          </cell>
          <cell r="K22">
            <v>7.3598915362035227</v>
          </cell>
        </row>
        <row r="23">
          <cell r="B23" t="str">
            <v>Premium HVAC Equipment-NR</v>
          </cell>
          <cell r="C23" t="str">
            <v>dropped for 7p Stds</v>
          </cell>
          <cell r="F23" t="str">
            <v>Premium HVAC Equipment</v>
          </cell>
          <cell r="H23">
            <v>0</v>
          </cell>
          <cell r="K23">
            <v>28.437885955279242</v>
          </cell>
        </row>
        <row r="24">
          <cell r="B24" t="str">
            <v>Glass-New</v>
          </cell>
          <cell r="C24" t="str">
            <v>dropped for 7p - codes</v>
          </cell>
          <cell r="F24" t="str">
            <v>Windows</v>
          </cell>
          <cell r="K24">
            <v>3.1359227208655991</v>
          </cell>
        </row>
        <row r="25">
          <cell r="B25" t="str">
            <v>Glass-NR</v>
          </cell>
          <cell r="C25" t="str">
            <v>dropped for 7p - codes</v>
          </cell>
          <cell r="F25" t="str">
            <v>Windows</v>
          </cell>
          <cell r="K25">
            <v>7.2056124298919988</v>
          </cell>
        </row>
        <row r="26">
          <cell r="B26" t="str">
            <v>Glass-Retro</v>
          </cell>
          <cell r="C26" t="str">
            <v>see secondary glazing</v>
          </cell>
          <cell r="F26" t="str">
            <v>Windows</v>
          </cell>
          <cell r="K26">
            <v>20.889312946804694</v>
          </cell>
        </row>
        <row r="27">
          <cell r="B27" t="str">
            <v>Advanced Rooftop Controller-New</v>
          </cell>
          <cell r="F27" t="str">
            <v>Advanced Rooftop Controller</v>
          </cell>
          <cell r="K27" t="str">
            <v/>
          </cell>
          <cell r="O27" t="str">
            <v>ks</v>
          </cell>
        </row>
        <row r="28">
          <cell r="B28" t="str">
            <v>Advanced Rooftop Controller-NR</v>
          </cell>
          <cell r="F28" t="str">
            <v>Advanced Rooftop Controller</v>
          </cell>
          <cell r="K28" t="str">
            <v/>
          </cell>
          <cell r="O28" t="str">
            <v>ks</v>
          </cell>
        </row>
        <row r="29">
          <cell r="B29" t="str">
            <v>Advanced Rooftop Controller-Retro</v>
          </cell>
          <cell r="C29" t="str">
            <v>Com-RooftopController-7P_V5.xlsm</v>
          </cell>
          <cell r="F29" t="str">
            <v>Advanced Rooftop Controller</v>
          </cell>
          <cell r="H29">
            <v>119.37282587197582</v>
          </cell>
          <cell r="I29">
            <v>0</v>
          </cell>
          <cell r="K29" t="str">
            <v/>
          </cell>
          <cell r="O29" t="str">
            <v>ks</v>
          </cell>
        </row>
        <row r="30">
          <cell r="B30" t="str">
            <v>Variable Speed Chiller-New</v>
          </cell>
          <cell r="F30" t="str">
            <v>Variable Speed Chiller</v>
          </cell>
          <cell r="K30">
            <v>1.1125921894779771</v>
          </cell>
        </row>
        <row r="31">
          <cell r="B31" t="str">
            <v>Variable Speed Chiller-NR</v>
          </cell>
          <cell r="F31" t="str">
            <v>Variable Speed Chiller</v>
          </cell>
          <cell r="K31">
            <v>12.287439737441444</v>
          </cell>
        </row>
        <row r="32">
          <cell r="B32" t="str">
            <v>Commercial EM-New</v>
          </cell>
          <cell r="F32" t="str">
            <v>Commercial Energy Management For Complex systems</v>
          </cell>
          <cell r="K32">
            <v>9.3003260024451517</v>
          </cell>
        </row>
        <row r="33">
          <cell r="B33" t="str">
            <v>Commercial EM-NR</v>
          </cell>
          <cell r="F33" t="str">
            <v>Commercial Energy Management For Complex systems</v>
          </cell>
          <cell r="K33">
            <v>0</v>
          </cell>
          <cell r="O33" t="str">
            <v>ks</v>
          </cell>
        </row>
        <row r="34">
          <cell r="B34" t="str">
            <v>Commercial EM-Retro</v>
          </cell>
          <cell r="C34" t="str">
            <v>COM-EM-Retro-7P_V3.xlsm</v>
          </cell>
          <cell r="F34" t="str">
            <v>Commercial Energy Management For Complex systems</v>
          </cell>
          <cell r="H34">
            <v>73.075152066903428</v>
          </cell>
          <cell r="I34">
            <v>10.961272810035513</v>
          </cell>
          <cell r="K34">
            <v>120.33075078506094</v>
          </cell>
          <cell r="O34" t="str">
            <v>ks</v>
          </cell>
        </row>
        <row r="35">
          <cell r="B35" t="str">
            <v>Evaporative Assist Cooling-New</v>
          </cell>
          <cell r="C35" t="str">
            <v>dropped for 7p - no data</v>
          </cell>
          <cell r="F35" t="str">
            <v>Evaporative Assist Cooling</v>
          </cell>
          <cell r="K35">
            <v>0</v>
          </cell>
        </row>
        <row r="36">
          <cell r="B36" t="str">
            <v>Evaporative Assist Cooling-NR</v>
          </cell>
          <cell r="C36" t="str">
            <v>dropped for 7p - no data</v>
          </cell>
          <cell r="F36" t="str">
            <v>Evaporative Assist Cooling</v>
          </cell>
          <cell r="K36">
            <v>0</v>
          </cell>
        </row>
        <row r="37">
          <cell r="B37" t="str">
            <v>Economizer-Retro</v>
          </cell>
          <cell r="C37" t="str">
            <v>COM-Economizer-7P_v1.xlsm</v>
          </cell>
          <cell r="F37" t="str">
            <v>Economizer maintenance and repair</v>
          </cell>
          <cell r="H37">
            <v>26.426181974293137</v>
          </cell>
          <cell r="K37">
            <v>5.9129303419382238</v>
          </cell>
        </row>
        <row r="38">
          <cell r="B38" t="str">
            <v>Demand Control Ventilation-New</v>
          </cell>
          <cell r="F38" t="str">
            <v>Demand Control Ventilation</v>
          </cell>
          <cell r="K38">
            <v>3.7806867212698152</v>
          </cell>
          <cell r="O38" t="str">
            <v>ks</v>
          </cell>
        </row>
        <row r="39">
          <cell r="B39" t="str">
            <v>Demand Control Ventilation-NR</v>
          </cell>
          <cell r="F39" t="str">
            <v>Demand Control Ventilation</v>
          </cell>
          <cell r="K39">
            <v>3.1208141189685712</v>
          </cell>
          <cell r="O39" t="str">
            <v>ks</v>
          </cell>
        </row>
        <row r="40">
          <cell r="B40" t="str">
            <v>Demand Control Ventilation-Retro</v>
          </cell>
          <cell r="C40" t="str">
            <v>Com-DCV-7P_V2.xlsm</v>
          </cell>
          <cell r="F40" t="str">
            <v>Demand Control Ventilation</v>
          </cell>
          <cell r="H40">
            <v>28.430557997918477</v>
          </cell>
          <cell r="I40">
            <v>0</v>
          </cell>
          <cell r="K40">
            <v>18.586994736156402</v>
          </cell>
          <cell r="O40" t="str">
            <v>ks</v>
          </cell>
        </row>
        <row r="41">
          <cell r="B41" t="str">
            <v>Premium Fume Hood-NR</v>
          </cell>
          <cell r="C41" t="str">
            <v>COM-FumeHood-7P_V1.xlsm</v>
          </cell>
          <cell r="F41" t="str">
            <v>Premium Fume Hood</v>
          </cell>
          <cell r="H41">
            <v>3.8878892674922914</v>
          </cell>
          <cell r="I41">
            <v>0</v>
          </cell>
          <cell r="K41">
            <v>19.625784442962761</v>
          </cell>
          <cell r="O41" t="str">
            <v>ks</v>
          </cell>
        </row>
        <row r="42">
          <cell r="B42" t="str">
            <v>DCV Restaurant Hood-Retro</v>
          </cell>
          <cell r="F42" t="str">
            <v>DCV Restaurant Hood</v>
          </cell>
          <cell r="K42">
            <v>5.2084283011879595</v>
          </cell>
          <cell r="O42" t="str">
            <v>ks</v>
          </cell>
        </row>
        <row r="43">
          <cell r="B43" t="str">
            <v>DCV Parking Garage-Retro</v>
          </cell>
          <cell r="C43" t="str">
            <v>COM-DCV-Garage-7P_V3.xlsm</v>
          </cell>
          <cell r="F43" t="str">
            <v>DCV Parking Garage</v>
          </cell>
          <cell r="H43">
            <v>12.888276850646843</v>
          </cell>
          <cell r="K43">
            <v>0</v>
          </cell>
          <cell r="O43" t="str">
            <v>ks</v>
          </cell>
        </row>
        <row r="44">
          <cell r="B44" t="str">
            <v>Weatherization - School-Retro</v>
          </cell>
          <cell r="F44" t="str">
            <v>Weatherization - School</v>
          </cell>
          <cell r="K44" t="str">
            <v/>
          </cell>
        </row>
        <row r="45">
          <cell r="B45" t="str">
            <v>Energy Recovery Ventilator-NR</v>
          </cell>
          <cell r="C45" t="str">
            <v>dropped for 7p - too expensive</v>
          </cell>
          <cell r="F45" t="str">
            <v>Heat Recovery Ventilation</v>
          </cell>
          <cell r="K45" t="str">
            <v/>
          </cell>
        </row>
        <row r="46">
          <cell r="B46" t="str">
            <v>AC Heat Recovery for Water Heating-NR</v>
          </cell>
          <cell r="C46" t="str">
            <v>dropped for 7p</v>
          </cell>
          <cell r="F46" t="str">
            <v>AC Heat Recovery for Water Heating</v>
          </cell>
          <cell r="K46" t="str">
            <v/>
          </cell>
        </row>
        <row r="47">
          <cell r="B47" t="str">
            <v>Room Occupancy Sensors in Lodging-Retro</v>
          </cell>
          <cell r="C47" t="str">
            <v>dropped for 7p</v>
          </cell>
          <cell r="F47" t="str">
            <v>Room Occupancy Sensors in Lodging</v>
          </cell>
          <cell r="K47" t="str">
            <v/>
          </cell>
        </row>
        <row r="48">
          <cell r="B48" t="str">
            <v>Chiller - chilled water retrofit-Retro</v>
          </cell>
          <cell r="F48" t="str">
            <v>Chiller - chilled water retrofit</v>
          </cell>
          <cell r="K48" t="str">
            <v/>
          </cell>
        </row>
        <row r="49">
          <cell r="B49" t="str">
            <v>Chiller - equip retrofits-Retro</v>
          </cell>
          <cell r="F49" t="str">
            <v>Chiller - equip retrofits</v>
          </cell>
          <cell r="K49" t="str">
            <v/>
          </cell>
        </row>
        <row r="50">
          <cell r="B50" t="str">
            <v>Pool Blankets-Retro</v>
          </cell>
          <cell r="F50" t="str">
            <v>Pool Blankets</v>
          </cell>
          <cell r="K50" t="str">
            <v/>
          </cell>
        </row>
        <row r="51">
          <cell r="B51" t="str">
            <v>Web-Enabled Thermostats-Retro</v>
          </cell>
          <cell r="F51" t="str">
            <v>Web-Enabled Thermostats</v>
          </cell>
          <cell r="K51" t="str">
            <v/>
          </cell>
        </row>
        <row r="52">
          <cell r="B52" t="str">
            <v>Garage CO2 ventilation-Retro</v>
          </cell>
          <cell r="C52" t="str">
            <v>see com-dcv-garage</v>
          </cell>
          <cell r="F52" t="str">
            <v>Garage CO2 ventilation</v>
          </cell>
          <cell r="K52" t="str">
            <v/>
          </cell>
          <cell r="O52" t="str">
            <v>ks</v>
          </cell>
        </row>
        <row r="53">
          <cell r="B53" t="str">
            <v>Circ Pump ECM and drive-Retro</v>
          </cell>
          <cell r="F53" t="str">
            <v>Circ Pump ECM and drive</v>
          </cell>
          <cell r="K53" t="str">
            <v/>
          </cell>
        </row>
        <row r="54">
          <cell r="B54" t="str">
            <v>VRF-New</v>
          </cell>
          <cell r="C54" t="str">
            <v>COM-VRF-7P_V5.xlsm</v>
          </cell>
          <cell r="F54" t="str">
            <v>Variable Refrigerant Flow</v>
          </cell>
          <cell r="H54">
            <v>61.089028709904269</v>
          </cell>
          <cell r="I54">
            <v>61.089028709904269</v>
          </cell>
          <cell r="K54" t="str">
            <v/>
          </cell>
          <cell r="O54" t="str">
            <v>ks</v>
          </cell>
        </row>
        <row r="55">
          <cell r="B55" t="str">
            <v>VRF-Retro</v>
          </cell>
          <cell r="C55" t="str">
            <v>COM-VRF-7P_V5.xlsm</v>
          </cell>
          <cell r="F55" t="str">
            <v>Variable Refrigerant Flow</v>
          </cell>
          <cell r="H55">
            <v>31.395155521232557</v>
          </cell>
          <cell r="K55" t="str">
            <v/>
          </cell>
          <cell r="O55" t="str">
            <v>ks</v>
          </cell>
        </row>
        <row r="56">
          <cell r="B56" t="str">
            <v>Evaporator Roof Top HVAC-Retro</v>
          </cell>
          <cell r="C56" t="str">
            <v>dropped for 7p</v>
          </cell>
          <cell r="F56" t="str">
            <v>Evaporator Roof Top HVAC</v>
          </cell>
          <cell r="K56" t="str">
            <v/>
          </cell>
        </row>
        <row r="57">
          <cell r="B57" t="str">
            <v>Secondary Glazing Systems-Retro</v>
          </cell>
          <cell r="C57" t="str">
            <v>Com-WindowSGS-7P_V3.xlsx</v>
          </cell>
          <cell r="F57" t="str">
            <v>Secondary Glazing Systems</v>
          </cell>
          <cell r="G57">
            <v>42063</v>
          </cell>
          <cell r="H57">
            <v>40.390797895321441</v>
          </cell>
          <cell r="K57" t="str">
            <v/>
          </cell>
          <cell r="O57" t="str">
            <v>cg</v>
          </cell>
          <cell r="R57">
            <v>42069</v>
          </cell>
          <cell r="T57">
            <v>42069</v>
          </cell>
        </row>
        <row r="58">
          <cell r="B58" t="str">
            <v>LPD Package-New</v>
          </cell>
          <cell r="C58" t="str">
            <v>Com-LightingInterior-7P_v36.xlsx</v>
          </cell>
          <cell r="F58" t="str">
            <v>Lighting Power Density</v>
          </cell>
          <cell r="G58">
            <v>42070</v>
          </cell>
          <cell r="H58">
            <v>77.181342695273457</v>
          </cell>
          <cell r="I58">
            <v>77.181342695273457</v>
          </cell>
          <cell r="K58">
            <v>43.425816906114818</v>
          </cell>
          <cell r="O58" t="str">
            <v>cg</v>
          </cell>
          <cell r="P58">
            <v>42070</v>
          </cell>
          <cell r="Q58">
            <v>42070</v>
          </cell>
          <cell r="R58">
            <v>42069</v>
          </cell>
          <cell r="T58">
            <v>42069</v>
          </cell>
          <cell r="U58">
            <v>42070</v>
          </cell>
        </row>
        <row r="59">
          <cell r="B59" t="str">
            <v>LPD Package-NR</v>
          </cell>
          <cell r="C59" t="str">
            <v>Com-LightingInterior-7P_v36.xlsx</v>
          </cell>
          <cell r="F59" t="str">
            <v>Lighting Power Density</v>
          </cell>
          <cell r="G59">
            <v>42070</v>
          </cell>
          <cell r="H59">
            <v>209.62341372597962</v>
          </cell>
          <cell r="K59">
            <v>288.64083212829757</v>
          </cell>
          <cell r="O59" t="str">
            <v>cg</v>
          </cell>
          <cell r="P59">
            <v>42070</v>
          </cell>
          <cell r="Q59">
            <v>42070</v>
          </cell>
          <cell r="R59">
            <v>42069</v>
          </cell>
          <cell r="T59">
            <v>42069</v>
          </cell>
          <cell r="U59">
            <v>42070</v>
          </cell>
        </row>
        <row r="60">
          <cell r="B60" t="str">
            <v>LPD Package-Retro</v>
          </cell>
          <cell r="C60" t="str">
            <v>Com-LightingInterior-7P_v36.xlsx</v>
          </cell>
          <cell r="F60" t="str">
            <v>Lighting Power Density</v>
          </cell>
          <cell r="G60">
            <v>42070</v>
          </cell>
          <cell r="H60">
            <v>108.93189922488979</v>
          </cell>
          <cell r="K60">
            <v>32.215584324387343</v>
          </cell>
          <cell r="O60" t="str">
            <v>cg</v>
          </cell>
          <cell r="P60">
            <v>42070</v>
          </cell>
          <cell r="Q60">
            <v>42070</v>
          </cell>
          <cell r="R60">
            <v>42069</v>
          </cell>
          <cell r="T60">
            <v>42069</v>
          </cell>
          <cell r="U60">
            <v>42070</v>
          </cell>
        </row>
        <row r="61">
          <cell r="B61" t="str">
            <v>Top Daylighting-New</v>
          </cell>
          <cell r="C61" t="str">
            <v>dropped for 7p - codes</v>
          </cell>
          <cell r="F61" t="str">
            <v>Daylighting with Skylights</v>
          </cell>
          <cell r="K61">
            <v>17.425003592262602</v>
          </cell>
          <cell r="O61" t="str">
            <v>cg</v>
          </cell>
          <cell r="R61">
            <v>42069</v>
          </cell>
          <cell r="T61">
            <v>42069</v>
          </cell>
        </row>
        <row r="62">
          <cell r="B62" t="str">
            <v>Perimeter Daylighting Controls Advanced-New</v>
          </cell>
          <cell r="C62" t="str">
            <v>dropped for 7p - codes</v>
          </cell>
          <cell r="F62" t="str">
            <v>Daylighting with Windows</v>
          </cell>
          <cell r="K62">
            <v>3.1006916194307825</v>
          </cell>
          <cell r="O62" t="str">
            <v>cg</v>
          </cell>
          <cell r="R62">
            <v>42069</v>
          </cell>
          <cell r="T62">
            <v>42069</v>
          </cell>
        </row>
        <row r="63">
          <cell r="B63" t="str">
            <v>Perimeter Daylighting Controls Advanced-NR</v>
          </cell>
          <cell r="F63" t="str">
            <v>Daylighting with Windows</v>
          </cell>
          <cell r="K63">
            <v>11.866846651298719</v>
          </cell>
          <cell r="O63" t="str">
            <v>cg</v>
          </cell>
          <cell r="R63">
            <v>42069</v>
          </cell>
          <cell r="T63">
            <v>42069</v>
          </cell>
        </row>
        <row r="64">
          <cell r="B64" t="str">
            <v>Lighting Controls Interior-New</v>
          </cell>
          <cell r="C64" t="str">
            <v>Com-InteriorLightingControls-7P_V5.xlsx</v>
          </cell>
          <cell r="F64" t="str">
            <v>Lighting Controls Interior</v>
          </cell>
          <cell r="G64">
            <v>42071</v>
          </cell>
          <cell r="H64">
            <v>10.950320424220106</v>
          </cell>
          <cell r="I64">
            <v>10.950320424220106</v>
          </cell>
          <cell r="K64">
            <v>5.4534720066331879</v>
          </cell>
          <cell r="O64" t="str">
            <v>cg</v>
          </cell>
          <cell r="R64">
            <v>42069</v>
          </cell>
          <cell r="T64">
            <v>42069</v>
          </cell>
        </row>
        <row r="65">
          <cell r="B65" t="str">
            <v>Lighting Controls Interior-NR</v>
          </cell>
          <cell r="C65" t="str">
            <v>Com-InteriorLightingControls-7P_V5.xlsx</v>
          </cell>
          <cell r="F65" t="str">
            <v>Lighting Controls Interior</v>
          </cell>
          <cell r="G65">
            <v>42071</v>
          </cell>
          <cell r="H65">
            <v>26.31391009160577</v>
          </cell>
          <cell r="K65">
            <v>53.550862716639848</v>
          </cell>
          <cell r="O65" t="str">
            <v>cg</v>
          </cell>
          <cell r="R65">
            <v>42069</v>
          </cell>
          <cell r="T65">
            <v>42069</v>
          </cell>
        </row>
        <row r="66">
          <cell r="B66" t="str">
            <v>Exterior Building Lighting-New</v>
          </cell>
          <cell r="C66" t="str">
            <v>Com-ExteriorLighting-7P_V13.xlsx</v>
          </cell>
          <cell r="F66" t="str">
            <v>Exterior Building Lighting</v>
          </cell>
          <cell r="G66">
            <v>42070</v>
          </cell>
          <cell r="H66">
            <v>18.695722892998404</v>
          </cell>
          <cell r="I66">
            <v>18.695722892998404</v>
          </cell>
          <cell r="K66">
            <v>23.218243762601482</v>
          </cell>
          <cell r="O66" t="str">
            <v>cg</v>
          </cell>
          <cell r="P66">
            <v>42069</v>
          </cell>
          <cell r="Q66">
            <v>42069</v>
          </cell>
          <cell r="R66">
            <v>42069</v>
          </cell>
          <cell r="T66">
            <v>42069</v>
          </cell>
          <cell r="U66">
            <v>42069</v>
          </cell>
        </row>
        <row r="67">
          <cell r="B67" t="str">
            <v>Exterior Building Lighting-NR</v>
          </cell>
          <cell r="C67" t="str">
            <v>Com-ExteriorLighting-7P_V13.xlsx</v>
          </cell>
          <cell r="F67" t="str">
            <v>Exterior Building Lighting</v>
          </cell>
          <cell r="G67">
            <v>42070</v>
          </cell>
          <cell r="H67">
            <v>123.72449000056638</v>
          </cell>
          <cell r="K67">
            <v>65.152385048123932</v>
          </cell>
          <cell r="O67" t="str">
            <v>cg</v>
          </cell>
          <cell r="P67">
            <v>42069</v>
          </cell>
          <cell r="Q67">
            <v>42069</v>
          </cell>
          <cell r="R67">
            <v>42069</v>
          </cell>
          <cell r="T67">
            <v>42069</v>
          </cell>
          <cell r="U67">
            <v>42069</v>
          </cell>
        </row>
        <row r="68">
          <cell r="B68" t="str">
            <v>Street and Roadway Lighting-New</v>
          </cell>
          <cell r="C68" t="str">
            <v>Com-Streetlight-7P_V9.xlsx</v>
          </cell>
          <cell r="F68" t="str">
            <v>Street and Roadway Lighting</v>
          </cell>
          <cell r="G68">
            <v>42070</v>
          </cell>
          <cell r="H68">
            <v>6.6186035002887733</v>
          </cell>
          <cell r="K68">
            <v>8.0478163439427366</v>
          </cell>
          <cell r="O68" t="str">
            <v>cg</v>
          </cell>
          <cell r="P68">
            <v>42069</v>
          </cell>
          <cell r="Q68">
            <v>42069</v>
          </cell>
          <cell r="R68">
            <v>42069</v>
          </cell>
          <cell r="T68">
            <v>42069</v>
          </cell>
          <cell r="U68">
            <v>42069</v>
          </cell>
        </row>
        <row r="69">
          <cell r="B69" t="str">
            <v>Street and Roadway Lighting-NR</v>
          </cell>
          <cell r="C69" t="str">
            <v>Com-Streetlight-7P_V9.xlsx</v>
          </cell>
          <cell r="F69" t="str">
            <v>Street and Roadway Lighting</v>
          </cell>
          <cell r="G69">
            <v>42070</v>
          </cell>
          <cell r="H69">
            <v>54.214701088024171</v>
          </cell>
          <cell r="K69">
            <v>35.768242090251178</v>
          </cell>
          <cell r="O69" t="str">
            <v>cg</v>
          </cell>
          <cell r="P69">
            <v>42069</v>
          </cell>
          <cell r="Q69">
            <v>42069</v>
          </cell>
          <cell r="R69">
            <v>42069</v>
          </cell>
          <cell r="T69">
            <v>42069</v>
          </cell>
          <cell r="U69">
            <v>42069</v>
          </cell>
        </row>
        <row r="70">
          <cell r="B70" t="str">
            <v>Parking Lighting-New</v>
          </cell>
          <cell r="C70" t="str">
            <v>Com-ParkingGarageLighting-7P_v6.xlsx</v>
          </cell>
          <cell r="F70" t="str">
            <v>Parking Lighting</v>
          </cell>
          <cell r="I70">
            <v>0</v>
          </cell>
          <cell r="K70">
            <v>8.3762581743454216</v>
          </cell>
          <cell r="O70" t="str">
            <v>cg</v>
          </cell>
          <cell r="R70">
            <v>42069</v>
          </cell>
          <cell r="T70">
            <v>42069</v>
          </cell>
        </row>
        <row r="71">
          <cell r="B71" t="str">
            <v>Parking Lighting-NR</v>
          </cell>
          <cell r="C71" t="str">
            <v>Com-ParkingGarageLighting-7P_v6.xlsx</v>
          </cell>
          <cell r="F71" t="str">
            <v>Parking Lighting</v>
          </cell>
          <cell r="G71">
            <v>42064</v>
          </cell>
          <cell r="H71">
            <v>8.4133728390346398</v>
          </cell>
          <cell r="K71">
            <v>45.816647060114327</v>
          </cell>
          <cell r="O71" t="str">
            <v>cg</v>
          </cell>
          <cell r="R71">
            <v>42069</v>
          </cell>
          <cell r="T71">
            <v>42069</v>
          </cell>
        </row>
        <row r="72">
          <cell r="B72" t="str">
            <v>Bi-Level Stairwell Lighting-NR</v>
          </cell>
          <cell r="C72" t="str">
            <v>Com-Bi-Level Stairwell-7P_V2.xlsx</v>
          </cell>
          <cell r="F72" t="str">
            <v>Bi-Level Stairwell</v>
          </cell>
          <cell r="G72">
            <v>42064</v>
          </cell>
          <cell r="H72">
            <v>11.858348727423326</v>
          </cell>
          <cell r="K72" t="str">
            <v/>
          </cell>
          <cell r="O72" t="str">
            <v>cg</v>
          </cell>
          <cell r="R72">
            <v>42069</v>
          </cell>
          <cell r="T72">
            <v>42069</v>
          </cell>
        </row>
        <row r="73">
          <cell r="B73" t="str">
            <v>ECM-VAV-New</v>
          </cell>
          <cell r="C73" t="str">
            <v>COM-ECM-VAV-7P_V2.xlsm</v>
          </cell>
          <cell r="F73" t="str">
            <v>ECM Motors on Variable Air Volume Boxes</v>
          </cell>
          <cell r="H73">
            <v>6.3907640383945719</v>
          </cell>
          <cell r="I73">
            <v>6.3907640383945719</v>
          </cell>
          <cell r="K73">
            <v>2.5095329434297415</v>
          </cell>
          <cell r="O73" t="str">
            <v>ks</v>
          </cell>
        </row>
        <row r="74">
          <cell r="B74" t="str">
            <v>ECM-VAV-NR</v>
          </cell>
          <cell r="C74" t="str">
            <v>COM-ECM-VAV-7P_V2.xlsm</v>
          </cell>
          <cell r="F74" t="str">
            <v>ECM Motors on Variable Air Volume Boxes</v>
          </cell>
          <cell r="H74">
            <v>27.229691418576945</v>
          </cell>
          <cell r="K74">
            <v>8.5068284449929461</v>
          </cell>
          <cell r="O74" t="str">
            <v>ks</v>
          </cell>
        </row>
        <row r="75">
          <cell r="B75" t="str">
            <v>Pool pumps-Retro</v>
          </cell>
          <cell r="C75" t="str">
            <v>dropped for 7p</v>
          </cell>
          <cell r="F75" t="str">
            <v>Pool pumps</v>
          </cell>
          <cell r="K75" t="str">
            <v/>
          </cell>
        </row>
        <row r="76">
          <cell r="B76" t="str">
            <v>MotorsRewind-New</v>
          </cell>
          <cell r="C76" t="str">
            <v>COM-MotorsRewind-7P_v1.xlsm</v>
          </cell>
          <cell r="F76" t="str">
            <v>Motors - Rewind</v>
          </cell>
          <cell r="H76">
            <v>0.59897056594621811</v>
          </cell>
          <cell r="I76">
            <v>0.59897056594621811</v>
          </cell>
          <cell r="K76" t="str">
            <v/>
          </cell>
          <cell r="O76" t="str">
            <v>ks</v>
          </cell>
        </row>
        <row r="77">
          <cell r="B77" t="str">
            <v>MotorsRewind-NR</v>
          </cell>
          <cell r="C77" t="str">
            <v>COM-MotorsRewind-7P_v1.xlsm</v>
          </cell>
          <cell r="F77" t="str">
            <v>Motors - Rewind</v>
          </cell>
          <cell r="H77">
            <v>2.6079890407215234</v>
          </cell>
          <cell r="K77" t="str">
            <v/>
          </cell>
          <cell r="O77" t="str">
            <v>ks</v>
          </cell>
        </row>
        <row r="78">
          <cell r="B78" t="str">
            <v>Municipal Sewage Treatment-Retro</v>
          </cell>
          <cell r="C78" t="str">
            <v>COM-Wastewater-7P_V4.xlsm</v>
          </cell>
          <cell r="D78" t="str">
            <v>SC_Retro</v>
          </cell>
          <cell r="E78" t="str">
            <v>Retro</v>
          </cell>
          <cell r="F78" t="str">
            <v>Municipal Sewage Treatment</v>
          </cell>
          <cell r="H78">
            <v>35.293413394978195</v>
          </cell>
          <cell r="K78">
            <v>35.639494471243012</v>
          </cell>
          <cell r="O78" t="str">
            <v>ks</v>
          </cell>
        </row>
        <row r="79">
          <cell r="B79" t="str">
            <v>Municipal Water Supply-Retro</v>
          </cell>
          <cell r="C79" t="str">
            <v>COM-WaterSupply-7P_V4.xlsm</v>
          </cell>
          <cell r="D79" t="str">
            <v>SC_Retro</v>
          </cell>
          <cell r="E79" t="str">
            <v>Retro</v>
          </cell>
          <cell r="F79" t="str">
            <v>Municipal Water Supply</v>
          </cell>
          <cell r="H79">
            <v>14.07904856503921</v>
          </cell>
          <cell r="K79">
            <v>13.786942026010605</v>
          </cell>
          <cell r="O79" t="str">
            <v>ks</v>
          </cell>
        </row>
        <row r="80">
          <cell r="B80" t="str">
            <v>Engine Generator Block Heaters-Retro</v>
          </cell>
          <cell r="C80" t="str">
            <v>dropped for 7p</v>
          </cell>
          <cell r="F80" t="str">
            <v>Engine Generator Block Heaters</v>
          </cell>
          <cell r="K80" t="str">
            <v/>
          </cell>
        </row>
        <row r="81">
          <cell r="B81" t="str">
            <v>Grocery Refrigeration Bundle-Retro</v>
          </cell>
          <cell r="C81" t="str">
            <v>Com-Grocery-7P_V5p.xlsx</v>
          </cell>
          <cell r="F81" t="str">
            <v>Grocery Refrigeration Bundle</v>
          </cell>
          <cell r="G81">
            <v>42064</v>
          </cell>
          <cell r="H81">
            <v>63.534810180973587</v>
          </cell>
          <cell r="K81">
            <v>85.641041401934004</v>
          </cell>
          <cell r="O81" t="str">
            <v>cg</v>
          </cell>
          <cell r="R81">
            <v>42069</v>
          </cell>
          <cell r="T81">
            <v>42069</v>
          </cell>
        </row>
        <row r="82">
          <cell r="B82" t="str">
            <v>Packaged Refrigeration Equipment-New</v>
          </cell>
          <cell r="C82" t="str">
            <v>dropped for 7p - stds</v>
          </cell>
          <cell r="F82" t="str">
            <v>Packaged Refrigeration Equipment</v>
          </cell>
          <cell r="K82">
            <v>49.431909921506794</v>
          </cell>
        </row>
        <row r="83">
          <cell r="B83" t="str">
            <v>Appliances - Freezers-NR</v>
          </cell>
          <cell r="F83" t="str">
            <v>Appliances - Freezers</v>
          </cell>
          <cell r="K83" t="str">
            <v/>
          </cell>
        </row>
        <row r="84">
          <cell r="B84" t="str">
            <v>Appliances - Refrigerators-NR</v>
          </cell>
          <cell r="F84" t="str">
            <v>Appliances - Refrigerators</v>
          </cell>
          <cell r="K84" t="str">
            <v/>
          </cell>
        </row>
        <row r="85">
          <cell r="B85" t="str">
            <v>Water Cooler Controls-NR</v>
          </cell>
          <cell r="C85" t="str">
            <v>Com-WaterCooler-7P_V3.xlsx</v>
          </cell>
          <cell r="F85" t="str">
            <v>Water Cooler Controls</v>
          </cell>
          <cell r="G85">
            <v>42063</v>
          </cell>
          <cell r="H85">
            <v>13.180394293600866</v>
          </cell>
          <cell r="K85" t="str">
            <v/>
          </cell>
          <cell r="O85" t="str">
            <v>cg</v>
          </cell>
          <cell r="R85">
            <v>42069</v>
          </cell>
          <cell r="T85">
            <v>42069</v>
          </cell>
        </row>
        <row r="86">
          <cell r="B86" t="str">
            <v>WHTanks-New</v>
          </cell>
          <cell r="C86" t="str">
            <v>COM-WHTanks-7p_v4.xlsm</v>
          </cell>
          <cell r="F86" t="str">
            <v>DHW - Efficient Tanks</v>
          </cell>
          <cell r="H86">
            <v>0.49370461821151984</v>
          </cell>
          <cell r="I86">
            <v>0.49370461821151984</v>
          </cell>
          <cell r="K86">
            <v>0</v>
          </cell>
          <cell r="O86" t="str">
            <v>ks</v>
          </cell>
        </row>
        <row r="87">
          <cell r="B87" t="str">
            <v>WHTanks-NR</v>
          </cell>
          <cell r="C87" t="str">
            <v>COM-WHTanks-7p_v4.xlsm</v>
          </cell>
          <cell r="F87" t="str">
            <v>DHW - Efficient Tanks</v>
          </cell>
          <cell r="H87">
            <v>2.0446577325813005</v>
          </cell>
          <cell r="K87" t="str">
            <v/>
          </cell>
          <cell r="O87" t="str">
            <v>ks</v>
          </cell>
        </row>
        <row r="88">
          <cell r="B88" t="str">
            <v>Appliances - Clothes Washers-NR</v>
          </cell>
          <cell r="F88" t="str">
            <v>Appliances - Clothes Washers</v>
          </cell>
          <cell r="K88" t="str">
            <v/>
          </cell>
        </row>
        <row r="89">
          <cell r="B89" t="str">
            <v>Showerheads-Retro</v>
          </cell>
          <cell r="C89" t="str">
            <v>COM-Showerhead-7P_v2.xlsm</v>
          </cell>
          <cell r="F89" t="str">
            <v>DHW - Showerheads</v>
          </cell>
          <cell r="H89">
            <v>3.7216771353503777</v>
          </cell>
          <cell r="K89" t="str">
            <v/>
          </cell>
          <cell r="O89" t="str">
            <v>ks</v>
          </cell>
        </row>
        <row r="90">
          <cell r="B90" t="str">
            <v>Water Heating - GFHX-New</v>
          </cell>
          <cell r="C90" t="str">
            <v>dropped for 7p</v>
          </cell>
          <cell r="F90" t="str">
            <v>Water Heating - GFHX</v>
          </cell>
          <cell r="K90" t="str">
            <v/>
          </cell>
        </row>
        <row r="91">
          <cell r="B91" t="str">
            <v>Demand Control Circulating system DHW-Retro</v>
          </cell>
          <cell r="C91" t="str">
            <v>dropped for 7p</v>
          </cell>
          <cell r="F91" t="str">
            <v>Demand Control Circulating system DHW</v>
          </cell>
          <cell r="K91" t="str">
            <v/>
          </cell>
        </row>
        <row r="92">
          <cell r="B92" t="str">
            <v>Central HPWH MF-Retro</v>
          </cell>
          <cell r="F92" t="str">
            <v>Central HPWH MF</v>
          </cell>
          <cell r="K92" t="str">
            <v/>
          </cell>
        </row>
        <row r="93">
          <cell r="B93" t="str">
            <v>Ultra Low Energy Building-New</v>
          </cell>
          <cell r="F93" t="str">
            <v>Ultra Low Energy Building</v>
          </cell>
          <cell r="K93">
            <v>57.012696990717721</v>
          </cell>
          <cell r="O93" t="str">
            <v>cg</v>
          </cell>
          <cell r="R93">
            <v>42069</v>
          </cell>
          <cell r="T93">
            <v>42069</v>
          </cell>
        </row>
        <row r="94">
          <cell r="B94" t="str">
            <v>Low Power LF Lamps-NR</v>
          </cell>
          <cell r="C94" t="str">
            <v>Com-HPLowPowerGSFL-7P_V5.xlsx</v>
          </cell>
          <cell r="F94" t="str">
            <v>High Perf Low Power Fluorescent Lamp PPA</v>
          </cell>
          <cell r="G94">
            <v>42057</v>
          </cell>
          <cell r="H94">
            <v>40.479721787784023</v>
          </cell>
          <cell r="O94" t="str">
            <v>cg</v>
          </cell>
          <cell r="P94">
            <v>42070</v>
          </cell>
          <cell r="Q94">
            <v>42070</v>
          </cell>
          <cell r="R94">
            <v>42069</v>
          </cell>
          <cell r="T94">
            <v>42069</v>
          </cell>
          <cell r="U94">
            <v>42070</v>
          </cell>
        </row>
        <row r="96">
          <cell r="B96" t="str">
            <v>From 6P not in 7P</v>
          </cell>
        </row>
        <row r="97">
          <cell r="B97" t="str">
            <v>Signage-New</v>
          </cell>
          <cell r="C97" t="str">
            <v>dropped for 7p</v>
          </cell>
          <cell r="K97">
            <v>1.1088142099641565</v>
          </cell>
        </row>
        <row r="98">
          <cell r="B98" t="str">
            <v>Signage-NR</v>
          </cell>
          <cell r="C98" t="str">
            <v>dropped for 7p</v>
          </cell>
          <cell r="K98">
            <v>5.6760557940938234</v>
          </cell>
        </row>
        <row r="99">
          <cell r="B99" t="str">
            <v>Exit Signs-NR</v>
          </cell>
          <cell r="C99" t="str">
            <v>dropped for 7p</v>
          </cell>
          <cell r="H99">
            <v>741</v>
          </cell>
          <cell r="K99">
            <v>4.88794421832577</v>
          </cell>
        </row>
        <row r="100">
          <cell r="B100" t="str">
            <v>Roof Insulation-NR</v>
          </cell>
          <cell r="C100" t="str">
            <v>dropped for 7p</v>
          </cell>
          <cell r="K100">
            <v>24.79389803241914</v>
          </cell>
        </row>
        <row r="101">
          <cell r="B101" t="str">
            <v>Package Roof Top Optimization and Repair-New</v>
          </cell>
          <cell r="C101" t="str">
            <v>These will be added back into list when completed</v>
          </cell>
          <cell r="K101">
            <v>4.3297471414332787</v>
          </cell>
        </row>
        <row r="102">
          <cell r="B102" t="str">
            <v>Package Roof Top Optimization and Repair-NR</v>
          </cell>
          <cell r="C102" t="str">
            <v>These will be added back into list when completed</v>
          </cell>
          <cell r="K102">
            <v>8.0798753943758364</v>
          </cell>
        </row>
        <row r="103">
          <cell r="B103" t="str">
            <v>Package Roof Top Optimization and Repair-Retro</v>
          </cell>
          <cell r="C103" t="str">
            <v>These will be added back into list when completed</v>
          </cell>
          <cell r="K103">
            <v>13.993833635474468</v>
          </cell>
        </row>
        <row r="104">
          <cell r="B104" t="str">
            <v>Computer Servers and IT-Retro</v>
          </cell>
          <cell r="C104" t="str">
            <v>See data centers</v>
          </cell>
        </row>
        <row r="105">
          <cell r="B105" t="str">
            <v>Low Pressure Distribution Complex HVAC-New</v>
          </cell>
          <cell r="F105" t="str">
            <v>Low Pressure Distribution Complex HVAC</v>
          </cell>
        </row>
        <row r="107">
          <cell r="B107" t="str">
            <v>Considered by not included in 7P</v>
          </cell>
        </row>
        <row r="108">
          <cell r="B108" t="str">
            <v>Energy Recovery Ventilator-NR</v>
          </cell>
          <cell r="C108" t="str">
            <v>dropped for 7p - too expensive</v>
          </cell>
        </row>
        <row r="109">
          <cell r="B109" t="str">
            <v>AC Heat Recovery for Water Heating-NR</v>
          </cell>
          <cell r="C109" t="str">
            <v>dropped for 7p</v>
          </cell>
        </row>
        <row r="110">
          <cell r="B110" t="str">
            <v>Room Occupancy Sensors in Lodging-Retro</v>
          </cell>
          <cell r="C110" t="str">
            <v>dropped for 7p</v>
          </cell>
          <cell r="D110" t="str">
            <v>dropped for 7p</v>
          </cell>
          <cell r="E110" t="str">
            <v>dropped for 7p</v>
          </cell>
          <cell r="F110" t="str">
            <v>dropped for 7p</v>
          </cell>
        </row>
        <row r="111">
          <cell r="B111" t="str">
            <v>Commercial Clothes Washers-New</v>
          </cell>
          <cell r="C111" t="str">
            <v>dropped for 7p</v>
          </cell>
          <cell r="D111" t="str">
            <v>dropped for 7p</v>
          </cell>
          <cell r="E111" t="str">
            <v>dropped for 7p</v>
          </cell>
          <cell r="F111" t="str">
            <v>dropped for 7p</v>
          </cell>
        </row>
        <row r="112">
          <cell r="B112" t="str">
            <v>Switched Reluctance/Permanent Magnet Motors-Retro</v>
          </cell>
          <cell r="C112" t="str">
            <v>see ecm-vav - could be expanded to other applications</v>
          </cell>
          <cell r="F112" t="str">
            <v>Switched Reluctance/Permanent Magnet Motors</v>
          </cell>
          <cell r="L112" t="str">
            <v>power supplies</v>
          </cell>
        </row>
        <row r="113">
          <cell r="B113">
            <v>0</v>
          </cell>
          <cell r="F113">
            <v>0</v>
          </cell>
          <cell r="L113" t="str">
            <v>Computers (in ICE)</v>
          </cell>
        </row>
        <row r="114">
          <cell r="L114" t="str">
            <v>Monitors (in ICE)</v>
          </cell>
        </row>
      </sheetData>
      <sheetData sheetId="3">
        <row r="11">
          <cell r="B11" t="str">
            <v>Measure Index Name</v>
          </cell>
          <cell r="C11" t="str">
            <v>Large Off</v>
          </cell>
          <cell r="D11" t="str">
            <v>Medium Off</v>
          </cell>
          <cell r="E11" t="str">
            <v>Small Off</v>
          </cell>
          <cell r="F11" t="str">
            <v>Xlarge Ret</v>
          </cell>
          <cell r="G11" t="str">
            <v>Large Ret</v>
          </cell>
          <cell r="H11" t="str">
            <v>Medium Ret</v>
          </cell>
          <cell r="I11" t="str">
            <v>Small Ret</v>
          </cell>
          <cell r="J11" t="str">
            <v>School K-12</v>
          </cell>
          <cell r="K11" t="str">
            <v>University</v>
          </cell>
          <cell r="L11" t="str">
            <v>Warehouse</v>
          </cell>
          <cell r="M11" t="str">
            <v>Supermarket</v>
          </cell>
          <cell r="N11" t="str">
            <v>MiniMart</v>
          </cell>
          <cell r="O11" t="str">
            <v>Restaurant</v>
          </cell>
          <cell r="P11" t="str">
            <v>Lodging</v>
          </cell>
          <cell r="Q11" t="str">
            <v>Hospital</v>
          </cell>
          <cell r="R11" t="str">
            <v>Residential Care</v>
          </cell>
          <cell r="S11" t="str">
            <v>Assembly</v>
          </cell>
          <cell r="T11" t="str">
            <v>Other</v>
          </cell>
          <cell r="U11" t="str">
            <v>Non-Building Stock</v>
          </cell>
        </row>
        <row r="12">
          <cell r="B12" t="str">
            <v>Compressed Air-Retro</v>
          </cell>
          <cell r="C12">
            <v>0.01</v>
          </cell>
          <cell r="D12">
            <v>0.01</v>
          </cell>
          <cell r="E12">
            <v>0.01</v>
          </cell>
          <cell r="F12">
            <v>0.01</v>
          </cell>
          <cell r="G12">
            <v>0.01</v>
          </cell>
          <cell r="H12">
            <v>0.01</v>
          </cell>
          <cell r="I12">
            <v>0.01</v>
          </cell>
          <cell r="J12">
            <v>0.01</v>
          </cell>
          <cell r="K12">
            <v>0.01</v>
          </cell>
          <cell r="L12">
            <v>0.01</v>
          </cell>
          <cell r="M12">
            <v>0.01</v>
          </cell>
          <cell r="N12">
            <v>0.01</v>
          </cell>
          <cell r="O12">
            <v>0.01</v>
          </cell>
          <cell r="P12">
            <v>0.01</v>
          </cell>
          <cell r="Q12">
            <v>0.01</v>
          </cell>
          <cell r="R12">
            <v>0.01</v>
          </cell>
          <cell r="S12">
            <v>0.01</v>
          </cell>
          <cell r="T12">
            <v>0.01</v>
          </cell>
        </row>
        <row r="13">
          <cell r="B13" t="str">
            <v>Compressed Air-NR</v>
          </cell>
          <cell r="C13">
            <v>9.9000000000000008E-3</v>
          </cell>
          <cell r="D13">
            <v>9.9000000000000008E-3</v>
          </cell>
          <cell r="E13">
            <v>9.9000000000000008E-3</v>
          </cell>
          <cell r="F13">
            <v>9.9000000000000008E-3</v>
          </cell>
          <cell r="G13">
            <v>9.9000000000000008E-3</v>
          </cell>
          <cell r="H13">
            <v>9.9000000000000008E-3</v>
          </cell>
          <cell r="I13">
            <v>9.9000000000000008E-3</v>
          </cell>
          <cell r="J13">
            <v>9.9000000000000008E-3</v>
          </cell>
          <cell r="K13">
            <v>9.9000000000000008E-3</v>
          </cell>
          <cell r="L13">
            <v>9.9000000000000008E-3</v>
          </cell>
          <cell r="M13">
            <v>9.9000000000000008E-3</v>
          </cell>
          <cell r="N13">
            <v>9.9000000000000008E-3</v>
          </cell>
          <cell r="O13">
            <v>9.9000000000000008E-3</v>
          </cell>
          <cell r="P13">
            <v>9.9000000000000008E-3</v>
          </cell>
          <cell r="Q13">
            <v>9.9000000000000008E-3</v>
          </cell>
          <cell r="R13">
            <v>9.9000000000000008E-3</v>
          </cell>
          <cell r="S13">
            <v>9.9000000000000008E-3</v>
          </cell>
          <cell r="T13">
            <v>9.9000000000000008E-3</v>
          </cell>
        </row>
        <row r="14">
          <cell r="B14" t="str">
            <v>Network PC Power Management-Retro</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row>
        <row r="15">
          <cell r="B15" t="str">
            <v>Laptop-NR</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9.9999999999999978E-2</v>
          </cell>
        </row>
        <row r="16">
          <cell r="B16" t="str">
            <v>Smart Plug Power Strips-Retro</v>
          </cell>
          <cell r="C16">
            <v>0.01</v>
          </cell>
          <cell r="D16">
            <v>0.01</v>
          </cell>
          <cell r="E16">
            <v>0.01</v>
          </cell>
          <cell r="F16">
            <v>0.01</v>
          </cell>
          <cell r="G16">
            <v>0.01</v>
          </cell>
          <cell r="H16">
            <v>0.01</v>
          </cell>
          <cell r="I16">
            <v>0.01</v>
          </cell>
          <cell r="J16">
            <v>0.01</v>
          </cell>
          <cell r="K16">
            <v>0.01</v>
          </cell>
          <cell r="L16">
            <v>0.01</v>
          </cell>
          <cell r="M16">
            <v>0.01</v>
          </cell>
          <cell r="N16">
            <v>0.01</v>
          </cell>
          <cell r="O16">
            <v>0.01</v>
          </cell>
          <cell r="P16">
            <v>0.01</v>
          </cell>
          <cell r="Q16">
            <v>0.01</v>
          </cell>
          <cell r="R16">
            <v>0.01</v>
          </cell>
          <cell r="S16">
            <v>0.01</v>
          </cell>
          <cell r="T16">
            <v>0.01</v>
          </cell>
          <cell r="U16">
            <v>0.6</v>
          </cell>
        </row>
        <row r="17">
          <cell r="B17" t="str">
            <v>Data Centers-NR</v>
          </cell>
          <cell r="C17">
            <v>0.01</v>
          </cell>
          <cell r="D17">
            <v>0.01</v>
          </cell>
          <cell r="E17">
            <v>0.01</v>
          </cell>
          <cell r="F17">
            <v>0.01</v>
          </cell>
          <cell r="G17">
            <v>0.01</v>
          </cell>
          <cell r="H17">
            <v>0.01</v>
          </cell>
          <cell r="I17">
            <v>0.01</v>
          </cell>
          <cell r="J17">
            <v>0.01</v>
          </cell>
          <cell r="K17">
            <v>0.01</v>
          </cell>
          <cell r="L17">
            <v>0.01</v>
          </cell>
          <cell r="M17">
            <v>0.01</v>
          </cell>
          <cell r="N17">
            <v>0.01</v>
          </cell>
          <cell r="O17">
            <v>0.01</v>
          </cell>
          <cell r="P17">
            <v>0.01</v>
          </cell>
          <cell r="Q17">
            <v>0.01</v>
          </cell>
          <cell r="R17">
            <v>0.01</v>
          </cell>
          <cell r="S17">
            <v>0.01</v>
          </cell>
          <cell r="T17">
            <v>0.01</v>
          </cell>
          <cell r="U17">
            <v>0.8</v>
          </cell>
        </row>
        <row r="18">
          <cell r="B18" t="str">
            <v>Monitor-NR</v>
          </cell>
          <cell r="C18">
            <v>0.01</v>
          </cell>
          <cell r="D18">
            <v>0.01</v>
          </cell>
          <cell r="E18">
            <v>0.01</v>
          </cell>
          <cell r="F18">
            <v>0.01</v>
          </cell>
          <cell r="G18">
            <v>0.01</v>
          </cell>
          <cell r="H18">
            <v>0.01</v>
          </cell>
          <cell r="I18">
            <v>0.01</v>
          </cell>
          <cell r="J18">
            <v>0.01</v>
          </cell>
          <cell r="K18">
            <v>0.01</v>
          </cell>
          <cell r="L18">
            <v>0.01</v>
          </cell>
          <cell r="M18">
            <v>0.01</v>
          </cell>
          <cell r="N18">
            <v>0.01</v>
          </cell>
          <cell r="O18">
            <v>0.01</v>
          </cell>
          <cell r="P18">
            <v>0.01</v>
          </cell>
          <cell r="Q18">
            <v>0.01</v>
          </cell>
          <cell r="R18">
            <v>0.01</v>
          </cell>
          <cell r="S18">
            <v>0.01</v>
          </cell>
          <cell r="T18">
            <v>0.01</v>
          </cell>
          <cell r="U18">
            <v>0.44999999999999996</v>
          </cell>
        </row>
        <row r="19">
          <cell r="B19" t="str">
            <v>Desktop-NR</v>
          </cell>
          <cell r="C19">
            <v>0.01</v>
          </cell>
          <cell r="D19">
            <v>0.01</v>
          </cell>
          <cell r="E19">
            <v>0.01</v>
          </cell>
          <cell r="F19">
            <v>0.01</v>
          </cell>
          <cell r="G19">
            <v>0.01</v>
          </cell>
          <cell r="H19">
            <v>0.01</v>
          </cell>
          <cell r="I19">
            <v>0.01</v>
          </cell>
          <cell r="J19">
            <v>0.01</v>
          </cell>
          <cell r="K19">
            <v>0.01</v>
          </cell>
          <cell r="L19">
            <v>0.01</v>
          </cell>
          <cell r="M19">
            <v>0.01</v>
          </cell>
          <cell r="N19">
            <v>0.01</v>
          </cell>
          <cell r="O19">
            <v>0.01</v>
          </cell>
          <cell r="P19">
            <v>0.01</v>
          </cell>
          <cell r="Q19">
            <v>0.01</v>
          </cell>
          <cell r="R19">
            <v>0.01</v>
          </cell>
          <cell r="S19">
            <v>0.01</v>
          </cell>
          <cell r="T19">
            <v>0.01</v>
          </cell>
          <cell r="U19">
            <v>0.25</v>
          </cell>
          <cell r="X19">
            <v>0.01</v>
          </cell>
          <cell r="Y19">
            <v>0.01</v>
          </cell>
        </row>
        <row r="20">
          <cell r="B20" t="str">
            <v>Pre-Rinse Spray Valve-Retro</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0.74</v>
          </cell>
          <cell r="X20">
            <v>0</v>
          </cell>
          <cell r="Y20">
            <v>0</v>
          </cell>
        </row>
        <row r="21">
          <cell r="B21" t="str">
            <v>Cooking Equipment-NR</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0.54900000000000004</v>
          </cell>
          <cell r="X21">
            <v>0</v>
          </cell>
          <cell r="Y21">
            <v>0</v>
          </cell>
        </row>
        <row r="22">
          <cell r="B22" t="str">
            <v>Premium HVAC Equipment-New</v>
          </cell>
          <cell r="C22">
            <v>0.9</v>
          </cell>
          <cell r="D22">
            <v>0.9</v>
          </cell>
          <cell r="E22">
            <v>0.9</v>
          </cell>
          <cell r="F22">
            <v>0.9</v>
          </cell>
          <cell r="G22">
            <v>0.9</v>
          </cell>
          <cell r="H22">
            <v>0.9</v>
          </cell>
          <cell r="I22">
            <v>0.9</v>
          </cell>
          <cell r="J22">
            <v>0.9</v>
          </cell>
          <cell r="K22">
            <v>0.9</v>
          </cell>
          <cell r="L22">
            <v>0.9</v>
          </cell>
          <cell r="M22">
            <v>0.9</v>
          </cell>
          <cell r="N22">
            <v>0.9</v>
          </cell>
          <cell r="O22">
            <v>0.9</v>
          </cell>
          <cell r="P22">
            <v>0.9</v>
          </cell>
          <cell r="Q22">
            <v>0.9</v>
          </cell>
          <cell r="R22">
            <v>0.9</v>
          </cell>
          <cell r="S22">
            <v>0.9</v>
          </cell>
          <cell r="T22">
            <v>0.9</v>
          </cell>
          <cell r="X22">
            <v>1</v>
          </cell>
          <cell r="Y22">
            <v>1</v>
          </cell>
        </row>
        <row r="23">
          <cell r="B23" t="str">
            <v>Premium HVAC Equipment-NR</v>
          </cell>
          <cell r="C23">
            <v>0.9</v>
          </cell>
          <cell r="D23">
            <v>0.9</v>
          </cell>
          <cell r="E23">
            <v>0.9</v>
          </cell>
          <cell r="F23">
            <v>0.9</v>
          </cell>
          <cell r="G23">
            <v>0.9</v>
          </cell>
          <cell r="H23">
            <v>0.9</v>
          </cell>
          <cell r="I23">
            <v>0.9</v>
          </cell>
          <cell r="J23">
            <v>0.9</v>
          </cell>
          <cell r="K23">
            <v>0.9</v>
          </cell>
          <cell r="L23">
            <v>0.9</v>
          </cell>
          <cell r="M23">
            <v>0.9</v>
          </cell>
          <cell r="N23">
            <v>0.9</v>
          </cell>
          <cell r="O23">
            <v>0.9</v>
          </cell>
          <cell r="P23">
            <v>0.9</v>
          </cell>
          <cell r="Q23">
            <v>0.9</v>
          </cell>
          <cell r="R23">
            <v>0.9</v>
          </cell>
          <cell r="S23">
            <v>0.9</v>
          </cell>
          <cell r="T23">
            <v>0.9</v>
          </cell>
          <cell r="X23">
            <v>1</v>
          </cell>
          <cell r="Y23">
            <v>1</v>
          </cell>
        </row>
        <row r="24">
          <cell r="B24" t="str">
            <v>Glass-New</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X24">
            <v>0</v>
          </cell>
          <cell r="Y24">
            <v>0</v>
          </cell>
        </row>
        <row r="25">
          <cell r="B25" t="str">
            <v>Glass-NR</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X25">
            <v>0</v>
          </cell>
          <cell r="Y25">
            <v>0</v>
          </cell>
        </row>
        <row r="26">
          <cell r="B26" t="str">
            <v>Glass-Retro</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X26">
            <v>0</v>
          </cell>
          <cell r="Y26">
            <v>0</v>
          </cell>
        </row>
        <row r="27">
          <cell r="B27" t="str">
            <v>Advanced Rooftop Controller-New</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X27">
            <v>0</v>
          </cell>
          <cell r="Y27">
            <v>0</v>
          </cell>
        </row>
        <row r="28">
          <cell r="B28" t="str">
            <v>Advanced Rooftop Controller-NR</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X28">
            <v>0</v>
          </cell>
          <cell r="Y28">
            <v>0</v>
          </cell>
        </row>
        <row r="29">
          <cell r="B29" t="str">
            <v>Advanced Rooftop Controller-Retro</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X29">
            <v>0</v>
          </cell>
          <cell r="Y29">
            <v>0</v>
          </cell>
        </row>
        <row r="30">
          <cell r="B30" t="str">
            <v>Variable Speed Chiller-New</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X30">
            <v>0</v>
          </cell>
          <cell r="Y30">
            <v>0</v>
          </cell>
        </row>
        <row r="31">
          <cell r="B31" t="str">
            <v>Variable Speed Chiller-NR</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X31">
            <v>0</v>
          </cell>
          <cell r="Y31">
            <v>0</v>
          </cell>
        </row>
        <row r="32">
          <cell r="B32" t="str">
            <v>Commercial EM-New</v>
          </cell>
          <cell r="C32">
            <v>1</v>
          </cell>
          <cell r="D32">
            <v>1</v>
          </cell>
          <cell r="E32">
            <v>1</v>
          </cell>
          <cell r="F32">
            <v>1</v>
          </cell>
          <cell r="G32">
            <v>1</v>
          </cell>
          <cell r="H32">
            <v>1</v>
          </cell>
          <cell r="I32">
            <v>1</v>
          </cell>
          <cell r="J32">
            <v>1</v>
          </cell>
          <cell r="K32">
            <v>1</v>
          </cell>
          <cell r="L32">
            <v>1</v>
          </cell>
          <cell r="M32">
            <v>1</v>
          </cell>
          <cell r="N32">
            <v>1</v>
          </cell>
          <cell r="O32">
            <v>1</v>
          </cell>
          <cell r="P32">
            <v>1</v>
          </cell>
          <cell r="Q32">
            <v>1</v>
          </cell>
          <cell r="R32">
            <v>1</v>
          </cell>
          <cell r="S32">
            <v>1</v>
          </cell>
          <cell r="T32">
            <v>1</v>
          </cell>
          <cell r="X32">
            <v>1</v>
          </cell>
          <cell r="Y32">
            <v>1</v>
          </cell>
        </row>
        <row r="33">
          <cell r="B33" t="str">
            <v>Commercial EM-NR</v>
          </cell>
          <cell r="C33">
            <v>1</v>
          </cell>
          <cell r="D33">
            <v>1</v>
          </cell>
          <cell r="E33">
            <v>1</v>
          </cell>
          <cell r="F33">
            <v>1</v>
          </cell>
          <cell r="G33">
            <v>1</v>
          </cell>
          <cell r="H33">
            <v>1</v>
          </cell>
          <cell r="I33">
            <v>1</v>
          </cell>
          <cell r="J33">
            <v>1</v>
          </cell>
          <cell r="K33">
            <v>1</v>
          </cell>
          <cell r="L33">
            <v>1</v>
          </cell>
          <cell r="M33">
            <v>1</v>
          </cell>
          <cell r="N33">
            <v>1</v>
          </cell>
          <cell r="O33">
            <v>1</v>
          </cell>
          <cell r="P33">
            <v>1</v>
          </cell>
          <cell r="Q33">
            <v>1</v>
          </cell>
          <cell r="R33">
            <v>1</v>
          </cell>
          <cell r="S33">
            <v>1</v>
          </cell>
          <cell r="T33">
            <v>1</v>
          </cell>
          <cell r="X33">
            <v>1</v>
          </cell>
          <cell r="Y33">
            <v>1</v>
          </cell>
        </row>
        <row r="34">
          <cell r="B34" t="str">
            <v>Commercial EM-Retro</v>
          </cell>
          <cell r="C34">
            <v>0.81420000000000003</v>
          </cell>
          <cell r="D34">
            <v>0.81420000000000003</v>
          </cell>
          <cell r="E34">
            <v>0.81420000000000003</v>
          </cell>
          <cell r="F34">
            <v>0.81420000000000003</v>
          </cell>
          <cell r="G34">
            <v>0.81420000000000003</v>
          </cell>
          <cell r="H34">
            <v>0.81420000000000003</v>
          </cell>
          <cell r="I34">
            <v>0.81420000000000003</v>
          </cell>
          <cell r="J34">
            <v>0.81420000000000003</v>
          </cell>
          <cell r="K34">
            <v>0.81420000000000003</v>
          </cell>
          <cell r="L34">
            <v>0.81420000000000003</v>
          </cell>
          <cell r="M34">
            <v>0.81420000000000003</v>
          </cell>
          <cell r="N34">
            <v>0.81420000000000003</v>
          </cell>
          <cell r="O34">
            <v>0.81420000000000003</v>
          </cell>
          <cell r="P34">
            <v>0.81420000000000003</v>
          </cell>
          <cell r="Q34">
            <v>0.81420000000000003</v>
          </cell>
          <cell r="R34">
            <v>0.81420000000000003</v>
          </cell>
          <cell r="S34">
            <v>0.81420000000000003</v>
          </cell>
          <cell r="T34">
            <v>0.81420000000000003</v>
          </cell>
          <cell r="X34">
            <v>1</v>
          </cell>
          <cell r="Y34">
            <v>1</v>
          </cell>
        </row>
        <row r="35">
          <cell r="B35" t="str">
            <v>Evaporative Assist Cooling-New</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X35">
            <v>0</v>
          </cell>
          <cell r="Y35">
            <v>0</v>
          </cell>
        </row>
        <row r="36">
          <cell r="B36" t="str">
            <v>Evaporative Assist Cooling-NR</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X36">
            <v>0</v>
          </cell>
          <cell r="Y36">
            <v>0</v>
          </cell>
        </row>
        <row r="37">
          <cell r="B37" t="str">
            <v>Economizer-Retro</v>
          </cell>
          <cell r="C37">
            <v>0.37773742662640791</v>
          </cell>
          <cell r="D37">
            <v>0.23826646440482974</v>
          </cell>
          <cell r="E37">
            <v>5.5518884697354179E-2</v>
          </cell>
          <cell r="F37">
            <v>0.35309381104934129</v>
          </cell>
          <cell r="G37">
            <v>0.19907568268653997</v>
          </cell>
          <cell r="H37">
            <v>0.15513670187653161</v>
          </cell>
          <cell r="I37">
            <v>1.0197910929940514E-2</v>
          </cell>
          <cell r="J37">
            <v>0.28088324172086482</v>
          </cell>
          <cell r="K37">
            <v>0.28088324172086482</v>
          </cell>
          <cell r="L37">
            <v>0.11124903795477889</v>
          </cell>
          <cell r="M37">
            <v>0.31360984414443888</v>
          </cell>
          <cell r="N37">
            <v>0.15264480663133839</v>
          </cell>
          <cell r="O37">
            <v>0.24652213025227437</v>
          </cell>
          <cell r="P37">
            <v>7.8175735111402314E-2</v>
          </cell>
          <cell r="Q37">
            <v>0.34124133606352913</v>
          </cell>
          <cell r="R37">
            <v>5.9048454739110051E-2</v>
          </cell>
          <cell r="S37">
            <v>0.29894926354357898</v>
          </cell>
          <cell r="T37">
            <v>0.31491070071894045</v>
          </cell>
          <cell r="X37">
            <v>0.62956237771067991</v>
          </cell>
          <cell r="Y37">
            <v>0.31768861920643965</v>
          </cell>
        </row>
        <row r="38">
          <cell r="B38" t="str">
            <v>Demand Control Ventilation-New</v>
          </cell>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X38">
            <v>0</v>
          </cell>
          <cell r="Y38">
            <v>0</v>
          </cell>
        </row>
        <row r="39">
          <cell r="B39" t="str">
            <v>Demand Control Ventilation-NR</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X39">
            <v>0</v>
          </cell>
          <cell r="Y39">
            <v>0</v>
          </cell>
        </row>
        <row r="40">
          <cell r="B40" t="str">
            <v>Demand Control Ventilation-Retro</v>
          </cell>
          <cell r="C40">
            <v>0.10326972741610822</v>
          </cell>
          <cell r="D40">
            <v>0.62207382538606792</v>
          </cell>
          <cell r="E40">
            <v>0.71764122486097937</v>
          </cell>
          <cell r="F40">
            <v>0.64936643170170361</v>
          </cell>
          <cell r="G40">
            <v>0.3754791340852166</v>
          </cell>
          <cell r="H40">
            <v>0.51861578363233451</v>
          </cell>
          <cell r="I40">
            <v>0.4224831216091387</v>
          </cell>
          <cell r="J40">
            <v>0.32307857163168779</v>
          </cell>
          <cell r="K40">
            <v>0.19213044434378573</v>
          </cell>
          <cell r="L40">
            <v>0.21144946069810441</v>
          </cell>
          <cell r="M40">
            <v>0.43390558040018462</v>
          </cell>
          <cell r="N40">
            <v>0.57499869036077145</v>
          </cell>
          <cell r="O40">
            <v>0.45018285377424883</v>
          </cell>
          <cell r="P40">
            <v>0.24208313482049432</v>
          </cell>
          <cell r="Q40">
            <v>0.12663145344947355</v>
          </cell>
          <cell r="R40">
            <v>0.3226231781527627</v>
          </cell>
          <cell r="S40">
            <v>0.47074543668218816</v>
          </cell>
          <cell r="T40">
            <v>0.34671695238562511</v>
          </cell>
          <cell r="X40">
            <v>0.14631137601011796</v>
          </cell>
          <cell r="Y40">
            <v>0.74589661920231454</v>
          </cell>
        </row>
        <row r="41">
          <cell r="B41" t="str">
            <v>Premium Fume Hood-NR</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0.9</v>
          </cell>
          <cell r="X41">
            <v>0</v>
          </cell>
          <cell r="Y41">
            <v>0</v>
          </cell>
        </row>
        <row r="42">
          <cell r="B42" t="str">
            <v>DCV Restaurant Hood-Retro</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X42">
            <v>0</v>
          </cell>
          <cell r="Y42">
            <v>0</v>
          </cell>
        </row>
        <row r="43">
          <cell r="B43" t="str">
            <v>DCV Parking Garage-Retro</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X43">
            <v>0</v>
          </cell>
          <cell r="Y43">
            <v>0</v>
          </cell>
        </row>
        <row r="44">
          <cell r="B44" t="str">
            <v>Weatherization - School-Retro</v>
          </cell>
          <cell r="C44">
            <v>0.01</v>
          </cell>
          <cell r="D44">
            <v>0.01</v>
          </cell>
          <cell r="E44">
            <v>0.01</v>
          </cell>
          <cell r="F44">
            <v>0.01</v>
          </cell>
          <cell r="G44">
            <v>0.01</v>
          </cell>
          <cell r="H44">
            <v>0.01</v>
          </cell>
          <cell r="I44">
            <v>0.01</v>
          </cell>
          <cell r="J44">
            <v>0.01</v>
          </cell>
          <cell r="K44">
            <v>0.01</v>
          </cell>
          <cell r="L44">
            <v>0.01</v>
          </cell>
          <cell r="M44">
            <v>0.01</v>
          </cell>
          <cell r="N44">
            <v>0.01</v>
          </cell>
          <cell r="O44">
            <v>0.01</v>
          </cell>
          <cell r="P44">
            <v>0.01</v>
          </cell>
          <cell r="Q44">
            <v>0.01</v>
          </cell>
          <cell r="R44">
            <v>0.01</v>
          </cell>
          <cell r="S44">
            <v>0.01</v>
          </cell>
          <cell r="T44">
            <v>0.01</v>
          </cell>
          <cell r="X44">
            <v>0.01</v>
          </cell>
          <cell r="Y44">
            <v>0.01</v>
          </cell>
        </row>
        <row r="45">
          <cell r="B45" t="str">
            <v>Energy Recovery Ventilator-NR</v>
          </cell>
          <cell r="C45">
            <v>0.01</v>
          </cell>
          <cell r="D45">
            <v>0.01</v>
          </cell>
          <cell r="E45">
            <v>0.01</v>
          </cell>
          <cell r="F45">
            <v>0.01</v>
          </cell>
          <cell r="G45">
            <v>0.01</v>
          </cell>
          <cell r="H45">
            <v>0.01</v>
          </cell>
          <cell r="I45">
            <v>0.01</v>
          </cell>
          <cell r="J45">
            <v>0.01</v>
          </cell>
          <cell r="K45">
            <v>0.01</v>
          </cell>
          <cell r="L45">
            <v>0.01</v>
          </cell>
          <cell r="M45">
            <v>0.01</v>
          </cell>
          <cell r="N45">
            <v>0.01</v>
          </cell>
          <cell r="O45">
            <v>0.01</v>
          </cell>
          <cell r="P45">
            <v>0.01</v>
          </cell>
          <cell r="Q45">
            <v>0.01</v>
          </cell>
          <cell r="R45">
            <v>0.01</v>
          </cell>
          <cell r="S45">
            <v>0.01</v>
          </cell>
          <cell r="T45">
            <v>0.01</v>
          </cell>
          <cell r="U45">
            <v>9.9999999999999978E-2</v>
          </cell>
          <cell r="X45">
            <v>0.01</v>
          </cell>
          <cell r="Y45">
            <v>0.01</v>
          </cell>
        </row>
        <row r="46">
          <cell r="B46" t="str">
            <v>AC Heat Recovery for Water Heating-NR</v>
          </cell>
          <cell r="C46">
            <v>0.01</v>
          </cell>
          <cell r="D46">
            <v>0.01</v>
          </cell>
          <cell r="E46">
            <v>0.01</v>
          </cell>
          <cell r="F46">
            <v>0.01</v>
          </cell>
          <cell r="G46">
            <v>0.01</v>
          </cell>
          <cell r="H46">
            <v>0.01</v>
          </cell>
          <cell r="I46">
            <v>0.01</v>
          </cell>
          <cell r="J46">
            <v>0.01</v>
          </cell>
          <cell r="K46">
            <v>0.01</v>
          </cell>
          <cell r="L46">
            <v>0.01</v>
          </cell>
          <cell r="M46">
            <v>0.01</v>
          </cell>
          <cell r="N46">
            <v>0.01</v>
          </cell>
          <cell r="O46">
            <v>0.01</v>
          </cell>
          <cell r="P46">
            <v>0.01</v>
          </cell>
          <cell r="Q46">
            <v>0.01</v>
          </cell>
          <cell r="R46">
            <v>0.01</v>
          </cell>
          <cell r="S46">
            <v>0.01</v>
          </cell>
          <cell r="T46">
            <v>0.01</v>
          </cell>
          <cell r="X46">
            <v>0.01</v>
          </cell>
          <cell r="Y46">
            <v>0.01</v>
          </cell>
        </row>
        <row r="47">
          <cell r="B47" t="str">
            <v>Room Occupancy Sensors in Lodging-Retro</v>
          </cell>
          <cell r="C47">
            <v>0.01</v>
          </cell>
          <cell r="D47">
            <v>0.01</v>
          </cell>
          <cell r="E47">
            <v>0.01</v>
          </cell>
          <cell r="F47">
            <v>0.01</v>
          </cell>
          <cell r="G47">
            <v>0.01</v>
          </cell>
          <cell r="H47">
            <v>0.01</v>
          </cell>
          <cell r="I47">
            <v>0.01</v>
          </cell>
          <cell r="J47">
            <v>0.01</v>
          </cell>
          <cell r="K47">
            <v>0.01</v>
          </cell>
          <cell r="L47">
            <v>0.01</v>
          </cell>
          <cell r="M47">
            <v>0.01</v>
          </cell>
          <cell r="N47">
            <v>0.01</v>
          </cell>
          <cell r="O47">
            <v>0.01</v>
          </cell>
          <cell r="P47">
            <v>0.01</v>
          </cell>
          <cell r="Q47">
            <v>0.01</v>
          </cell>
          <cell r="R47">
            <v>0.01</v>
          </cell>
          <cell r="S47">
            <v>0.01</v>
          </cell>
          <cell r="T47">
            <v>0.01</v>
          </cell>
          <cell r="X47">
            <v>0.01</v>
          </cell>
          <cell r="Y47">
            <v>0.01</v>
          </cell>
        </row>
        <row r="48">
          <cell r="B48" t="str">
            <v>Chiller - chilled water retrofit-Retro</v>
          </cell>
          <cell r="C48">
            <v>0.01</v>
          </cell>
          <cell r="D48">
            <v>0.01</v>
          </cell>
          <cell r="E48">
            <v>0.01</v>
          </cell>
          <cell r="F48">
            <v>0.01</v>
          </cell>
          <cell r="G48">
            <v>0.01</v>
          </cell>
          <cell r="H48">
            <v>0.01</v>
          </cell>
          <cell r="I48">
            <v>0.01</v>
          </cell>
          <cell r="J48">
            <v>0.01</v>
          </cell>
          <cell r="K48">
            <v>0.01</v>
          </cell>
          <cell r="L48">
            <v>0.01</v>
          </cell>
          <cell r="M48">
            <v>0.01</v>
          </cell>
          <cell r="N48">
            <v>0.01</v>
          </cell>
          <cell r="O48">
            <v>0.01</v>
          </cell>
          <cell r="P48">
            <v>0.01</v>
          </cell>
          <cell r="Q48">
            <v>0.01</v>
          </cell>
          <cell r="R48">
            <v>0.01</v>
          </cell>
          <cell r="S48">
            <v>0.01</v>
          </cell>
          <cell r="T48">
            <v>0.01</v>
          </cell>
          <cell r="X48">
            <v>0.01</v>
          </cell>
          <cell r="Y48">
            <v>0.01</v>
          </cell>
        </row>
        <row r="49">
          <cell r="B49" t="str">
            <v>Chiller - equip retrofits-Retro</v>
          </cell>
          <cell r="C49">
            <v>0.01</v>
          </cell>
          <cell r="D49">
            <v>0.01</v>
          </cell>
          <cell r="E49">
            <v>0.01</v>
          </cell>
          <cell r="F49">
            <v>0.01</v>
          </cell>
          <cell r="G49">
            <v>0.01</v>
          </cell>
          <cell r="H49">
            <v>0.01</v>
          </cell>
          <cell r="I49">
            <v>0.01</v>
          </cell>
          <cell r="J49">
            <v>0.01</v>
          </cell>
          <cell r="K49">
            <v>0.01</v>
          </cell>
          <cell r="L49">
            <v>0.01</v>
          </cell>
          <cell r="M49">
            <v>0.01</v>
          </cell>
          <cell r="N49">
            <v>0.01</v>
          </cell>
          <cell r="O49">
            <v>0.01</v>
          </cell>
          <cell r="P49">
            <v>0.01</v>
          </cell>
          <cell r="Q49">
            <v>0.01</v>
          </cell>
          <cell r="R49">
            <v>0.01</v>
          </cell>
          <cell r="S49">
            <v>0.01</v>
          </cell>
          <cell r="T49">
            <v>0.01</v>
          </cell>
          <cell r="X49">
            <v>0.01</v>
          </cell>
          <cell r="Y49">
            <v>0.01</v>
          </cell>
        </row>
        <row r="50">
          <cell r="B50" t="str">
            <v>Pool Blankets-Retro</v>
          </cell>
          <cell r="C50">
            <v>0.01</v>
          </cell>
          <cell r="D50">
            <v>0.01</v>
          </cell>
          <cell r="E50">
            <v>0.01</v>
          </cell>
          <cell r="F50">
            <v>0.01</v>
          </cell>
          <cell r="G50">
            <v>0.01</v>
          </cell>
          <cell r="H50">
            <v>0.01</v>
          </cell>
          <cell r="I50">
            <v>0.01</v>
          </cell>
          <cell r="J50">
            <v>0.01</v>
          </cell>
          <cell r="K50">
            <v>0.01</v>
          </cell>
          <cell r="L50">
            <v>0.01</v>
          </cell>
          <cell r="M50">
            <v>0.01</v>
          </cell>
          <cell r="N50">
            <v>0.01</v>
          </cell>
          <cell r="O50">
            <v>0.01</v>
          </cell>
          <cell r="P50">
            <v>0.01</v>
          </cell>
          <cell r="Q50">
            <v>0.01</v>
          </cell>
          <cell r="R50">
            <v>0.01</v>
          </cell>
          <cell r="S50">
            <v>0.01</v>
          </cell>
          <cell r="T50">
            <v>0.01</v>
          </cell>
          <cell r="X50">
            <v>0.01</v>
          </cell>
          <cell r="Y50">
            <v>0.01</v>
          </cell>
        </row>
        <row r="51">
          <cell r="B51" t="str">
            <v>Web-Enabled Thermostats-Retro</v>
          </cell>
          <cell r="C51">
            <v>0.01</v>
          </cell>
          <cell r="D51">
            <v>0.01</v>
          </cell>
          <cell r="E51">
            <v>0.01</v>
          </cell>
          <cell r="F51">
            <v>0.01</v>
          </cell>
          <cell r="G51">
            <v>0.01</v>
          </cell>
          <cell r="H51">
            <v>0.01</v>
          </cell>
          <cell r="I51">
            <v>0.01</v>
          </cell>
          <cell r="J51">
            <v>0.01</v>
          </cell>
          <cell r="K51">
            <v>0.01</v>
          </cell>
          <cell r="L51">
            <v>0.01</v>
          </cell>
          <cell r="M51">
            <v>0.01</v>
          </cell>
          <cell r="N51">
            <v>0.01</v>
          </cell>
          <cell r="O51">
            <v>0.01</v>
          </cell>
          <cell r="P51">
            <v>0.01</v>
          </cell>
          <cell r="Q51">
            <v>0.01</v>
          </cell>
          <cell r="R51">
            <v>0.01</v>
          </cell>
          <cell r="S51">
            <v>0.01</v>
          </cell>
          <cell r="T51">
            <v>0.01</v>
          </cell>
          <cell r="X51">
            <v>0.01</v>
          </cell>
          <cell r="Y51">
            <v>0.01</v>
          </cell>
        </row>
        <row r="52">
          <cell r="B52" t="str">
            <v>Garage CO2 ventilation-Retro</v>
          </cell>
          <cell r="C52">
            <v>0.01</v>
          </cell>
          <cell r="D52">
            <v>0.01</v>
          </cell>
          <cell r="E52">
            <v>0.01</v>
          </cell>
          <cell r="F52">
            <v>0.01</v>
          </cell>
          <cell r="G52">
            <v>0.01</v>
          </cell>
          <cell r="H52">
            <v>0.01</v>
          </cell>
          <cell r="I52">
            <v>0.01</v>
          </cell>
          <cell r="J52">
            <v>0.01</v>
          </cell>
          <cell r="K52">
            <v>0.01</v>
          </cell>
          <cell r="L52">
            <v>0.01</v>
          </cell>
          <cell r="M52">
            <v>0.01</v>
          </cell>
          <cell r="N52">
            <v>0.01</v>
          </cell>
          <cell r="O52">
            <v>0.01</v>
          </cell>
          <cell r="P52">
            <v>0.01</v>
          </cell>
          <cell r="Q52">
            <v>0.01</v>
          </cell>
          <cell r="R52">
            <v>0.01</v>
          </cell>
          <cell r="S52">
            <v>0.01</v>
          </cell>
          <cell r="T52">
            <v>0.01</v>
          </cell>
          <cell r="X52">
            <v>0.01</v>
          </cell>
          <cell r="Y52">
            <v>0.01</v>
          </cell>
        </row>
        <row r="53">
          <cell r="B53" t="str">
            <v>Circ Pump ECM and drive-Retro</v>
          </cell>
          <cell r="C53">
            <v>0.01</v>
          </cell>
          <cell r="D53">
            <v>0.01</v>
          </cell>
          <cell r="E53">
            <v>0.01</v>
          </cell>
          <cell r="F53">
            <v>0.01</v>
          </cell>
          <cell r="G53">
            <v>0.01</v>
          </cell>
          <cell r="H53">
            <v>0.01</v>
          </cell>
          <cell r="I53">
            <v>0.01</v>
          </cell>
          <cell r="J53">
            <v>0.01</v>
          </cell>
          <cell r="K53">
            <v>0.01</v>
          </cell>
          <cell r="L53">
            <v>0.01</v>
          </cell>
          <cell r="M53">
            <v>0.01</v>
          </cell>
          <cell r="N53">
            <v>0.01</v>
          </cell>
          <cell r="O53">
            <v>0.01</v>
          </cell>
          <cell r="P53">
            <v>0.01</v>
          </cell>
          <cell r="Q53">
            <v>0.01</v>
          </cell>
          <cell r="R53">
            <v>0.01</v>
          </cell>
          <cell r="S53">
            <v>0.01</v>
          </cell>
          <cell r="T53">
            <v>0.01</v>
          </cell>
          <cell r="X53">
            <v>0.01</v>
          </cell>
          <cell r="Y53">
            <v>0.01</v>
          </cell>
        </row>
        <row r="54">
          <cell r="B54" t="str">
            <v>VRF-New</v>
          </cell>
          <cell r="C54">
            <v>4.9000000000000002E-2</v>
          </cell>
          <cell r="D54">
            <v>0.78400000000000003</v>
          </cell>
          <cell r="E54">
            <v>0.78400000000000003</v>
          </cell>
          <cell r="F54">
            <v>0.245</v>
          </cell>
          <cell r="G54">
            <v>0.245</v>
          </cell>
          <cell r="H54">
            <v>0.245</v>
          </cell>
          <cell r="I54">
            <v>0.245</v>
          </cell>
          <cell r="J54">
            <v>0.78400000000000003</v>
          </cell>
          <cell r="K54">
            <v>0.78400000000000003</v>
          </cell>
          <cell r="L54">
            <v>9.7999999999999997E-3</v>
          </cell>
          <cell r="M54">
            <v>4.9000000000000002E-2</v>
          </cell>
          <cell r="N54">
            <v>4.9000000000000002E-2</v>
          </cell>
          <cell r="O54">
            <v>0.245</v>
          </cell>
          <cell r="P54">
            <v>0.68599999999999994</v>
          </cell>
          <cell r="Q54">
            <v>4.9000000000000002E-2</v>
          </cell>
          <cell r="R54">
            <v>0.78400000000000003</v>
          </cell>
          <cell r="S54">
            <v>0.245</v>
          </cell>
          <cell r="T54">
            <v>0.78400000000000003</v>
          </cell>
          <cell r="X54">
            <v>0.05</v>
          </cell>
          <cell r="Y54">
            <v>0.8</v>
          </cell>
        </row>
        <row r="55">
          <cell r="B55" t="str">
            <v>VRF-Retro</v>
          </cell>
          <cell r="C55">
            <v>2.4820152866650024E-2</v>
          </cell>
          <cell r="D55">
            <v>6.9496428026620066E-2</v>
          </cell>
          <cell r="E55">
            <v>6.9496428026620066E-2</v>
          </cell>
          <cell r="F55">
            <v>4.9500000000000004E-3</v>
          </cell>
          <cell r="G55">
            <v>6.93E-2</v>
          </cell>
          <cell r="H55">
            <v>6.93E-2</v>
          </cell>
          <cell r="I55">
            <v>2.4750000000000001E-2</v>
          </cell>
          <cell r="J55">
            <v>2.4750000000000001E-2</v>
          </cell>
          <cell r="K55">
            <v>2.4750000000000001E-2</v>
          </cell>
          <cell r="L55">
            <v>2.4750000000000001E-2</v>
          </cell>
          <cell r="M55">
            <v>6.93E-2</v>
          </cell>
          <cell r="N55">
            <v>6.93E-2</v>
          </cell>
          <cell r="O55">
            <v>9.8999999999999999E-4</v>
          </cell>
          <cell r="P55">
            <v>4.9500000000000004E-3</v>
          </cell>
          <cell r="Q55">
            <v>4.9500000000000004E-3</v>
          </cell>
          <cell r="R55">
            <v>2.4750000000000001E-2</v>
          </cell>
          <cell r="S55">
            <v>6.93E-2</v>
          </cell>
          <cell r="T55">
            <v>4.9500000000000004E-3</v>
          </cell>
          <cell r="X55">
            <v>2.4820152866650024E-2</v>
          </cell>
          <cell r="Y55">
            <v>6.9496428026620066E-2</v>
          </cell>
        </row>
        <row r="56">
          <cell r="B56" t="str">
            <v>Evaporator Roof Top HVAC-Retro</v>
          </cell>
          <cell r="C56">
            <v>0.01</v>
          </cell>
          <cell r="D56">
            <v>0.01</v>
          </cell>
          <cell r="E56">
            <v>0.01</v>
          </cell>
          <cell r="F56">
            <v>0.01</v>
          </cell>
          <cell r="G56">
            <v>0.01</v>
          </cell>
          <cell r="H56">
            <v>0.01</v>
          </cell>
          <cell r="I56">
            <v>0.01</v>
          </cell>
          <cell r="J56">
            <v>0.01</v>
          </cell>
          <cell r="K56">
            <v>0.01</v>
          </cell>
          <cell r="L56">
            <v>0.01</v>
          </cell>
          <cell r="M56">
            <v>0.01</v>
          </cell>
          <cell r="N56">
            <v>0.01</v>
          </cell>
          <cell r="O56">
            <v>0.01</v>
          </cell>
          <cell r="P56">
            <v>0.01</v>
          </cell>
          <cell r="Q56">
            <v>0.01</v>
          </cell>
          <cell r="R56">
            <v>0.01</v>
          </cell>
          <cell r="S56">
            <v>0.01</v>
          </cell>
          <cell r="T56">
            <v>0.01</v>
          </cell>
          <cell r="X56">
            <v>0.01</v>
          </cell>
          <cell r="Y56">
            <v>0.01</v>
          </cell>
        </row>
        <row r="57">
          <cell r="B57" t="str">
            <v>Secondary Glazing Systems-Retro</v>
          </cell>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X57">
            <v>0</v>
          </cell>
          <cell r="Y57">
            <v>0</v>
          </cell>
        </row>
        <row r="58">
          <cell r="B58" t="str">
            <v>LPD Package-New</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X58">
            <v>0</v>
          </cell>
          <cell r="Y58">
            <v>0</v>
          </cell>
        </row>
        <row r="59">
          <cell r="B59" t="str">
            <v>LPD Package-NR</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X59">
            <v>0</v>
          </cell>
          <cell r="Y59">
            <v>0</v>
          </cell>
        </row>
        <row r="60">
          <cell r="B60" t="str">
            <v>LPD Package-Retro</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X60">
            <v>0</v>
          </cell>
          <cell r="Y60">
            <v>0</v>
          </cell>
        </row>
        <row r="61">
          <cell r="B61" t="str">
            <v>Top Daylighting-New</v>
          </cell>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X61">
            <v>0</v>
          </cell>
          <cell r="Y61">
            <v>0</v>
          </cell>
        </row>
        <row r="62">
          <cell r="B62" t="str">
            <v>Perimeter Daylighting Controls Advanced-New</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X62">
            <v>0</v>
          </cell>
          <cell r="Y62">
            <v>0</v>
          </cell>
        </row>
        <row r="63">
          <cell r="B63" t="str">
            <v>Perimeter Daylighting Controls Advanced-NR</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X63">
            <v>0</v>
          </cell>
          <cell r="Y63">
            <v>0</v>
          </cell>
        </row>
        <row r="64">
          <cell r="B64" t="str">
            <v>Lighting Controls Interior-New</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X64">
            <v>0</v>
          </cell>
          <cell r="Y64">
            <v>0</v>
          </cell>
        </row>
        <row r="65">
          <cell r="B65" t="str">
            <v>Lighting Controls Interior-NR</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X65">
            <v>0</v>
          </cell>
          <cell r="Y65">
            <v>0</v>
          </cell>
        </row>
        <row r="66">
          <cell r="B66" t="str">
            <v>Exterior Building Lighting-New</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X66">
            <v>0</v>
          </cell>
          <cell r="Y66">
            <v>0</v>
          </cell>
        </row>
        <row r="67">
          <cell r="B67" t="str">
            <v>Exterior Building Lighting-NR</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X67">
            <v>0</v>
          </cell>
          <cell r="Y67">
            <v>0</v>
          </cell>
        </row>
        <row r="68">
          <cell r="B68" t="str">
            <v>Street and Roadway Lighting-New</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0.6</v>
          </cell>
          <cell r="X68">
            <v>0</v>
          </cell>
          <cell r="Y68">
            <v>0</v>
          </cell>
        </row>
        <row r="69">
          <cell r="B69" t="str">
            <v>Street and Roadway Lighting-NR</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0.5</v>
          </cell>
          <cell r="X69">
            <v>0</v>
          </cell>
          <cell r="Y69">
            <v>0</v>
          </cell>
        </row>
        <row r="70">
          <cell r="B70" t="str">
            <v>Parking Lighting-New</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X70">
            <v>0</v>
          </cell>
          <cell r="Y70">
            <v>0</v>
          </cell>
        </row>
        <row r="71">
          <cell r="B71" t="str">
            <v>Parking Lighting-NR</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X71">
            <v>0</v>
          </cell>
          <cell r="Y71">
            <v>0</v>
          </cell>
        </row>
        <row r="72">
          <cell r="B72" t="str">
            <v>Bi-Level Stairwell Lighting-NR</v>
          </cell>
          <cell r="C72">
            <v>0.01</v>
          </cell>
          <cell r="D72">
            <v>0.01</v>
          </cell>
          <cell r="E72">
            <v>0.01</v>
          </cell>
          <cell r="F72">
            <v>0.01</v>
          </cell>
          <cell r="G72">
            <v>0.01</v>
          </cell>
          <cell r="H72">
            <v>0.01</v>
          </cell>
          <cell r="I72">
            <v>0.01</v>
          </cell>
          <cell r="J72">
            <v>0.01</v>
          </cell>
          <cell r="K72">
            <v>0.01</v>
          </cell>
          <cell r="L72">
            <v>0.01</v>
          </cell>
          <cell r="M72">
            <v>0.01</v>
          </cell>
          <cell r="N72">
            <v>0.01</v>
          </cell>
          <cell r="O72">
            <v>0.01</v>
          </cell>
          <cell r="P72">
            <v>0.01</v>
          </cell>
          <cell r="Q72">
            <v>0.01</v>
          </cell>
          <cell r="R72">
            <v>0.01</v>
          </cell>
          <cell r="S72">
            <v>0.01</v>
          </cell>
          <cell r="T72">
            <v>0.01</v>
          </cell>
          <cell r="X72">
            <v>0.01</v>
          </cell>
          <cell r="Y72">
            <v>0.01</v>
          </cell>
        </row>
        <row r="73">
          <cell r="B73" t="str">
            <v>ECM-VAV-New</v>
          </cell>
          <cell r="C73">
            <v>0.6</v>
          </cell>
          <cell r="D73">
            <v>0.7</v>
          </cell>
          <cell r="E73">
            <v>0.9</v>
          </cell>
          <cell r="F73">
            <v>0.9</v>
          </cell>
          <cell r="G73">
            <v>0.9</v>
          </cell>
          <cell r="H73">
            <v>0.9</v>
          </cell>
          <cell r="I73">
            <v>0.6</v>
          </cell>
          <cell r="J73">
            <v>0.9</v>
          </cell>
          <cell r="K73">
            <v>0.6</v>
          </cell>
          <cell r="L73">
            <v>0.9</v>
          </cell>
          <cell r="M73">
            <v>0.9</v>
          </cell>
          <cell r="N73">
            <v>0.9</v>
          </cell>
          <cell r="O73">
            <v>0.9</v>
          </cell>
          <cell r="P73">
            <v>0.9</v>
          </cell>
          <cell r="Q73">
            <v>0.6</v>
          </cell>
          <cell r="R73">
            <v>0.9</v>
          </cell>
          <cell r="S73">
            <v>0.9</v>
          </cell>
          <cell r="T73">
            <v>0.6</v>
          </cell>
          <cell r="X73">
            <v>1</v>
          </cell>
          <cell r="Y73">
            <v>1</v>
          </cell>
        </row>
        <row r="74">
          <cell r="B74" t="str">
            <v>ECM-VAV-NR</v>
          </cell>
          <cell r="C74">
            <v>0.8</v>
          </cell>
          <cell r="D74">
            <v>0.8</v>
          </cell>
          <cell r="E74">
            <v>0.9</v>
          </cell>
          <cell r="F74">
            <v>0.9</v>
          </cell>
          <cell r="G74">
            <v>0.9</v>
          </cell>
          <cell r="H74">
            <v>0.9</v>
          </cell>
          <cell r="I74">
            <v>0.8</v>
          </cell>
          <cell r="J74">
            <v>0.9</v>
          </cell>
          <cell r="K74">
            <v>0.8</v>
          </cell>
          <cell r="L74">
            <v>0.9</v>
          </cell>
          <cell r="M74">
            <v>0.9</v>
          </cell>
          <cell r="N74">
            <v>0.9</v>
          </cell>
          <cell r="O74">
            <v>0.9</v>
          </cell>
          <cell r="P74">
            <v>0.9</v>
          </cell>
          <cell r="Q74">
            <v>0.8</v>
          </cell>
          <cell r="R74">
            <v>0.9</v>
          </cell>
          <cell r="S74">
            <v>0.9</v>
          </cell>
          <cell r="T74">
            <v>0.8</v>
          </cell>
          <cell r="X74">
            <v>1</v>
          </cell>
          <cell r="Y74">
            <v>1</v>
          </cell>
        </row>
        <row r="75">
          <cell r="B75" t="str">
            <v>Pool pumps-Retro</v>
          </cell>
          <cell r="C75">
            <v>0.01</v>
          </cell>
          <cell r="D75">
            <v>0.01</v>
          </cell>
          <cell r="E75">
            <v>0.01</v>
          </cell>
          <cell r="F75">
            <v>0.01</v>
          </cell>
          <cell r="G75">
            <v>0.01</v>
          </cell>
          <cell r="H75">
            <v>0.01</v>
          </cell>
          <cell r="I75">
            <v>0.01</v>
          </cell>
          <cell r="J75">
            <v>0.01</v>
          </cell>
          <cell r="K75">
            <v>0.01</v>
          </cell>
          <cell r="L75">
            <v>0.01</v>
          </cell>
          <cell r="M75">
            <v>0.01</v>
          </cell>
          <cell r="N75">
            <v>0.01</v>
          </cell>
          <cell r="O75">
            <v>0.01</v>
          </cell>
          <cell r="P75">
            <v>0.01</v>
          </cell>
          <cell r="Q75">
            <v>0.01</v>
          </cell>
          <cell r="R75">
            <v>0.01</v>
          </cell>
          <cell r="S75">
            <v>0.01</v>
          </cell>
          <cell r="T75">
            <v>0.01</v>
          </cell>
          <cell r="X75">
            <v>0.01</v>
          </cell>
          <cell r="Y75">
            <v>0.01</v>
          </cell>
        </row>
        <row r="76">
          <cell r="B76" t="str">
            <v>MotorsRewind-New</v>
          </cell>
          <cell r="C76">
            <v>0.01</v>
          </cell>
          <cell r="D76">
            <v>0.01</v>
          </cell>
          <cell r="E76">
            <v>0.01</v>
          </cell>
          <cell r="F76">
            <v>0.01</v>
          </cell>
          <cell r="G76">
            <v>0.01</v>
          </cell>
          <cell r="H76">
            <v>0.01</v>
          </cell>
          <cell r="I76">
            <v>0.01</v>
          </cell>
          <cell r="J76">
            <v>0.01</v>
          </cell>
          <cell r="K76">
            <v>0.01</v>
          </cell>
          <cell r="L76">
            <v>0.01</v>
          </cell>
          <cell r="M76">
            <v>0.01</v>
          </cell>
          <cell r="N76">
            <v>0.01</v>
          </cell>
          <cell r="O76">
            <v>0.01</v>
          </cell>
          <cell r="P76">
            <v>0.01</v>
          </cell>
          <cell r="Q76">
            <v>0.01</v>
          </cell>
          <cell r="R76">
            <v>0.01</v>
          </cell>
          <cell r="S76">
            <v>0.01</v>
          </cell>
          <cell r="T76">
            <v>0.01</v>
          </cell>
          <cell r="X76">
            <v>0.01</v>
          </cell>
          <cell r="Y76">
            <v>0.01</v>
          </cell>
        </row>
        <row r="77">
          <cell r="B77" t="str">
            <v>MotorsRewind-NR</v>
          </cell>
          <cell r="C77">
            <v>0.01</v>
          </cell>
          <cell r="D77">
            <v>0.01</v>
          </cell>
          <cell r="E77">
            <v>0.01</v>
          </cell>
          <cell r="F77">
            <v>0.01</v>
          </cell>
          <cell r="G77">
            <v>0.01</v>
          </cell>
          <cell r="H77">
            <v>0.01</v>
          </cell>
          <cell r="I77">
            <v>0.01</v>
          </cell>
          <cell r="J77">
            <v>0.01</v>
          </cell>
          <cell r="K77">
            <v>0.01</v>
          </cell>
          <cell r="L77">
            <v>0.01</v>
          </cell>
          <cell r="M77">
            <v>0.01</v>
          </cell>
          <cell r="N77">
            <v>0.01</v>
          </cell>
          <cell r="O77">
            <v>0.01</v>
          </cell>
          <cell r="P77">
            <v>0.01</v>
          </cell>
          <cell r="Q77">
            <v>0.01</v>
          </cell>
          <cell r="R77">
            <v>0.01</v>
          </cell>
          <cell r="S77">
            <v>0.01</v>
          </cell>
          <cell r="T77">
            <v>0.01</v>
          </cell>
          <cell r="X77">
            <v>0.01</v>
          </cell>
          <cell r="Y77">
            <v>0.01</v>
          </cell>
        </row>
        <row r="78">
          <cell r="B78" t="str">
            <v>Municipal Sewage Treatment-Retro</v>
          </cell>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1</v>
          </cell>
          <cell r="X78">
            <v>0</v>
          </cell>
          <cell r="Y78">
            <v>0</v>
          </cell>
        </row>
        <row r="79">
          <cell r="B79" t="str">
            <v>Municipal Water Supply-Retro</v>
          </cell>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1</v>
          </cell>
          <cell r="X79">
            <v>0</v>
          </cell>
          <cell r="Y79">
            <v>0</v>
          </cell>
        </row>
        <row r="80">
          <cell r="B80" t="str">
            <v>Engine Generator Block Heaters-Retro</v>
          </cell>
          <cell r="C80">
            <v>0.01</v>
          </cell>
          <cell r="D80">
            <v>0.01</v>
          </cell>
          <cell r="E80">
            <v>0.01</v>
          </cell>
          <cell r="F80">
            <v>0.01</v>
          </cell>
          <cell r="G80">
            <v>0.01</v>
          </cell>
          <cell r="H80">
            <v>0.01</v>
          </cell>
          <cell r="I80">
            <v>0.01</v>
          </cell>
          <cell r="J80">
            <v>0.01</v>
          </cell>
          <cell r="K80">
            <v>0.01</v>
          </cell>
          <cell r="L80">
            <v>0.01</v>
          </cell>
          <cell r="M80">
            <v>0.01</v>
          </cell>
          <cell r="N80">
            <v>0.01</v>
          </cell>
          <cell r="O80">
            <v>0.01</v>
          </cell>
          <cell r="P80">
            <v>0.01</v>
          </cell>
          <cell r="Q80">
            <v>0.01</v>
          </cell>
          <cell r="R80">
            <v>0.01</v>
          </cell>
          <cell r="S80">
            <v>0.01</v>
          </cell>
          <cell r="T80">
            <v>0.01</v>
          </cell>
          <cell r="X80">
            <v>0.01</v>
          </cell>
          <cell r="Y80">
            <v>0.01</v>
          </cell>
        </row>
        <row r="81">
          <cell r="B81" t="str">
            <v>Grocery Refrigeration Bundle-Retro</v>
          </cell>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X81">
            <v>0</v>
          </cell>
          <cell r="Y81">
            <v>0</v>
          </cell>
        </row>
        <row r="82">
          <cell r="B82" t="str">
            <v>Packaged Refrigeration Equipment-New</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X82">
            <v>0</v>
          </cell>
          <cell r="Y82">
            <v>0</v>
          </cell>
        </row>
        <row r="83">
          <cell r="B83" t="str">
            <v>Appliances - Freezers-NR</v>
          </cell>
          <cell r="C83">
            <v>0.01</v>
          </cell>
          <cell r="D83">
            <v>0.01</v>
          </cell>
          <cell r="E83">
            <v>0.01</v>
          </cell>
          <cell r="F83">
            <v>0.01</v>
          </cell>
          <cell r="G83">
            <v>0.01</v>
          </cell>
          <cell r="H83">
            <v>0.01</v>
          </cell>
          <cell r="I83">
            <v>0.01</v>
          </cell>
          <cell r="J83">
            <v>0.01</v>
          </cell>
          <cell r="K83">
            <v>0.01</v>
          </cell>
          <cell r="L83">
            <v>0.01</v>
          </cell>
          <cell r="M83">
            <v>0.01</v>
          </cell>
          <cell r="N83">
            <v>0.01</v>
          </cell>
          <cell r="O83">
            <v>0.01</v>
          </cell>
          <cell r="P83">
            <v>0.01</v>
          </cell>
          <cell r="Q83">
            <v>0.01</v>
          </cell>
          <cell r="R83">
            <v>0.01</v>
          </cell>
          <cell r="S83">
            <v>0.01</v>
          </cell>
          <cell r="T83">
            <v>0.01</v>
          </cell>
          <cell r="U83" t="e">
            <v>#VALUE!</v>
          </cell>
          <cell r="X83">
            <v>0.01</v>
          </cell>
          <cell r="Y83">
            <v>0.01</v>
          </cell>
        </row>
        <row r="84">
          <cell r="B84" t="str">
            <v>Appliances - Refrigerators-NR</v>
          </cell>
          <cell r="C84">
            <v>0.01</v>
          </cell>
          <cell r="D84">
            <v>0.01</v>
          </cell>
          <cell r="E84">
            <v>0.01</v>
          </cell>
          <cell r="F84">
            <v>0.01</v>
          </cell>
          <cell r="G84">
            <v>0.01</v>
          </cell>
          <cell r="H84">
            <v>0.01</v>
          </cell>
          <cell r="I84">
            <v>0.01</v>
          </cell>
          <cell r="J84">
            <v>0.01</v>
          </cell>
          <cell r="K84">
            <v>0.01</v>
          </cell>
          <cell r="L84">
            <v>0.01</v>
          </cell>
          <cell r="M84">
            <v>0.01</v>
          </cell>
          <cell r="N84">
            <v>0.01</v>
          </cell>
          <cell r="O84">
            <v>0.01</v>
          </cell>
          <cell r="P84">
            <v>0.01</v>
          </cell>
          <cell r="Q84">
            <v>0.01</v>
          </cell>
          <cell r="R84">
            <v>0.01</v>
          </cell>
          <cell r="S84">
            <v>0.01</v>
          </cell>
          <cell r="T84">
            <v>0.01</v>
          </cell>
          <cell r="U84" t="e">
            <v>#VALUE!</v>
          </cell>
          <cell r="X84">
            <v>0.01</v>
          </cell>
          <cell r="Y84">
            <v>0.01</v>
          </cell>
        </row>
        <row r="85">
          <cell r="B85" t="str">
            <v>Water Cooler Controls-NR</v>
          </cell>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X85">
            <v>0</v>
          </cell>
          <cell r="Y85">
            <v>0</v>
          </cell>
        </row>
        <row r="86">
          <cell r="B86" t="str">
            <v>WHTanks-New</v>
          </cell>
          <cell r="C86">
            <v>1</v>
          </cell>
          <cell r="D86">
            <v>1</v>
          </cell>
          <cell r="E86">
            <v>1</v>
          </cell>
          <cell r="F86">
            <v>1</v>
          </cell>
          <cell r="G86">
            <v>1</v>
          </cell>
          <cell r="H86">
            <v>1</v>
          </cell>
          <cell r="I86">
            <v>1</v>
          </cell>
          <cell r="J86">
            <v>1</v>
          </cell>
          <cell r="K86">
            <v>1</v>
          </cell>
          <cell r="L86">
            <v>1</v>
          </cell>
          <cell r="M86">
            <v>1</v>
          </cell>
          <cell r="N86">
            <v>1</v>
          </cell>
          <cell r="O86">
            <v>1</v>
          </cell>
          <cell r="P86">
            <v>1</v>
          </cell>
          <cell r="Q86">
            <v>1</v>
          </cell>
          <cell r="R86">
            <v>1</v>
          </cell>
          <cell r="S86">
            <v>1</v>
          </cell>
          <cell r="T86">
            <v>1</v>
          </cell>
          <cell r="U86">
            <v>0</v>
          </cell>
          <cell r="X86">
            <v>1</v>
          </cell>
          <cell r="Y86">
            <v>1</v>
          </cell>
        </row>
        <row r="87">
          <cell r="B87" t="str">
            <v>WHTanks-NR</v>
          </cell>
          <cell r="C87">
            <v>1</v>
          </cell>
          <cell r="D87">
            <v>1</v>
          </cell>
          <cell r="E87">
            <v>1</v>
          </cell>
          <cell r="F87">
            <v>1</v>
          </cell>
          <cell r="G87">
            <v>1</v>
          </cell>
          <cell r="H87">
            <v>1</v>
          </cell>
          <cell r="I87">
            <v>1</v>
          </cell>
          <cell r="J87">
            <v>1</v>
          </cell>
          <cell r="K87">
            <v>1</v>
          </cell>
          <cell r="L87">
            <v>1</v>
          </cell>
          <cell r="M87">
            <v>1</v>
          </cell>
          <cell r="N87">
            <v>1</v>
          </cell>
          <cell r="O87">
            <v>1</v>
          </cell>
          <cell r="P87">
            <v>1</v>
          </cell>
          <cell r="Q87">
            <v>1</v>
          </cell>
          <cell r="R87">
            <v>1</v>
          </cell>
          <cell r="S87">
            <v>1</v>
          </cell>
          <cell r="T87">
            <v>1</v>
          </cell>
          <cell r="U87" t="e">
            <v>#VALUE!</v>
          </cell>
          <cell r="X87">
            <v>1</v>
          </cell>
          <cell r="Y87">
            <v>1</v>
          </cell>
        </row>
        <row r="88">
          <cell r="B88" t="str">
            <v>Appliances - Clothes Washers-NR</v>
          </cell>
          <cell r="C88">
            <v>0.01</v>
          </cell>
          <cell r="D88">
            <v>0.01</v>
          </cell>
          <cell r="E88">
            <v>0.01</v>
          </cell>
          <cell r="F88">
            <v>0.01</v>
          </cell>
          <cell r="G88">
            <v>0.01</v>
          </cell>
          <cell r="H88">
            <v>0.01</v>
          </cell>
          <cell r="I88">
            <v>0.01</v>
          </cell>
          <cell r="J88">
            <v>0.01</v>
          </cell>
          <cell r="K88">
            <v>0.01</v>
          </cell>
          <cell r="L88">
            <v>0.01</v>
          </cell>
          <cell r="M88">
            <v>0.01</v>
          </cell>
          <cell r="N88">
            <v>0.01</v>
          </cell>
          <cell r="O88">
            <v>0.01</v>
          </cell>
          <cell r="P88">
            <v>0.01</v>
          </cell>
          <cell r="Q88">
            <v>0.01</v>
          </cell>
          <cell r="R88">
            <v>0.01</v>
          </cell>
          <cell r="S88">
            <v>0.01</v>
          </cell>
          <cell r="T88">
            <v>0.01</v>
          </cell>
          <cell r="U88" t="e">
            <v>#VALUE!</v>
          </cell>
          <cell r="X88">
            <v>0.01</v>
          </cell>
          <cell r="Y88">
            <v>0.01</v>
          </cell>
        </row>
        <row r="89">
          <cell r="B89" t="str">
            <v>Showerheads-Retro</v>
          </cell>
          <cell r="C89">
            <v>0.8</v>
          </cell>
          <cell r="D89">
            <v>0.8</v>
          </cell>
          <cell r="E89">
            <v>0.8</v>
          </cell>
          <cell r="F89">
            <v>0.8</v>
          </cell>
          <cell r="G89">
            <v>0.8</v>
          </cell>
          <cell r="H89">
            <v>0.8</v>
          </cell>
          <cell r="I89">
            <v>0.8</v>
          </cell>
          <cell r="J89">
            <v>0.8</v>
          </cell>
          <cell r="K89">
            <v>0.8</v>
          </cell>
          <cell r="L89">
            <v>0.8</v>
          </cell>
          <cell r="M89">
            <v>0.8</v>
          </cell>
          <cell r="N89">
            <v>0.8</v>
          </cell>
          <cell r="O89">
            <v>0.8</v>
          </cell>
          <cell r="P89">
            <v>0.8</v>
          </cell>
          <cell r="Q89">
            <v>0.8</v>
          </cell>
          <cell r="R89">
            <v>0.8</v>
          </cell>
          <cell r="S89">
            <v>0.8</v>
          </cell>
          <cell r="T89">
            <v>0.8</v>
          </cell>
          <cell r="U89" t="e">
            <v>#VALUE!</v>
          </cell>
          <cell r="X89">
            <v>1</v>
          </cell>
          <cell r="Y89">
            <v>1</v>
          </cell>
        </row>
        <row r="90">
          <cell r="B90" t="str">
            <v>Water Heating - GFHX-New</v>
          </cell>
          <cell r="C90">
            <v>0.01</v>
          </cell>
          <cell r="D90">
            <v>0.01</v>
          </cell>
          <cell r="E90">
            <v>0.01</v>
          </cell>
          <cell r="F90">
            <v>0.01</v>
          </cell>
          <cell r="G90">
            <v>0.01</v>
          </cell>
          <cell r="H90">
            <v>0.01</v>
          </cell>
          <cell r="I90">
            <v>0.01</v>
          </cell>
          <cell r="J90">
            <v>0.01</v>
          </cell>
          <cell r="K90">
            <v>0.01</v>
          </cell>
          <cell r="L90">
            <v>0.01</v>
          </cell>
          <cell r="M90">
            <v>0.01</v>
          </cell>
          <cell r="N90">
            <v>0.01</v>
          </cell>
          <cell r="O90">
            <v>0.01</v>
          </cell>
          <cell r="P90">
            <v>0.01</v>
          </cell>
          <cell r="Q90">
            <v>0.01</v>
          </cell>
          <cell r="R90">
            <v>0.01</v>
          </cell>
          <cell r="S90">
            <v>0.01</v>
          </cell>
          <cell r="T90">
            <v>0.01</v>
          </cell>
          <cell r="U90" t="e">
            <v>#VALUE!</v>
          </cell>
          <cell r="X90">
            <v>0.01</v>
          </cell>
          <cell r="Y90">
            <v>0.01</v>
          </cell>
        </row>
        <row r="91">
          <cell r="B91" t="str">
            <v>Demand Control Circulating system DHW-Retro</v>
          </cell>
          <cell r="C91">
            <v>0.01</v>
          </cell>
          <cell r="D91">
            <v>0.01</v>
          </cell>
          <cell r="E91">
            <v>0.01</v>
          </cell>
          <cell r="F91">
            <v>0.01</v>
          </cell>
          <cell r="G91">
            <v>0.01</v>
          </cell>
          <cell r="H91">
            <v>0.01</v>
          </cell>
          <cell r="I91">
            <v>0.01</v>
          </cell>
          <cell r="J91">
            <v>0.01</v>
          </cell>
          <cell r="K91">
            <v>0.01</v>
          </cell>
          <cell r="L91">
            <v>0.01</v>
          </cell>
          <cell r="M91">
            <v>0.01</v>
          </cell>
          <cell r="N91">
            <v>0.01</v>
          </cell>
          <cell r="O91">
            <v>0.01</v>
          </cell>
          <cell r="P91">
            <v>0.01</v>
          </cell>
          <cell r="Q91">
            <v>0.01</v>
          </cell>
          <cell r="R91">
            <v>0.01</v>
          </cell>
          <cell r="S91">
            <v>0.01</v>
          </cell>
          <cell r="T91">
            <v>0.01</v>
          </cell>
          <cell r="U91" t="e">
            <v>#VALUE!</v>
          </cell>
          <cell r="X91">
            <v>0.01</v>
          </cell>
          <cell r="Y91">
            <v>0.01</v>
          </cell>
        </row>
        <row r="92">
          <cell r="B92" t="str">
            <v>Central HPWH MF-Retro</v>
          </cell>
          <cell r="C92">
            <v>0.01</v>
          </cell>
          <cell r="D92">
            <v>0.01</v>
          </cell>
          <cell r="E92">
            <v>0.01</v>
          </cell>
          <cell r="F92">
            <v>0.01</v>
          </cell>
          <cell r="G92">
            <v>0.01</v>
          </cell>
          <cell r="H92">
            <v>0.01</v>
          </cell>
          <cell r="I92">
            <v>0.01</v>
          </cell>
          <cell r="J92">
            <v>0.01</v>
          </cell>
          <cell r="K92">
            <v>0.01</v>
          </cell>
          <cell r="L92">
            <v>0.01</v>
          </cell>
          <cell r="M92">
            <v>0.01</v>
          </cell>
          <cell r="N92">
            <v>0.01</v>
          </cell>
          <cell r="O92">
            <v>0.01</v>
          </cell>
          <cell r="P92">
            <v>0.01</v>
          </cell>
          <cell r="Q92">
            <v>0.01</v>
          </cell>
          <cell r="R92">
            <v>0.01</v>
          </cell>
          <cell r="S92">
            <v>0.01</v>
          </cell>
          <cell r="T92">
            <v>0.01</v>
          </cell>
          <cell r="U92" t="e">
            <v>#VALUE!</v>
          </cell>
          <cell r="X92">
            <v>0.01</v>
          </cell>
          <cell r="Y92">
            <v>0.01</v>
          </cell>
        </row>
        <row r="93">
          <cell r="B93" t="str">
            <v>Ultra Low Energy Building-New</v>
          </cell>
          <cell r="C93">
            <v>0</v>
          </cell>
          <cell r="D93">
            <v>0</v>
          </cell>
          <cell r="E93">
            <v>0</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X93">
            <v>0</v>
          </cell>
          <cell r="Y93">
            <v>0</v>
          </cell>
        </row>
        <row r="94">
          <cell r="B94" t="str">
            <v>Low Power LF Lamps-NR</v>
          </cell>
          <cell r="C94">
            <v>1</v>
          </cell>
          <cell r="D94">
            <v>1</v>
          </cell>
          <cell r="E94">
            <v>1</v>
          </cell>
          <cell r="F94">
            <v>1</v>
          </cell>
          <cell r="G94">
            <v>1</v>
          </cell>
          <cell r="H94">
            <v>1</v>
          </cell>
          <cell r="I94">
            <v>1</v>
          </cell>
          <cell r="J94">
            <v>1</v>
          </cell>
          <cell r="K94">
            <v>1</v>
          </cell>
          <cell r="L94">
            <v>1</v>
          </cell>
          <cell r="M94">
            <v>1</v>
          </cell>
          <cell r="N94">
            <v>1</v>
          </cell>
          <cell r="O94">
            <v>1</v>
          </cell>
          <cell r="P94">
            <v>1</v>
          </cell>
          <cell r="Q94">
            <v>1</v>
          </cell>
          <cell r="R94">
            <v>1</v>
          </cell>
          <cell r="S94">
            <v>1</v>
          </cell>
          <cell r="T94">
            <v>1</v>
          </cell>
          <cell r="X94">
            <v>1</v>
          </cell>
          <cell r="Y94">
            <v>1</v>
          </cell>
        </row>
      </sheetData>
      <sheetData sheetId="4">
        <row r="11">
          <cell r="B11" t="str">
            <v>Measure Index Name</v>
          </cell>
          <cell r="C11" t="str">
            <v>Large Off</v>
          </cell>
          <cell r="D11" t="str">
            <v>Medium Off</v>
          </cell>
          <cell r="E11" t="str">
            <v>Small Off</v>
          </cell>
          <cell r="F11" t="str">
            <v>Xlarge Ret</v>
          </cell>
          <cell r="G11" t="str">
            <v>Large Ret</v>
          </cell>
          <cell r="H11" t="str">
            <v>Medium Ret</v>
          </cell>
          <cell r="I11" t="str">
            <v>Small Ret</v>
          </cell>
          <cell r="J11" t="str">
            <v>School K-12</v>
          </cell>
          <cell r="K11" t="str">
            <v>University</v>
          </cell>
          <cell r="L11" t="str">
            <v>Warehouse</v>
          </cell>
          <cell r="M11" t="str">
            <v>Supermarket</v>
          </cell>
          <cell r="N11" t="str">
            <v>MiniMart</v>
          </cell>
          <cell r="O11" t="str">
            <v>Restaurant</v>
          </cell>
          <cell r="P11" t="str">
            <v>Lodging</v>
          </cell>
          <cell r="Q11" t="str">
            <v>Hospital</v>
          </cell>
          <cell r="R11" t="str">
            <v>Residential Care</v>
          </cell>
          <cell r="S11" t="str">
            <v>Assembly</v>
          </cell>
          <cell r="T11" t="str">
            <v>Other</v>
          </cell>
          <cell r="U11" t="str">
            <v>Non-Building Stock</v>
          </cell>
        </row>
        <row r="12">
          <cell r="B12" t="str">
            <v>Compressed Air-Retro</v>
          </cell>
          <cell r="C12">
            <v>0</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t="str">
            <v/>
          </cell>
        </row>
        <row r="13">
          <cell r="B13" t="str">
            <v>Compressed Air-NR</v>
          </cell>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t="str">
            <v/>
          </cell>
        </row>
        <row r="14">
          <cell r="B14" t="str">
            <v>Network PC Power Management-Retro</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0.1</v>
          </cell>
        </row>
        <row r="15">
          <cell r="B15" t="str">
            <v>Laptop-NR</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0.9</v>
          </cell>
        </row>
        <row r="16">
          <cell r="B16" t="str">
            <v>Smart Plug Power Strips-Retro</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0.4</v>
          </cell>
        </row>
        <row r="17">
          <cell r="B17" t="str">
            <v>Data Centers-NR</v>
          </cell>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0.2</v>
          </cell>
        </row>
        <row r="18">
          <cell r="B18" t="str">
            <v>Monitor-NR</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0.55000000000000004</v>
          </cell>
        </row>
        <row r="19">
          <cell r="B19" t="str">
            <v>Desktop-NR</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0.75</v>
          </cell>
          <cell r="V19" t="str">
            <v>NEEA Sales data</v>
          </cell>
        </row>
        <row r="20">
          <cell r="B20" t="str">
            <v>Pre-Rinse Spray Valve-Retro</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0.26</v>
          </cell>
          <cell r="V20" t="str">
            <v>6 going on 7 plus CBSA</v>
          </cell>
        </row>
        <row r="21">
          <cell r="B21" t="str">
            <v>Cooking Equipment-NR</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0.39</v>
          </cell>
          <cell r="V21" t="str">
            <v>EPA Energy Star 2011</v>
          </cell>
        </row>
        <row r="22">
          <cell r="B22" t="str">
            <v>Premium HVAC Equipment-New</v>
          </cell>
          <cell r="C22">
            <v>0.1</v>
          </cell>
          <cell r="D22">
            <v>0.1</v>
          </cell>
          <cell r="E22">
            <v>0.1</v>
          </cell>
          <cell r="F22">
            <v>0.1</v>
          </cell>
          <cell r="G22">
            <v>0.1</v>
          </cell>
          <cell r="H22">
            <v>0.1</v>
          </cell>
          <cell r="I22">
            <v>0.1</v>
          </cell>
          <cell r="J22">
            <v>0.1</v>
          </cell>
          <cell r="K22">
            <v>0.1</v>
          </cell>
          <cell r="L22">
            <v>0.1</v>
          </cell>
          <cell r="M22">
            <v>0.1</v>
          </cell>
          <cell r="N22">
            <v>0.1</v>
          </cell>
          <cell r="O22">
            <v>0.1</v>
          </cell>
          <cell r="P22">
            <v>0.1</v>
          </cell>
          <cell r="Q22">
            <v>0.1</v>
          </cell>
          <cell r="R22">
            <v>0.1</v>
          </cell>
          <cell r="S22">
            <v>0.1</v>
          </cell>
          <cell r="T22">
            <v>0.1</v>
          </cell>
          <cell r="U22">
            <v>0</v>
          </cell>
        </row>
        <row r="23">
          <cell r="B23" t="str">
            <v>Premium HVAC Equipment-NR</v>
          </cell>
          <cell r="C23">
            <v>0.1</v>
          </cell>
          <cell r="D23">
            <v>0.1</v>
          </cell>
          <cell r="E23">
            <v>0.1</v>
          </cell>
          <cell r="F23">
            <v>0.1</v>
          </cell>
          <cell r="G23">
            <v>0.1</v>
          </cell>
          <cell r="H23">
            <v>0.1</v>
          </cell>
          <cell r="I23">
            <v>0.1</v>
          </cell>
          <cell r="J23">
            <v>0.1</v>
          </cell>
          <cell r="K23">
            <v>0.1</v>
          </cell>
          <cell r="L23">
            <v>0.1</v>
          </cell>
          <cell r="M23">
            <v>0.1</v>
          </cell>
          <cell r="N23">
            <v>0.1</v>
          </cell>
          <cell r="O23">
            <v>0.1</v>
          </cell>
          <cell r="P23">
            <v>0.1</v>
          </cell>
          <cell r="Q23">
            <v>0.1</v>
          </cell>
          <cell r="R23">
            <v>0.1</v>
          </cell>
          <cell r="S23">
            <v>0.1</v>
          </cell>
          <cell r="T23">
            <v>0.1</v>
          </cell>
          <cell r="U23">
            <v>0</v>
          </cell>
        </row>
        <row r="24">
          <cell r="B24" t="str">
            <v>Glass-New</v>
          </cell>
          <cell r="C24">
            <v>0.30399999999999999</v>
          </cell>
          <cell r="D24">
            <v>0.21039999999999998</v>
          </cell>
          <cell r="E24">
            <v>0.21760000000000002</v>
          </cell>
          <cell r="F24">
            <v>0.38244</v>
          </cell>
          <cell r="G24">
            <v>0.38183</v>
          </cell>
          <cell r="H24">
            <v>0.21683000000000002</v>
          </cell>
          <cell r="I24">
            <v>0.45624999999999999</v>
          </cell>
          <cell r="J24">
            <v>0.1434</v>
          </cell>
          <cell r="K24">
            <v>0.20800000000000002</v>
          </cell>
          <cell r="L24">
            <v>0.47244999999999998</v>
          </cell>
          <cell r="M24">
            <v>0.21212000000000003</v>
          </cell>
          <cell r="N24">
            <v>0.22062000000000004</v>
          </cell>
          <cell r="O24">
            <v>0.225000056</v>
          </cell>
          <cell r="P24">
            <v>0.25224999999999997</v>
          </cell>
          <cell r="Q24">
            <v>0.19740000000000002</v>
          </cell>
          <cell r="R24">
            <v>0.25850000000000001</v>
          </cell>
          <cell r="S24">
            <v>0.2</v>
          </cell>
          <cell r="T24">
            <v>0.23139999999999999</v>
          </cell>
          <cell r="U24">
            <v>0</v>
          </cell>
        </row>
        <row r="25">
          <cell r="B25" t="str">
            <v>Glass-NR</v>
          </cell>
          <cell r="C25">
            <v>0.30399999999999999</v>
          </cell>
          <cell r="D25">
            <v>0.21039999999999998</v>
          </cell>
          <cell r="E25">
            <v>0.21760000000000002</v>
          </cell>
          <cell r="F25">
            <v>0.38244</v>
          </cell>
          <cell r="G25">
            <v>0.38183</v>
          </cell>
          <cell r="H25">
            <v>0.21683000000000002</v>
          </cell>
          <cell r="I25">
            <v>0.45624999999999999</v>
          </cell>
          <cell r="J25">
            <v>0.1434</v>
          </cell>
          <cell r="K25">
            <v>0.20800000000000002</v>
          </cell>
          <cell r="L25">
            <v>0.47244999999999998</v>
          </cell>
          <cell r="M25">
            <v>0.21212000000000003</v>
          </cell>
          <cell r="N25">
            <v>0.22062000000000004</v>
          </cell>
          <cell r="O25">
            <v>0.225000056</v>
          </cell>
          <cell r="P25">
            <v>0.25224999999999997</v>
          </cell>
          <cell r="Q25">
            <v>0.19740000000000002</v>
          </cell>
          <cell r="R25">
            <v>0.25850000000000001</v>
          </cell>
          <cell r="S25">
            <v>0.2</v>
          </cell>
          <cell r="T25">
            <v>0.23139999999999999</v>
          </cell>
          <cell r="U25">
            <v>0</v>
          </cell>
        </row>
        <row r="26">
          <cell r="B26" t="str">
            <v>Glass-Retro</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row>
        <row r="27">
          <cell r="B27" t="str">
            <v>Advanced Rooftop Controller-New</v>
          </cell>
          <cell r="C27">
            <v>0.05</v>
          </cell>
          <cell r="D27">
            <v>0.05</v>
          </cell>
          <cell r="E27">
            <v>0.05</v>
          </cell>
          <cell r="F27">
            <v>0.05</v>
          </cell>
          <cell r="G27">
            <v>0.05</v>
          </cell>
          <cell r="H27">
            <v>0.05</v>
          </cell>
          <cell r="I27">
            <v>0.05</v>
          </cell>
          <cell r="J27">
            <v>0.05</v>
          </cell>
          <cell r="K27">
            <v>0.05</v>
          </cell>
          <cell r="L27">
            <v>0.05</v>
          </cell>
          <cell r="M27">
            <v>0.05</v>
          </cell>
          <cell r="N27">
            <v>0.05</v>
          </cell>
          <cell r="O27">
            <v>0.05</v>
          </cell>
          <cell r="P27">
            <v>0.05</v>
          </cell>
          <cell r="Q27">
            <v>0.05</v>
          </cell>
          <cell r="R27">
            <v>0.05</v>
          </cell>
          <cell r="S27">
            <v>0.05</v>
          </cell>
          <cell r="T27">
            <v>0.05</v>
          </cell>
          <cell r="U27">
            <v>0</v>
          </cell>
        </row>
        <row r="28">
          <cell r="B28" t="str">
            <v>Advanced Rooftop Controller-NR</v>
          </cell>
          <cell r="C28">
            <v>0.05</v>
          </cell>
          <cell r="D28">
            <v>0.05</v>
          </cell>
          <cell r="E28">
            <v>0.05</v>
          </cell>
          <cell r="F28">
            <v>0.05</v>
          </cell>
          <cell r="G28">
            <v>0.05</v>
          </cell>
          <cell r="H28">
            <v>0.05</v>
          </cell>
          <cell r="I28">
            <v>0.05</v>
          </cell>
          <cell r="J28">
            <v>0.05</v>
          </cell>
          <cell r="K28">
            <v>0.05</v>
          </cell>
          <cell r="L28">
            <v>0.05</v>
          </cell>
          <cell r="M28">
            <v>0.05</v>
          </cell>
          <cell r="N28">
            <v>0.05</v>
          </cell>
          <cell r="O28">
            <v>0.05</v>
          </cell>
          <cell r="P28">
            <v>0.05</v>
          </cell>
          <cell r="Q28">
            <v>0.05</v>
          </cell>
          <cell r="R28">
            <v>0.05</v>
          </cell>
          <cell r="S28">
            <v>0.05</v>
          </cell>
          <cell r="T28">
            <v>0.05</v>
          </cell>
          <cell r="U28">
            <v>0</v>
          </cell>
        </row>
        <row r="29">
          <cell r="B29" t="str">
            <v>Advanced Rooftop Controller-Retro</v>
          </cell>
          <cell r="C29">
            <v>0.05</v>
          </cell>
          <cell r="D29">
            <v>0.05</v>
          </cell>
          <cell r="E29">
            <v>0.05</v>
          </cell>
          <cell r="F29">
            <v>0.05</v>
          </cell>
          <cell r="G29">
            <v>0.05</v>
          </cell>
          <cell r="H29">
            <v>0.05</v>
          </cell>
          <cell r="I29">
            <v>0.05</v>
          </cell>
          <cell r="J29">
            <v>0.05</v>
          </cell>
          <cell r="K29">
            <v>0.05</v>
          </cell>
          <cell r="L29">
            <v>0.05</v>
          </cell>
          <cell r="M29">
            <v>0.05</v>
          </cell>
          <cell r="N29">
            <v>0.05</v>
          </cell>
          <cell r="O29">
            <v>0.05</v>
          </cell>
          <cell r="P29">
            <v>0.05</v>
          </cell>
          <cell r="Q29">
            <v>0.05</v>
          </cell>
          <cell r="R29">
            <v>0.05</v>
          </cell>
          <cell r="S29">
            <v>0.05</v>
          </cell>
          <cell r="T29">
            <v>0.05</v>
          </cell>
          <cell r="U29">
            <v>0</v>
          </cell>
        </row>
        <row r="30">
          <cell r="B30" t="str">
            <v>Variable Speed Chiller-New</v>
          </cell>
          <cell r="C30">
            <v>0.1</v>
          </cell>
          <cell r="D30">
            <v>0.1</v>
          </cell>
          <cell r="E30">
            <v>0.1</v>
          </cell>
          <cell r="F30">
            <v>0.1</v>
          </cell>
          <cell r="G30">
            <v>0.1</v>
          </cell>
          <cell r="H30">
            <v>0.1</v>
          </cell>
          <cell r="I30">
            <v>0.1</v>
          </cell>
          <cell r="J30">
            <v>0.1</v>
          </cell>
          <cell r="K30">
            <v>0.1</v>
          </cell>
          <cell r="L30">
            <v>0.1</v>
          </cell>
          <cell r="M30">
            <v>0.1</v>
          </cell>
          <cell r="N30">
            <v>0.1</v>
          </cell>
          <cell r="O30">
            <v>0.1</v>
          </cell>
          <cell r="P30">
            <v>0.1</v>
          </cell>
          <cell r="Q30">
            <v>0.1</v>
          </cell>
          <cell r="R30">
            <v>0.1</v>
          </cell>
          <cell r="S30">
            <v>0.1</v>
          </cell>
          <cell r="T30">
            <v>0.1</v>
          </cell>
          <cell r="U30">
            <v>0</v>
          </cell>
        </row>
        <row r="31">
          <cell r="B31" t="str">
            <v>Variable Speed Chiller-NR</v>
          </cell>
          <cell r="C31">
            <v>0.1</v>
          </cell>
          <cell r="D31">
            <v>0.1</v>
          </cell>
          <cell r="E31">
            <v>0.1</v>
          </cell>
          <cell r="F31">
            <v>0.1</v>
          </cell>
          <cell r="G31">
            <v>0.1</v>
          </cell>
          <cell r="H31">
            <v>0.1</v>
          </cell>
          <cell r="I31">
            <v>0.1</v>
          </cell>
          <cell r="J31">
            <v>0.1</v>
          </cell>
          <cell r="K31">
            <v>0.1</v>
          </cell>
          <cell r="L31">
            <v>0.1</v>
          </cell>
          <cell r="M31">
            <v>0.1</v>
          </cell>
          <cell r="N31">
            <v>0.1</v>
          </cell>
          <cell r="O31">
            <v>0.1</v>
          </cell>
          <cell r="P31">
            <v>0.1</v>
          </cell>
          <cell r="Q31">
            <v>0.1</v>
          </cell>
          <cell r="R31">
            <v>0.1</v>
          </cell>
          <cell r="S31">
            <v>0.1</v>
          </cell>
          <cell r="T31">
            <v>0.1</v>
          </cell>
          <cell r="U31">
            <v>0</v>
          </cell>
        </row>
        <row r="32">
          <cell r="B32" t="str">
            <v>Commercial EM-New</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t="str">
            <v/>
          </cell>
          <cell r="V32" t="str">
            <v>Baseline saturation in measure workbook-eui adjustment</v>
          </cell>
        </row>
        <row r="33">
          <cell r="B33" t="str">
            <v>Commercial EM-NR</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t="str">
            <v/>
          </cell>
        </row>
        <row r="34">
          <cell r="B34" t="str">
            <v>Commercial EM-Retro</v>
          </cell>
          <cell r="C34">
            <v>0.18579999999999999</v>
          </cell>
          <cell r="D34">
            <v>0.18579999999999999</v>
          </cell>
          <cell r="E34">
            <v>0.18579999999999999</v>
          </cell>
          <cell r="F34">
            <v>0.18579999999999999</v>
          </cell>
          <cell r="G34">
            <v>0.18579999999999999</v>
          </cell>
          <cell r="H34">
            <v>0.18579999999999999</v>
          </cell>
          <cell r="I34">
            <v>0.18579999999999999</v>
          </cell>
          <cell r="J34">
            <v>0.18579999999999999</v>
          </cell>
          <cell r="K34">
            <v>0.18579999999999999</v>
          </cell>
          <cell r="L34">
            <v>0.18579999999999999</v>
          </cell>
          <cell r="M34">
            <v>0.18579999999999999</v>
          </cell>
          <cell r="N34">
            <v>0.18579999999999999</v>
          </cell>
          <cell r="O34">
            <v>0.18579999999999999</v>
          </cell>
          <cell r="P34">
            <v>0.18579999999999999</v>
          </cell>
          <cell r="Q34">
            <v>0.18579999999999999</v>
          </cell>
          <cell r="R34">
            <v>0.18579999999999999</v>
          </cell>
          <cell r="S34">
            <v>0.18579999999999999</v>
          </cell>
          <cell r="T34">
            <v>0.18579999999999999</v>
          </cell>
          <cell r="U34" t="str">
            <v/>
          </cell>
          <cell r="V34" t="str">
            <v>From 6 going on 7.  See Com-EM workbook</v>
          </cell>
        </row>
        <row r="35">
          <cell r="B35" t="str">
            <v>Evaporative Assist Cooling-New</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row>
        <row r="36">
          <cell r="B36" t="str">
            <v>Evaporative Assist Cooling-NR</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row>
        <row r="37">
          <cell r="B37" t="str">
            <v>Economizer-Retro</v>
          </cell>
          <cell r="C37">
            <v>0.4</v>
          </cell>
          <cell r="D37">
            <v>0.25</v>
          </cell>
          <cell r="E37">
            <v>0.25</v>
          </cell>
          <cell r="F37">
            <v>0.4</v>
          </cell>
          <cell r="G37">
            <v>0.25</v>
          </cell>
          <cell r="H37">
            <v>0.25</v>
          </cell>
          <cell r="I37">
            <v>0.25</v>
          </cell>
          <cell r="J37">
            <v>0.4</v>
          </cell>
          <cell r="K37">
            <v>0.4</v>
          </cell>
          <cell r="L37">
            <v>0.25</v>
          </cell>
          <cell r="M37">
            <v>0.4</v>
          </cell>
          <cell r="N37">
            <v>0.25</v>
          </cell>
          <cell r="O37">
            <v>0.25</v>
          </cell>
          <cell r="P37">
            <v>0.25</v>
          </cell>
          <cell r="Q37">
            <v>0.4</v>
          </cell>
          <cell r="R37">
            <v>0.25</v>
          </cell>
          <cell r="S37">
            <v>0.25</v>
          </cell>
          <cell r="T37">
            <v>0.25</v>
          </cell>
          <cell r="U37">
            <v>0</v>
          </cell>
        </row>
        <row r="38">
          <cell r="B38" t="str">
            <v>Demand Control Ventilation-New</v>
          </cell>
          <cell r="C38">
            <v>0</v>
          </cell>
          <cell r="D38">
            <v>0</v>
          </cell>
          <cell r="E38">
            <v>0</v>
          </cell>
          <cell r="F38">
            <v>0.2</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row>
        <row r="39">
          <cell r="B39" t="str">
            <v>Demand Control Ventilation-NR</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row>
        <row r="40">
          <cell r="B40" t="str">
            <v>Demand Control Ventilation-Retro</v>
          </cell>
          <cell r="C40">
            <v>0.29417841433623887</v>
          </cell>
          <cell r="D40">
            <v>0.16600530238180544</v>
          </cell>
          <cell r="E40">
            <v>2.3737663898859066E-2</v>
          </cell>
          <cell r="F40">
            <v>0.22300715162221316</v>
          </cell>
          <cell r="G40">
            <v>0.19741792645695339</v>
          </cell>
          <cell r="H40">
            <v>4.2740762746028386E-2</v>
          </cell>
          <cell r="I40">
            <v>1.3597214573254024E-2</v>
          </cell>
          <cell r="J40">
            <v>0.3265989178858158</v>
          </cell>
          <cell r="K40">
            <v>0.13622896031789924</v>
          </cell>
          <cell r="L40">
            <v>0.12181229468805803</v>
          </cell>
          <cell r="M40">
            <v>1.5043119467328166E-2</v>
          </cell>
          <cell r="N40">
            <v>0.13718952244125024</v>
          </cell>
          <cell r="O40">
            <v>0.13714113159081304</v>
          </cell>
          <cell r="P40">
            <v>3.8125362646436782E-2</v>
          </cell>
          <cell r="Q40">
            <v>0.13622896031789924</v>
          </cell>
          <cell r="R40">
            <v>9.2381299117502383E-2</v>
          </cell>
          <cell r="S40">
            <v>0.22458868903269982</v>
          </cell>
          <cell r="T40">
            <v>0.27868917229328594</v>
          </cell>
          <cell r="U40">
            <v>0</v>
          </cell>
        </row>
        <row r="41">
          <cell r="B41" t="str">
            <v>Premium Fume Hood-NR</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0.1</v>
          </cell>
          <cell r="W41">
            <v>0.29417841433623887</v>
          </cell>
        </row>
        <row r="42">
          <cell r="B42" t="str">
            <v>DCV Restaurant Hood-Retro</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W42">
            <v>0.16600530238180544</v>
          </cell>
        </row>
        <row r="43">
          <cell r="B43" t="str">
            <v>DCV Parking Garage-Retro</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0.4</v>
          </cell>
          <cell r="W43">
            <v>2.3737663898859066E-2</v>
          </cell>
        </row>
        <row r="44">
          <cell r="B44" t="str">
            <v>Weatherization - School-Retro</v>
          </cell>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t="str">
            <v/>
          </cell>
          <cell r="W44">
            <v>0.22300715162221316</v>
          </cell>
        </row>
        <row r="45">
          <cell r="B45" t="str">
            <v>Energy Recovery Ventilator-NR</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0.9</v>
          </cell>
          <cell r="V45" t="str">
            <v>NEEA Sales data</v>
          </cell>
          <cell r="W45">
            <v>0.19741792645695339</v>
          </cell>
        </row>
        <row r="46">
          <cell r="B46" t="str">
            <v>AC Heat Recovery for Water Heating-NR</v>
          </cell>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t="str">
            <v/>
          </cell>
          <cell r="W46">
            <v>4.2740762746028386E-2</v>
          </cell>
        </row>
        <row r="47">
          <cell r="B47" t="str">
            <v>Room Occupancy Sensors in Lodging-Retro</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t="str">
            <v/>
          </cell>
          <cell r="W47">
            <v>1.3597214573254024E-2</v>
          </cell>
        </row>
        <row r="48">
          <cell r="B48" t="str">
            <v>Chiller - chilled water retrofit-Retro</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t="str">
            <v/>
          </cell>
          <cell r="W48">
            <v>0.3265989178858158</v>
          </cell>
        </row>
        <row r="49">
          <cell r="B49" t="str">
            <v>Chiller - equip retrofits-Retro</v>
          </cell>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t="str">
            <v/>
          </cell>
          <cell r="W49">
            <v>0.13622896031789924</v>
          </cell>
        </row>
        <row r="50">
          <cell r="B50" t="str">
            <v>Pool Blankets-Retro</v>
          </cell>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t="str">
            <v/>
          </cell>
          <cell r="W50">
            <v>0.12181229468805803</v>
          </cell>
        </row>
        <row r="51">
          <cell r="B51" t="str">
            <v>Web-Enabled Thermostats-Retro</v>
          </cell>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t="str">
            <v/>
          </cell>
          <cell r="W51">
            <v>1.5043119467328166E-2</v>
          </cell>
        </row>
        <row r="52">
          <cell r="B52" t="str">
            <v>Garage CO2 ventilation-Retro</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t="str">
            <v/>
          </cell>
          <cell r="W52">
            <v>0.13718952244125024</v>
          </cell>
        </row>
        <row r="53">
          <cell r="B53" t="str">
            <v>Circ Pump ECM and drive-Retro</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t="str">
            <v/>
          </cell>
          <cell r="W53">
            <v>0.13714113159081304</v>
          </cell>
        </row>
        <row r="54">
          <cell r="B54" t="str">
            <v>VRF-New</v>
          </cell>
          <cell r="C54">
            <v>0.02</v>
          </cell>
          <cell r="D54">
            <v>0.02</v>
          </cell>
          <cell r="E54">
            <v>0.02</v>
          </cell>
          <cell r="F54">
            <v>0.02</v>
          </cell>
          <cell r="G54">
            <v>0.02</v>
          </cell>
          <cell r="H54">
            <v>0.02</v>
          </cell>
          <cell r="I54">
            <v>0.02</v>
          </cell>
          <cell r="J54">
            <v>0.02</v>
          </cell>
          <cell r="K54">
            <v>0.02</v>
          </cell>
          <cell r="L54">
            <v>0.02</v>
          </cell>
          <cell r="M54">
            <v>0.02</v>
          </cell>
          <cell r="N54">
            <v>0.02</v>
          </cell>
          <cell r="O54">
            <v>0.02</v>
          </cell>
          <cell r="P54">
            <v>0.02</v>
          </cell>
          <cell r="Q54">
            <v>0.02</v>
          </cell>
          <cell r="R54">
            <v>0.02</v>
          </cell>
          <cell r="S54">
            <v>0.02</v>
          </cell>
          <cell r="T54">
            <v>0.02</v>
          </cell>
          <cell r="U54" t="str">
            <v/>
          </cell>
          <cell r="V54" t="str">
            <v>US saturation 2%</v>
          </cell>
          <cell r="W54">
            <v>3.8125362646436782E-2</v>
          </cell>
        </row>
        <row r="55">
          <cell r="B55" t="str">
            <v>VRF-Retro</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t="str">
            <v/>
          </cell>
          <cell r="W55">
            <v>0.13622896031789924</v>
          </cell>
        </row>
        <row r="56">
          <cell r="B56" t="str">
            <v>Evaporator Roof Top HVAC-Retro</v>
          </cell>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t="str">
            <v/>
          </cell>
          <cell r="W56">
            <v>9.2381299117502383E-2</v>
          </cell>
        </row>
        <row r="57">
          <cell r="B57" t="str">
            <v>Secondary Glazing Systems-Retro</v>
          </cell>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t="str">
            <v>Baseline saturation in measure workbook.  Multiple measures</v>
          </cell>
          <cell r="W57">
            <v>0.22458868903269982</v>
          </cell>
        </row>
        <row r="58">
          <cell r="B58" t="str">
            <v>LPD Package-New</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t="str">
            <v>Baseline saturation in measure workbook.  Multiple measures</v>
          </cell>
          <cell r="W58">
            <v>0.27868917229328594</v>
          </cell>
        </row>
        <row r="59">
          <cell r="B59" t="str">
            <v>LPD Package-NR</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t="str">
            <v>Baseline saturation in measure workbook.  Multiple measures</v>
          </cell>
          <cell r="W59">
            <v>0.22300715162221316</v>
          </cell>
        </row>
        <row r="60">
          <cell r="B60" t="str">
            <v>LPD Package-Retro</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t="str">
            <v>Baseline saturation in measure workbook.  Multiple measures</v>
          </cell>
          <cell r="W60">
            <v>0.3265989178858158</v>
          </cell>
        </row>
        <row r="61">
          <cell r="B61" t="str">
            <v>Top Daylighting-New</v>
          </cell>
          <cell r="C61">
            <v>0</v>
          </cell>
          <cell r="D61">
            <v>0.02</v>
          </cell>
          <cell r="E61">
            <v>0.03</v>
          </cell>
          <cell r="F61">
            <v>0.3</v>
          </cell>
          <cell r="G61">
            <v>0.1</v>
          </cell>
          <cell r="H61">
            <v>0</v>
          </cell>
          <cell r="I61">
            <v>0</v>
          </cell>
          <cell r="J61">
            <v>0.2</v>
          </cell>
          <cell r="K61">
            <v>0.1</v>
          </cell>
          <cell r="L61">
            <v>0.1</v>
          </cell>
          <cell r="M61">
            <v>0.1</v>
          </cell>
          <cell r="N61">
            <v>0</v>
          </cell>
          <cell r="O61">
            <v>0</v>
          </cell>
          <cell r="P61">
            <v>0</v>
          </cell>
          <cell r="Q61">
            <v>0</v>
          </cell>
          <cell r="R61">
            <v>0.02</v>
          </cell>
          <cell r="S61">
            <v>0</v>
          </cell>
          <cell r="T61">
            <v>0.02</v>
          </cell>
          <cell r="U61">
            <v>0</v>
          </cell>
          <cell r="W61">
            <v>0.12181229468805803</v>
          </cell>
        </row>
        <row r="62">
          <cell r="B62" t="str">
            <v>Perimeter Daylighting Controls Advanced-New</v>
          </cell>
          <cell r="C62">
            <v>0.2</v>
          </cell>
          <cell r="D62">
            <v>0.2</v>
          </cell>
          <cell r="E62">
            <v>0.1</v>
          </cell>
          <cell r="F62">
            <v>0</v>
          </cell>
          <cell r="G62">
            <v>0</v>
          </cell>
          <cell r="H62">
            <v>0</v>
          </cell>
          <cell r="I62">
            <v>0</v>
          </cell>
          <cell r="J62">
            <v>0.7</v>
          </cell>
          <cell r="K62">
            <v>0.2</v>
          </cell>
          <cell r="L62">
            <v>0</v>
          </cell>
          <cell r="M62">
            <v>0</v>
          </cell>
          <cell r="N62">
            <v>0</v>
          </cell>
          <cell r="O62">
            <v>0</v>
          </cell>
          <cell r="P62">
            <v>0</v>
          </cell>
          <cell r="Q62">
            <v>0</v>
          </cell>
          <cell r="R62">
            <v>0.05</v>
          </cell>
          <cell r="S62">
            <v>0.05</v>
          </cell>
          <cell r="T62">
            <v>0.05</v>
          </cell>
          <cell r="U62">
            <v>0</v>
          </cell>
          <cell r="W62">
            <v>0.17488641186800052</v>
          </cell>
        </row>
        <row r="63">
          <cell r="B63" t="str">
            <v>Perimeter Daylighting Controls Advanced-NR</v>
          </cell>
          <cell r="C63">
            <v>0.1</v>
          </cell>
          <cell r="D63">
            <v>0.1</v>
          </cell>
          <cell r="E63">
            <v>0.05</v>
          </cell>
          <cell r="F63">
            <v>0</v>
          </cell>
          <cell r="G63">
            <v>0</v>
          </cell>
          <cell r="H63">
            <v>0</v>
          </cell>
          <cell r="I63">
            <v>0</v>
          </cell>
          <cell r="J63">
            <v>0.3</v>
          </cell>
          <cell r="K63">
            <v>0.2</v>
          </cell>
          <cell r="L63">
            <v>0</v>
          </cell>
          <cell r="M63">
            <v>0</v>
          </cell>
          <cell r="N63">
            <v>0</v>
          </cell>
          <cell r="O63">
            <v>0</v>
          </cell>
          <cell r="P63">
            <v>0</v>
          </cell>
          <cell r="Q63">
            <v>0</v>
          </cell>
          <cell r="R63">
            <v>0.05</v>
          </cell>
          <cell r="S63">
            <v>0.05</v>
          </cell>
          <cell r="T63">
            <v>0.05</v>
          </cell>
          <cell r="U63">
            <v>0</v>
          </cell>
        </row>
        <row r="64">
          <cell r="B64" t="str">
            <v>Lighting Controls Interior-New</v>
          </cell>
          <cell r="C64">
            <v>0.1</v>
          </cell>
          <cell r="D64">
            <v>0.05</v>
          </cell>
          <cell r="E64">
            <v>0.03</v>
          </cell>
          <cell r="F64">
            <v>0.7</v>
          </cell>
          <cell r="G64">
            <v>0.5</v>
          </cell>
          <cell r="H64">
            <v>0.3</v>
          </cell>
          <cell r="I64">
            <v>0.5</v>
          </cell>
          <cell r="J64">
            <v>0.2</v>
          </cell>
          <cell r="K64">
            <v>0.2</v>
          </cell>
          <cell r="L64">
            <v>0.2</v>
          </cell>
          <cell r="M64">
            <v>0.7</v>
          </cell>
          <cell r="N64">
            <v>0.5</v>
          </cell>
          <cell r="O64">
            <v>0.05</v>
          </cell>
          <cell r="P64">
            <v>0.05</v>
          </cell>
          <cell r="Q64">
            <v>0.2</v>
          </cell>
          <cell r="R64">
            <v>0.2</v>
          </cell>
          <cell r="S64">
            <v>0.1</v>
          </cell>
          <cell r="T64">
            <v>0.1</v>
          </cell>
          <cell r="U64">
            <v>0</v>
          </cell>
        </row>
        <row r="65">
          <cell r="B65" t="str">
            <v>Lighting Controls Interior-NR</v>
          </cell>
          <cell r="C65">
            <v>0.1</v>
          </cell>
          <cell r="D65">
            <v>0.05</v>
          </cell>
          <cell r="E65">
            <v>0.03</v>
          </cell>
          <cell r="F65">
            <v>0.5</v>
          </cell>
          <cell r="G65">
            <v>0.3</v>
          </cell>
          <cell r="H65">
            <v>0.2</v>
          </cell>
          <cell r="I65">
            <v>0.3</v>
          </cell>
          <cell r="J65">
            <v>0.2</v>
          </cell>
          <cell r="K65">
            <v>0.2</v>
          </cell>
          <cell r="L65">
            <v>0.1</v>
          </cell>
          <cell r="M65">
            <v>0.5</v>
          </cell>
          <cell r="N65">
            <v>0.3</v>
          </cell>
          <cell r="O65">
            <v>0.05</v>
          </cell>
          <cell r="P65">
            <v>0.05</v>
          </cell>
          <cell r="Q65">
            <v>0.1</v>
          </cell>
          <cell r="R65">
            <v>0.1</v>
          </cell>
          <cell r="S65">
            <v>0.1</v>
          </cell>
          <cell r="T65">
            <v>0.1</v>
          </cell>
          <cell r="U65">
            <v>0</v>
          </cell>
        </row>
        <row r="66">
          <cell r="B66" t="str">
            <v>Exterior Building Lighting-New</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t="str">
            <v>Baseline saturation in measure workbook.  Source (DOE 2014)</v>
          </cell>
        </row>
        <row r="67">
          <cell r="B67" t="str">
            <v>Exterior Building Lighting-NR</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t="str">
            <v>Baseline saturation in measure workbook.  Source (DOE 2014)</v>
          </cell>
        </row>
        <row r="68">
          <cell r="B68" t="str">
            <v>Street and Roadway Lighting-New</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0.4</v>
          </cell>
          <cell r="V68" t="str">
            <v>Baseline saturation in measure workbook.  Source (DOE 2014)</v>
          </cell>
        </row>
        <row r="69">
          <cell r="B69" t="str">
            <v>Street and Roadway Lighting-NR</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t="str">
            <v>Baseline saturation in measure workbook.  Source (DOE 2014)</v>
          </cell>
        </row>
        <row r="70">
          <cell r="B70" t="str">
            <v>Parking Lighting-New</v>
          </cell>
          <cell r="C70">
            <v>0.2</v>
          </cell>
          <cell r="D70">
            <v>0.2</v>
          </cell>
          <cell r="E70">
            <v>0.2</v>
          </cell>
          <cell r="F70">
            <v>0.2</v>
          </cell>
          <cell r="G70">
            <v>0.2</v>
          </cell>
          <cell r="H70">
            <v>0.2</v>
          </cell>
          <cell r="I70">
            <v>0.2</v>
          </cell>
          <cell r="J70">
            <v>0.2</v>
          </cell>
          <cell r="K70">
            <v>0.2</v>
          </cell>
          <cell r="L70">
            <v>0.2</v>
          </cell>
          <cell r="M70">
            <v>0.2</v>
          </cell>
          <cell r="N70">
            <v>0.2</v>
          </cell>
          <cell r="O70">
            <v>0.2</v>
          </cell>
          <cell r="P70">
            <v>0.2</v>
          </cell>
          <cell r="Q70">
            <v>0.2</v>
          </cell>
          <cell r="R70">
            <v>0.2</v>
          </cell>
          <cell r="S70">
            <v>0.2</v>
          </cell>
          <cell r="T70">
            <v>0.2</v>
          </cell>
        </row>
        <row r="71">
          <cell r="B71" t="str">
            <v>Parking Lighting-NR</v>
          </cell>
          <cell r="C71">
            <v>0.01</v>
          </cell>
          <cell r="D71">
            <v>0.01</v>
          </cell>
          <cell r="E71">
            <v>0.01</v>
          </cell>
          <cell r="F71">
            <v>0.01</v>
          </cell>
          <cell r="G71">
            <v>0.01</v>
          </cell>
          <cell r="H71">
            <v>0.01</v>
          </cell>
          <cell r="I71">
            <v>0.01</v>
          </cell>
          <cell r="J71">
            <v>0.01</v>
          </cell>
          <cell r="K71">
            <v>0.01</v>
          </cell>
          <cell r="L71">
            <v>0.01</v>
          </cell>
          <cell r="M71">
            <v>0.01</v>
          </cell>
          <cell r="N71">
            <v>0.01</v>
          </cell>
          <cell r="O71">
            <v>0.01</v>
          </cell>
          <cell r="P71">
            <v>0.01</v>
          </cell>
          <cell r="Q71">
            <v>0.01</v>
          </cell>
          <cell r="R71">
            <v>0.01</v>
          </cell>
          <cell r="S71">
            <v>0.01</v>
          </cell>
          <cell r="T71">
            <v>0.01</v>
          </cell>
          <cell r="U71">
            <v>0.01</v>
          </cell>
        </row>
        <row r="72">
          <cell r="B72" t="str">
            <v>Bi-Level Stairwell Lighting-NR</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t="str">
            <v/>
          </cell>
        </row>
        <row r="73">
          <cell r="B73" t="str">
            <v>ECM-VAV-New</v>
          </cell>
          <cell r="C73">
            <v>0.4</v>
          </cell>
          <cell r="D73">
            <v>0.3</v>
          </cell>
          <cell r="E73">
            <v>0.1</v>
          </cell>
          <cell r="F73">
            <v>0.1</v>
          </cell>
          <cell r="G73">
            <v>0.1</v>
          </cell>
          <cell r="H73">
            <v>0.1</v>
          </cell>
          <cell r="I73">
            <v>0.4</v>
          </cell>
          <cell r="J73">
            <v>0.1</v>
          </cell>
          <cell r="K73">
            <v>0.4</v>
          </cell>
          <cell r="L73">
            <v>0.1</v>
          </cell>
          <cell r="M73">
            <v>0.1</v>
          </cell>
          <cell r="N73">
            <v>0.1</v>
          </cell>
          <cell r="O73">
            <v>0.1</v>
          </cell>
          <cell r="P73">
            <v>0.1</v>
          </cell>
          <cell r="Q73">
            <v>0.4</v>
          </cell>
          <cell r="R73">
            <v>0.1</v>
          </cell>
          <cell r="S73">
            <v>0.1</v>
          </cell>
          <cell r="T73">
            <v>0.4</v>
          </cell>
          <cell r="U73">
            <v>0</v>
          </cell>
        </row>
        <row r="74">
          <cell r="B74" t="str">
            <v>ECM-VAV-NR</v>
          </cell>
          <cell r="C74">
            <v>0.2</v>
          </cell>
          <cell r="D74">
            <v>0.2</v>
          </cell>
          <cell r="E74">
            <v>0.1</v>
          </cell>
          <cell r="F74">
            <v>0.1</v>
          </cell>
          <cell r="G74">
            <v>0.1</v>
          </cell>
          <cell r="H74">
            <v>0.1</v>
          </cell>
          <cell r="I74">
            <v>0.2</v>
          </cell>
          <cell r="J74">
            <v>0.1</v>
          </cell>
          <cell r="K74">
            <v>0.2</v>
          </cell>
          <cell r="L74">
            <v>0.1</v>
          </cell>
          <cell r="M74">
            <v>0.1</v>
          </cell>
          <cell r="N74">
            <v>0.1</v>
          </cell>
          <cell r="O74">
            <v>0.1</v>
          </cell>
          <cell r="P74">
            <v>0.1</v>
          </cell>
          <cell r="Q74">
            <v>0.2</v>
          </cell>
          <cell r="R74">
            <v>0.1</v>
          </cell>
          <cell r="S74">
            <v>0.1</v>
          </cell>
          <cell r="T74">
            <v>0.2</v>
          </cell>
          <cell r="U74">
            <v>0</v>
          </cell>
        </row>
        <row r="75">
          <cell r="B75" t="str">
            <v>Pool pumps-Retro</v>
          </cell>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t="str">
            <v/>
          </cell>
        </row>
        <row r="76">
          <cell r="B76" t="str">
            <v>MotorsRewind-New</v>
          </cell>
          <cell r="C76">
            <v>0</v>
          </cell>
          <cell r="D76">
            <v>0</v>
          </cell>
          <cell r="E76">
            <v>0</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t="str">
            <v/>
          </cell>
        </row>
        <row r="77">
          <cell r="B77" t="str">
            <v>MotorsRewind-NR</v>
          </cell>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t="str">
            <v/>
          </cell>
        </row>
        <row r="78">
          <cell r="B78" t="str">
            <v>Municipal Sewage Treatment-Retro</v>
          </cell>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t="str">
            <v>Baseline saturation in measure workbook</v>
          </cell>
        </row>
        <row r="79">
          <cell r="B79" t="str">
            <v>Municipal Water Supply-Retro</v>
          </cell>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t="str">
            <v>Baseline saturation in measure workbook</v>
          </cell>
        </row>
        <row r="80">
          <cell r="B80" t="str">
            <v>Engine Generator Block Heaters-Retro</v>
          </cell>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t="str">
            <v/>
          </cell>
        </row>
        <row r="81">
          <cell r="B81" t="str">
            <v>Grocery Refrigeration Bundle-Retro</v>
          </cell>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row>
        <row r="82">
          <cell r="B82" t="str">
            <v>Packaged Refrigeration Equipment-New</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0.05</v>
          </cell>
        </row>
        <row r="83">
          <cell r="B83" t="str">
            <v>Appliances - Freezers-NR</v>
          </cell>
          <cell r="C83">
            <v>0</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t="str">
            <v/>
          </cell>
        </row>
        <row r="84">
          <cell r="B84" t="str">
            <v>Appliances - Refrigerators-NR</v>
          </cell>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t="str">
            <v/>
          </cell>
        </row>
        <row r="85">
          <cell r="B85" t="str">
            <v>Water Cooler Controls-NR</v>
          </cell>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t="str">
            <v>Baseline saturation in measure workbook.  Multiple measures</v>
          </cell>
        </row>
        <row r="86">
          <cell r="B86" t="str">
            <v>WHTanks-New</v>
          </cell>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0.1</v>
          </cell>
        </row>
        <row r="87">
          <cell r="B87" t="str">
            <v>WHTanks-NR</v>
          </cell>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t="str">
            <v/>
          </cell>
        </row>
        <row r="88">
          <cell r="B88" t="str">
            <v>Appliances - Clothes Washers-NR</v>
          </cell>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t="str">
            <v/>
          </cell>
        </row>
        <row r="89">
          <cell r="B89" t="str">
            <v>Showerheads-Retro</v>
          </cell>
          <cell r="C89">
            <v>0.2</v>
          </cell>
          <cell r="D89">
            <v>0.2</v>
          </cell>
          <cell r="E89">
            <v>0.2</v>
          </cell>
          <cell r="F89">
            <v>0.2</v>
          </cell>
          <cell r="G89">
            <v>0.2</v>
          </cell>
          <cell r="H89">
            <v>0.2</v>
          </cell>
          <cell r="I89">
            <v>0.2</v>
          </cell>
          <cell r="J89">
            <v>0.2</v>
          </cell>
          <cell r="K89">
            <v>0.2</v>
          </cell>
          <cell r="L89">
            <v>0.2</v>
          </cell>
          <cell r="M89">
            <v>0.2</v>
          </cell>
          <cell r="N89">
            <v>0.2</v>
          </cell>
          <cell r="O89">
            <v>0.2</v>
          </cell>
          <cell r="P89">
            <v>0.2</v>
          </cell>
          <cell r="Q89">
            <v>0.2</v>
          </cell>
          <cell r="R89">
            <v>0.2</v>
          </cell>
          <cell r="S89">
            <v>0.2</v>
          </cell>
          <cell r="T89">
            <v>0.2</v>
          </cell>
          <cell r="U89" t="str">
            <v/>
          </cell>
        </row>
        <row r="90">
          <cell r="B90" t="str">
            <v>Water Heating - GFHX-New</v>
          </cell>
          <cell r="C90">
            <v>0</v>
          </cell>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t="str">
            <v/>
          </cell>
        </row>
        <row r="91">
          <cell r="B91" t="str">
            <v>Demand Control Circulating system DHW-Retro</v>
          </cell>
          <cell r="C91">
            <v>0</v>
          </cell>
          <cell r="D91">
            <v>0</v>
          </cell>
          <cell r="E91">
            <v>0</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t="str">
            <v/>
          </cell>
        </row>
        <row r="92">
          <cell r="B92" t="str">
            <v>Central HPWH MF-Retro</v>
          </cell>
          <cell r="C92">
            <v>0</v>
          </cell>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t="str">
            <v/>
          </cell>
        </row>
        <row r="93">
          <cell r="B93" t="str">
            <v>Ultra Low Energy Building-New</v>
          </cell>
          <cell r="C93">
            <v>0.08</v>
          </cell>
          <cell r="D93">
            <v>0.04</v>
          </cell>
          <cell r="E93">
            <v>0</v>
          </cell>
          <cell r="F93">
            <v>0.08</v>
          </cell>
          <cell r="G93">
            <v>0</v>
          </cell>
          <cell r="H93">
            <v>0</v>
          </cell>
          <cell r="I93">
            <v>0.02</v>
          </cell>
          <cell r="J93">
            <v>0.3</v>
          </cell>
          <cell r="K93">
            <v>0.15</v>
          </cell>
          <cell r="L93">
            <v>0</v>
          </cell>
          <cell r="M93">
            <v>0</v>
          </cell>
          <cell r="N93">
            <v>0</v>
          </cell>
          <cell r="O93">
            <v>0</v>
          </cell>
          <cell r="P93">
            <v>0.02</v>
          </cell>
          <cell r="Q93">
            <v>0.1</v>
          </cell>
          <cell r="R93">
            <v>0.05</v>
          </cell>
          <cell r="S93">
            <v>0.02</v>
          </cell>
          <cell r="T93">
            <v>0.02</v>
          </cell>
          <cell r="U93">
            <v>0</v>
          </cell>
        </row>
        <row r="94">
          <cell r="B94" t="str">
            <v>Low Power LF Lamps-NR</v>
          </cell>
          <cell r="C94">
            <v>0</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V94" t="str">
            <v>In workbook. Uses market average mix of lpow watt from sales data</v>
          </cell>
        </row>
      </sheetData>
      <sheetData sheetId="5">
        <row r="11">
          <cell r="B11" t="str">
            <v>Measure Index Name</v>
          </cell>
          <cell r="C11" t="str">
            <v>Large Off</v>
          </cell>
          <cell r="D11" t="str">
            <v>Medium Off</v>
          </cell>
          <cell r="E11" t="str">
            <v>Small Off</v>
          </cell>
          <cell r="F11" t="str">
            <v>Xlarge Ret</v>
          </cell>
          <cell r="G11" t="str">
            <v>Large Ret</v>
          </cell>
          <cell r="H11" t="str">
            <v>Medium Ret</v>
          </cell>
          <cell r="I11" t="str">
            <v>Small Ret</v>
          </cell>
          <cell r="J11" t="str">
            <v>School K-12</v>
          </cell>
          <cell r="K11" t="str">
            <v>University</v>
          </cell>
          <cell r="L11" t="str">
            <v>Warehouse</v>
          </cell>
          <cell r="M11" t="str">
            <v>Supermarket</v>
          </cell>
          <cell r="N11" t="str">
            <v>MiniMart</v>
          </cell>
          <cell r="O11" t="str">
            <v>Restaurant</v>
          </cell>
          <cell r="P11" t="str">
            <v>Lodging</v>
          </cell>
          <cell r="Q11" t="str">
            <v>Hospital</v>
          </cell>
          <cell r="R11" t="str">
            <v>Residential Care</v>
          </cell>
          <cell r="S11" t="str">
            <v>Assembly</v>
          </cell>
          <cell r="T11" t="str">
            <v>Other</v>
          </cell>
          <cell r="U11" t="str">
            <v>Non-Building Stock</v>
          </cell>
        </row>
        <row r="12">
          <cell r="B12" t="str">
            <v>Compressed Air-Retro</v>
          </cell>
          <cell r="C12" t="str">
            <v>_PRE2013</v>
          </cell>
          <cell r="D12" t="str">
            <v>_PRE2013</v>
          </cell>
          <cell r="E12" t="str">
            <v>_PRE2013</v>
          </cell>
          <cell r="F12" t="str">
            <v>_PRE2013</v>
          </cell>
          <cell r="G12" t="str">
            <v>_PRE2013</v>
          </cell>
          <cell r="H12" t="str">
            <v>_PRE2013</v>
          </cell>
          <cell r="I12" t="str">
            <v>_PRE2013</v>
          </cell>
          <cell r="J12" t="str">
            <v>_PRE2013</v>
          </cell>
          <cell r="K12" t="str">
            <v>_PRE2013</v>
          </cell>
          <cell r="L12" t="str">
            <v>_PRE2013</v>
          </cell>
          <cell r="M12" t="str">
            <v>_PRE2013</v>
          </cell>
          <cell r="N12" t="str">
            <v>_PRE2013</v>
          </cell>
          <cell r="O12" t="str">
            <v>_PRE2013</v>
          </cell>
          <cell r="P12" t="str">
            <v>_PRE2013</v>
          </cell>
          <cell r="Q12" t="str">
            <v>_PRE2013</v>
          </cell>
          <cell r="R12" t="str">
            <v>_PRE2013</v>
          </cell>
          <cell r="S12" t="str">
            <v>_PRE2013</v>
          </cell>
          <cell r="T12" t="str">
            <v>_PRE2013</v>
          </cell>
        </row>
        <row r="13">
          <cell r="B13" t="str">
            <v>Compressed Air-NR</v>
          </cell>
          <cell r="C13" t="str">
            <v>_PRE2013</v>
          </cell>
          <cell r="D13" t="str">
            <v>_PRE2013</v>
          </cell>
          <cell r="E13" t="str">
            <v>_PRE2013</v>
          </cell>
          <cell r="F13" t="str">
            <v>_PRE2013</v>
          </cell>
          <cell r="G13" t="str">
            <v>_PRE2013</v>
          </cell>
          <cell r="H13" t="str">
            <v>_PRE2013</v>
          </cell>
          <cell r="I13" t="str">
            <v>_PRE2013</v>
          </cell>
          <cell r="J13" t="str">
            <v>_PRE2013</v>
          </cell>
          <cell r="K13" t="str">
            <v>_PRE2013</v>
          </cell>
          <cell r="L13" t="str">
            <v>_PRE2013</v>
          </cell>
          <cell r="M13" t="str">
            <v>_PRE2013</v>
          </cell>
          <cell r="N13" t="str">
            <v>_PRE2013</v>
          </cell>
          <cell r="O13" t="str">
            <v>_PRE2013</v>
          </cell>
          <cell r="P13" t="str">
            <v>_PRE2013</v>
          </cell>
          <cell r="Q13" t="str">
            <v>_PRE2013</v>
          </cell>
          <cell r="R13" t="str">
            <v>_PRE2013</v>
          </cell>
          <cell r="S13" t="str">
            <v>_PRE2013</v>
          </cell>
          <cell r="T13" t="str">
            <v>_PRE2013</v>
          </cell>
        </row>
        <row r="14">
          <cell r="B14" t="str">
            <v>Network PC Power Management-Retro</v>
          </cell>
          <cell r="C14" t="str">
            <v>_PRE2013</v>
          </cell>
          <cell r="D14" t="str">
            <v>_PRE2013</v>
          </cell>
          <cell r="E14" t="str">
            <v>_PRE2013</v>
          </cell>
          <cell r="F14" t="str">
            <v>_PRE2013</v>
          </cell>
          <cell r="G14" t="str">
            <v>_PRE2013</v>
          </cell>
          <cell r="H14" t="str">
            <v>_PRE2013</v>
          </cell>
          <cell r="I14" t="str">
            <v>_PRE2013</v>
          </cell>
          <cell r="J14" t="str">
            <v>_PRE2013</v>
          </cell>
          <cell r="K14" t="str">
            <v>_PRE2013</v>
          </cell>
          <cell r="L14" t="str">
            <v>_PRE2013</v>
          </cell>
          <cell r="M14" t="str">
            <v>_PRE2013</v>
          </cell>
          <cell r="N14" t="str">
            <v>_PRE2013</v>
          </cell>
          <cell r="O14" t="str">
            <v>_PRE2013</v>
          </cell>
          <cell r="P14" t="str">
            <v>_PRE2013</v>
          </cell>
          <cell r="Q14" t="str">
            <v>_PRE2013</v>
          </cell>
          <cell r="R14" t="str">
            <v>_PRE2013</v>
          </cell>
          <cell r="S14" t="str">
            <v>_PRE2013</v>
          </cell>
          <cell r="T14" t="str">
            <v>_PRE2013</v>
          </cell>
        </row>
        <row r="15">
          <cell r="B15" t="str">
            <v>Laptop-NR</v>
          </cell>
          <cell r="C15" t="str">
            <v>_PRE2013</v>
          </cell>
          <cell r="D15" t="str">
            <v>_PRE2013</v>
          </cell>
          <cell r="E15" t="str">
            <v>_PRE2013</v>
          </cell>
          <cell r="F15" t="str">
            <v>_PRE2013</v>
          </cell>
          <cell r="G15" t="str">
            <v>_PRE2013</v>
          </cell>
          <cell r="H15" t="str">
            <v>_PRE2013</v>
          </cell>
          <cell r="I15" t="str">
            <v>_PRE2013</v>
          </cell>
          <cell r="J15" t="str">
            <v>_PRE2013</v>
          </cell>
          <cell r="K15" t="str">
            <v>_PRE2013</v>
          </cell>
          <cell r="L15" t="str">
            <v>_PRE2013</v>
          </cell>
          <cell r="M15" t="str">
            <v>_PRE2013</v>
          </cell>
          <cell r="N15" t="str">
            <v>_PRE2013</v>
          </cell>
          <cell r="O15" t="str">
            <v>_PRE2013</v>
          </cell>
          <cell r="P15" t="str">
            <v>_PRE2013</v>
          </cell>
          <cell r="Q15" t="str">
            <v>_PRE2013</v>
          </cell>
          <cell r="R15" t="str">
            <v>_PRE2013</v>
          </cell>
          <cell r="S15" t="str">
            <v>_PRE2013</v>
          </cell>
          <cell r="T15" t="str">
            <v>_PRE2013</v>
          </cell>
        </row>
        <row r="16">
          <cell r="B16" t="str">
            <v>Smart Plug Power Strips-Retro</v>
          </cell>
          <cell r="C16" t="str">
            <v>_PRE2013</v>
          </cell>
          <cell r="D16" t="str">
            <v>_PRE2013</v>
          </cell>
          <cell r="E16" t="str">
            <v>_PRE2013</v>
          </cell>
          <cell r="F16" t="str">
            <v>_PRE2013</v>
          </cell>
          <cell r="G16" t="str">
            <v>_PRE2013</v>
          </cell>
          <cell r="H16" t="str">
            <v>_PRE2013</v>
          </cell>
          <cell r="I16" t="str">
            <v>_PRE2013</v>
          </cell>
          <cell r="J16" t="str">
            <v>_PRE2013</v>
          </cell>
          <cell r="K16" t="str">
            <v>_PRE2013</v>
          </cell>
          <cell r="L16" t="str">
            <v>_PRE2013</v>
          </cell>
          <cell r="M16" t="str">
            <v>_PRE2013</v>
          </cell>
          <cell r="N16" t="str">
            <v>_PRE2013</v>
          </cell>
          <cell r="O16" t="str">
            <v>_PRE2013</v>
          </cell>
          <cell r="P16" t="str">
            <v>_PRE2013</v>
          </cell>
          <cell r="Q16" t="str">
            <v>_PRE2013</v>
          </cell>
          <cell r="R16" t="str">
            <v>_PRE2013</v>
          </cell>
          <cell r="S16" t="str">
            <v>_PRE2013</v>
          </cell>
          <cell r="T16" t="str">
            <v>_PRE2013</v>
          </cell>
        </row>
        <row r="17">
          <cell r="B17" t="str">
            <v>Data Centers-NR</v>
          </cell>
          <cell r="C17" t="str">
            <v>_PRE2013</v>
          </cell>
          <cell r="D17" t="str">
            <v>_PRE2013</v>
          </cell>
          <cell r="E17" t="str">
            <v>_PRE2013</v>
          </cell>
          <cell r="F17" t="str">
            <v>_PRE2013</v>
          </cell>
          <cell r="G17" t="str">
            <v>_PRE2013</v>
          </cell>
          <cell r="H17" t="str">
            <v>_PRE2013</v>
          </cell>
          <cell r="I17" t="str">
            <v>_PRE2013</v>
          </cell>
          <cell r="J17" t="str">
            <v>_PRE2013</v>
          </cell>
          <cell r="K17" t="str">
            <v>_PRE2013</v>
          </cell>
          <cell r="L17" t="str">
            <v>_PRE2013</v>
          </cell>
          <cell r="M17" t="str">
            <v>_PRE2013</v>
          </cell>
          <cell r="N17" t="str">
            <v>_PRE2013</v>
          </cell>
          <cell r="O17" t="str">
            <v>_PRE2013</v>
          </cell>
          <cell r="P17" t="str">
            <v>_PRE2013</v>
          </cell>
          <cell r="Q17" t="str">
            <v>_PRE2013</v>
          </cell>
          <cell r="R17" t="str">
            <v>_PRE2013</v>
          </cell>
          <cell r="S17" t="str">
            <v>_PRE2013</v>
          </cell>
          <cell r="T17" t="str">
            <v>_PRE2013</v>
          </cell>
        </row>
        <row r="18">
          <cell r="B18" t="str">
            <v>Monitor-NR</v>
          </cell>
          <cell r="C18" t="str">
            <v>_PRE2013</v>
          </cell>
          <cell r="D18" t="str">
            <v>_PRE2013</v>
          </cell>
          <cell r="E18" t="str">
            <v>_PRE2013</v>
          </cell>
          <cell r="F18" t="str">
            <v>_PRE2013</v>
          </cell>
          <cell r="G18" t="str">
            <v>_PRE2013</v>
          </cell>
          <cell r="H18" t="str">
            <v>_PRE2013</v>
          </cell>
          <cell r="I18" t="str">
            <v>_PRE2013</v>
          </cell>
          <cell r="J18" t="str">
            <v>_PRE2013</v>
          </cell>
          <cell r="K18" t="str">
            <v>_PRE2013</v>
          </cell>
          <cell r="L18" t="str">
            <v>_PRE2013</v>
          </cell>
          <cell r="M18" t="str">
            <v>_PRE2013</v>
          </cell>
          <cell r="N18" t="str">
            <v>_PRE2013</v>
          </cell>
          <cell r="O18" t="str">
            <v>_PRE2013</v>
          </cell>
          <cell r="P18" t="str">
            <v>_PRE2013</v>
          </cell>
          <cell r="Q18" t="str">
            <v>_PRE2013</v>
          </cell>
          <cell r="R18" t="str">
            <v>_PRE2013</v>
          </cell>
          <cell r="S18" t="str">
            <v>_PRE2013</v>
          </cell>
          <cell r="T18" t="str">
            <v>_PRE2013</v>
          </cell>
        </row>
        <row r="19">
          <cell r="B19" t="str">
            <v>Desktop-NR</v>
          </cell>
          <cell r="C19" t="str">
            <v>_PRE2013</v>
          </cell>
          <cell r="D19" t="str">
            <v>_PRE2013</v>
          </cell>
          <cell r="E19" t="str">
            <v>_PRE2013</v>
          </cell>
          <cell r="F19" t="str">
            <v>_PRE2013</v>
          </cell>
          <cell r="G19" t="str">
            <v>_PRE2013</v>
          </cell>
          <cell r="H19" t="str">
            <v>_PRE2013</v>
          </cell>
          <cell r="I19" t="str">
            <v>_PRE2013</v>
          </cell>
          <cell r="J19" t="str">
            <v>_PRE2013</v>
          </cell>
          <cell r="K19" t="str">
            <v>_PRE2013</v>
          </cell>
          <cell r="L19" t="str">
            <v>_PRE2013</v>
          </cell>
          <cell r="M19" t="str">
            <v>_PRE2013</v>
          </cell>
          <cell r="N19" t="str">
            <v>_PRE2013</v>
          </cell>
          <cell r="O19" t="str">
            <v>_PRE2013</v>
          </cell>
          <cell r="P19" t="str">
            <v>_PRE2013</v>
          </cell>
          <cell r="Q19" t="str">
            <v>_PRE2013</v>
          </cell>
          <cell r="R19" t="str">
            <v>_PRE2013</v>
          </cell>
          <cell r="S19" t="str">
            <v>_PRE2013</v>
          </cell>
          <cell r="T19" t="str">
            <v>_PRE2013</v>
          </cell>
          <cell r="W19" t="str">
            <v>_PRE2013</v>
          </cell>
          <cell r="X19" t="str">
            <v>NR</v>
          </cell>
          <cell r="Y19" t="str">
            <v>POST2013</v>
          </cell>
        </row>
        <row r="20">
          <cell r="B20" t="str">
            <v>Pre-Rinse Spray Valve-Retro</v>
          </cell>
          <cell r="C20" t="str">
            <v>_PRE2013</v>
          </cell>
          <cell r="D20" t="str">
            <v>_PRE2013</v>
          </cell>
          <cell r="E20" t="str">
            <v>_PRE2013</v>
          </cell>
          <cell r="F20" t="str">
            <v>_PRE2013</v>
          </cell>
          <cell r="G20" t="str">
            <v>_PRE2013</v>
          </cell>
          <cell r="H20" t="str">
            <v>_PRE2013</v>
          </cell>
          <cell r="I20" t="str">
            <v>_PRE2013</v>
          </cell>
          <cell r="J20" t="str">
            <v>_PRE2013</v>
          </cell>
          <cell r="K20" t="str">
            <v>_PRE2013</v>
          </cell>
          <cell r="L20" t="str">
            <v>_PRE2013</v>
          </cell>
          <cell r="M20" t="str">
            <v>_PRE2013</v>
          </cell>
          <cell r="N20" t="str">
            <v>_PRE2013</v>
          </cell>
          <cell r="O20" t="str">
            <v>_PRE2013</v>
          </cell>
          <cell r="P20" t="str">
            <v>_PRE2013</v>
          </cell>
          <cell r="Q20" t="str">
            <v>_PRE2013</v>
          </cell>
          <cell r="R20" t="str">
            <v>_PRE2013</v>
          </cell>
          <cell r="S20" t="str">
            <v>_PRE2013</v>
          </cell>
          <cell r="T20" t="str">
            <v>_PRE2013</v>
          </cell>
          <cell r="W20" t="str">
            <v>_PRE2013</v>
          </cell>
          <cell r="X20" t="str">
            <v>Retro</v>
          </cell>
          <cell r="Y20" t="str">
            <v>_PRE2013</v>
          </cell>
        </row>
        <row r="21">
          <cell r="B21" t="str">
            <v>Cooking Equipment-NR</v>
          </cell>
          <cell r="C21" t="str">
            <v>POST2013</v>
          </cell>
          <cell r="D21" t="str">
            <v>POST2013</v>
          </cell>
          <cell r="E21" t="str">
            <v>POST2013</v>
          </cell>
          <cell r="F21" t="str">
            <v>POST2013</v>
          </cell>
          <cell r="G21" t="str">
            <v>POST2013</v>
          </cell>
          <cell r="H21" t="str">
            <v>POST2013</v>
          </cell>
          <cell r="I21" t="str">
            <v>POST2013</v>
          </cell>
          <cell r="J21" t="str">
            <v>POST2013</v>
          </cell>
          <cell r="K21" t="str">
            <v>POST2013</v>
          </cell>
          <cell r="L21" t="str">
            <v>POST2013</v>
          </cell>
          <cell r="M21" t="str">
            <v>POST2013</v>
          </cell>
          <cell r="N21" t="str">
            <v>POST2013</v>
          </cell>
          <cell r="O21" t="str">
            <v>POST2013</v>
          </cell>
          <cell r="P21" t="str">
            <v>POST2013</v>
          </cell>
          <cell r="Q21" t="str">
            <v>POST2013</v>
          </cell>
          <cell r="R21" t="str">
            <v>POST2013</v>
          </cell>
          <cell r="S21" t="str">
            <v>POST2013</v>
          </cell>
          <cell r="T21" t="str">
            <v>POST2013</v>
          </cell>
          <cell r="W21" t="str">
            <v>POST2013</v>
          </cell>
          <cell r="X21" t="str">
            <v>NR</v>
          </cell>
          <cell r="Y21" t="str">
            <v>POST2013</v>
          </cell>
        </row>
        <row r="22">
          <cell r="B22" t="str">
            <v>Premium HVAC Equipment-New</v>
          </cell>
          <cell r="C22" t="str">
            <v>POST2013</v>
          </cell>
          <cell r="D22" t="str">
            <v>POST2013</v>
          </cell>
          <cell r="E22" t="str">
            <v>POST2013</v>
          </cell>
          <cell r="F22" t="str">
            <v>POST2013</v>
          </cell>
          <cell r="G22" t="str">
            <v>POST2013</v>
          </cell>
          <cell r="H22" t="str">
            <v>POST2013</v>
          </cell>
          <cell r="I22" t="str">
            <v>POST2013</v>
          </cell>
          <cell r="J22" t="str">
            <v>POST2013</v>
          </cell>
          <cell r="K22" t="str">
            <v>POST2013</v>
          </cell>
          <cell r="L22" t="str">
            <v>POST2013</v>
          </cell>
          <cell r="M22" t="str">
            <v>POST2013</v>
          </cell>
          <cell r="N22" t="str">
            <v>POST2013</v>
          </cell>
          <cell r="O22" t="str">
            <v>POST2013</v>
          </cell>
          <cell r="P22" t="str">
            <v>POST2013</v>
          </cell>
          <cell r="Q22" t="str">
            <v>POST2013</v>
          </cell>
          <cell r="R22" t="str">
            <v>POST2013</v>
          </cell>
          <cell r="S22" t="str">
            <v>POST2013</v>
          </cell>
          <cell r="T22" t="str">
            <v>POST2013</v>
          </cell>
          <cell r="W22" t="str">
            <v>POST2013</v>
          </cell>
          <cell r="X22" t="str">
            <v>New</v>
          </cell>
          <cell r="Y22" t="str">
            <v>POST2013</v>
          </cell>
        </row>
        <row r="23">
          <cell r="B23" t="str">
            <v>Premium HVAC Equipment-NR</v>
          </cell>
          <cell r="C23" t="str">
            <v>POST2013</v>
          </cell>
          <cell r="D23" t="str">
            <v>POST2013</v>
          </cell>
          <cell r="E23" t="str">
            <v>POST2013</v>
          </cell>
          <cell r="F23" t="str">
            <v>POST2013</v>
          </cell>
          <cell r="G23" t="str">
            <v>POST2013</v>
          </cell>
          <cell r="H23" t="str">
            <v>POST2013</v>
          </cell>
          <cell r="I23" t="str">
            <v>POST2013</v>
          </cell>
          <cell r="J23" t="str">
            <v>POST2013</v>
          </cell>
          <cell r="K23" t="str">
            <v>POST2013</v>
          </cell>
          <cell r="L23" t="str">
            <v>POST2013</v>
          </cell>
          <cell r="M23" t="str">
            <v>POST2013</v>
          </cell>
          <cell r="N23" t="str">
            <v>POST2013</v>
          </cell>
          <cell r="O23" t="str">
            <v>POST2013</v>
          </cell>
          <cell r="P23" t="str">
            <v>POST2013</v>
          </cell>
          <cell r="Q23" t="str">
            <v>POST2013</v>
          </cell>
          <cell r="R23" t="str">
            <v>POST2013</v>
          </cell>
          <cell r="S23" t="str">
            <v>POST2013</v>
          </cell>
          <cell r="T23" t="str">
            <v>POST2013</v>
          </cell>
          <cell r="W23" t="str">
            <v>POST2013</v>
          </cell>
          <cell r="X23" t="str">
            <v>NR</v>
          </cell>
          <cell r="Y23" t="str">
            <v>POST2013</v>
          </cell>
        </row>
        <row r="24">
          <cell r="B24" t="str">
            <v>Glass-New</v>
          </cell>
          <cell r="C24" t="str">
            <v>POST2013</v>
          </cell>
          <cell r="D24" t="str">
            <v>POST2013</v>
          </cell>
          <cell r="E24" t="str">
            <v>POST2013</v>
          </cell>
          <cell r="F24" t="str">
            <v>POST2013</v>
          </cell>
          <cell r="G24" t="str">
            <v>POST2013</v>
          </cell>
          <cell r="H24" t="str">
            <v>POST2013</v>
          </cell>
          <cell r="I24" t="str">
            <v>POST2013</v>
          </cell>
          <cell r="J24" t="str">
            <v>POST2013</v>
          </cell>
          <cell r="K24" t="str">
            <v>POST2013</v>
          </cell>
          <cell r="L24" t="str">
            <v>POST2013</v>
          </cell>
          <cell r="M24" t="str">
            <v>POST2013</v>
          </cell>
          <cell r="N24" t="str">
            <v>POST2013</v>
          </cell>
          <cell r="O24" t="str">
            <v>POST2013</v>
          </cell>
          <cell r="P24" t="str">
            <v>POST2013</v>
          </cell>
          <cell r="Q24" t="str">
            <v>POST2013</v>
          </cell>
          <cell r="R24" t="str">
            <v>POST2013</v>
          </cell>
          <cell r="S24" t="str">
            <v>POST2013</v>
          </cell>
          <cell r="T24" t="str">
            <v>POST2013</v>
          </cell>
          <cell r="W24" t="str">
            <v>POST2013</v>
          </cell>
          <cell r="X24" t="str">
            <v>New</v>
          </cell>
          <cell r="Y24" t="str">
            <v>POST2013</v>
          </cell>
        </row>
        <row r="25">
          <cell r="B25" t="str">
            <v>Glass-NR</v>
          </cell>
          <cell r="C25" t="str">
            <v>POST2013</v>
          </cell>
          <cell r="D25" t="str">
            <v>POST2013</v>
          </cell>
          <cell r="E25" t="str">
            <v>POST2013</v>
          </cell>
          <cell r="F25" t="str">
            <v>POST2013</v>
          </cell>
          <cell r="G25" t="str">
            <v>POST2013</v>
          </cell>
          <cell r="H25" t="str">
            <v>POST2013</v>
          </cell>
          <cell r="I25" t="str">
            <v>POST2013</v>
          </cell>
          <cell r="J25" t="str">
            <v>POST2013</v>
          </cell>
          <cell r="K25" t="str">
            <v>POST2013</v>
          </cell>
          <cell r="L25" t="str">
            <v>POST2013</v>
          </cell>
          <cell r="M25" t="str">
            <v>POST2013</v>
          </cell>
          <cell r="N25" t="str">
            <v>POST2013</v>
          </cell>
          <cell r="O25" t="str">
            <v>POST2013</v>
          </cell>
          <cell r="P25" t="str">
            <v>POST2013</v>
          </cell>
          <cell r="Q25" t="str">
            <v>POST2013</v>
          </cell>
          <cell r="R25" t="str">
            <v>POST2013</v>
          </cell>
          <cell r="S25" t="str">
            <v>POST2013</v>
          </cell>
          <cell r="T25" t="str">
            <v>POST2013</v>
          </cell>
          <cell r="W25" t="str">
            <v>POST2013</v>
          </cell>
          <cell r="X25" t="str">
            <v>NR</v>
          </cell>
          <cell r="Y25" t="str">
            <v>POST2013</v>
          </cell>
        </row>
        <row r="26">
          <cell r="B26" t="str">
            <v>Glass-Retro</v>
          </cell>
          <cell r="C26" t="str">
            <v>_PRE2013</v>
          </cell>
          <cell r="D26" t="str">
            <v>_PRE2013</v>
          </cell>
          <cell r="E26" t="str">
            <v>_PRE2013</v>
          </cell>
          <cell r="F26" t="str">
            <v>_PRE2013</v>
          </cell>
          <cell r="G26" t="str">
            <v>_PRE2013</v>
          </cell>
          <cell r="H26" t="str">
            <v>_PRE2013</v>
          </cell>
          <cell r="I26" t="str">
            <v>_PRE2013</v>
          </cell>
          <cell r="J26" t="str">
            <v>_PRE2013</v>
          </cell>
          <cell r="K26" t="str">
            <v>_PRE2013</v>
          </cell>
          <cell r="L26" t="str">
            <v>_PRE2013</v>
          </cell>
          <cell r="M26" t="str">
            <v>_PRE2013</v>
          </cell>
          <cell r="N26" t="str">
            <v>_PRE2013</v>
          </cell>
          <cell r="O26" t="str">
            <v>_PRE2013</v>
          </cell>
          <cell r="P26" t="str">
            <v>_PRE2013</v>
          </cell>
          <cell r="Q26" t="str">
            <v>_PRE2013</v>
          </cell>
          <cell r="R26" t="str">
            <v>_PRE2013</v>
          </cell>
          <cell r="S26" t="str">
            <v>_PRE2013</v>
          </cell>
          <cell r="T26" t="str">
            <v>_PRE2013</v>
          </cell>
          <cell r="W26" t="str">
            <v>_PRE2013</v>
          </cell>
          <cell r="X26" t="str">
            <v>Retro</v>
          </cell>
          <cell r="Y26" t="str">
            <v>_PRE2013</v>
          </cell>
        </row>
        <row r="27">
          <cell r="B27" t="str">
            <v>Advanced Rooftop Controller-New</v>
          </cell>
          <cell r="C27" t="str">
            <v>POST2013</v>
          </cell>
          <cell r="D27" t="str">
            <v>POST2013</v>
          </cell>
          <cell r="E27" t="str">
            <v>POST2013</v>
          </cell>
          <cell r="F27" t="str">
            <v>POST2013</v>
          </cell>
          <cell r="G27" t="str">
            <v>POST2013</v>
          </cell>
          <cell r="H27" t="str">
            <v>POST2013</v>
          </cell>
          <cell r="I27" t="str">
            <v>POST2013</v>
          </cell>
          <cell r="J27" t="str">
            <v>POST2013</v>
          </cell>
          <cell r="K27" t="str">
            <v>POST2013</v>
          </cell>
          <cell r="L27" t="str">
            <v>POST2013</v>
          </cell>
          <cell r="M27" t="str">
            <v>POST2013</v>
          </cell>
          <cell r="N27" t="str">
            <v>POST2013</v>
          </cell>
          <cell r="O27" t="str">
            <v>POST2013</v>
          </cell>
          <cell r="P27" t="str">
            <v>POST2013</v>
          </cell>
          <cell r="Q27" t="str">
            <v>POST2013</v>
          </cell>
          <cell r="R27" t="str">
            <v>POST2013</v>
          </cell>
          <cell r="S27" t="str">
            <v>POST2013</v>
          </cell>
          <cell r="T27" t="str">
            <v>POST2013</v>
          </cell>
          <cell r="W27" t="str">
            <v>POST2013</v>
          </cell>
          <cell r="X27" t="str">
            <v>New</v>
          </cell>
          <cell r="Y27" t="str">
            <v>POST2013</v>
          </cell>
        </row>
        <row r="28">
          <cell r="B28" t="str">
            <v>Advanced Rooftop Controller-NR</v>
          </cell>
          <cell r="C28" t="str">
            <v>POST2013</v>
          </cell>
          <cell r="D28" t="str">
            <v>POST2013</v>
          </cell>
          <cell r="E28" t="str">
            <v>POST2013</v>
          </cell>
          <cell r="F28" t="str">
            <v>POST2013</v>
          </cell>
          <cell r="G28" t="str">
            <v>POST2013</v>
          </cell>
          <cell r="H28" t="str">
            <v>POST2013</v>
          </cell>
          <cell r="I28" t="str">
            <v>POST2013</v>
          </cell>
          <cell r="J28" t="str">
            <v>POST2013</v>
          </cell>
          <cell r="K28" t="str">
            <v>POST2013</v>
          </cell>
          <cell r="L28" t="str">
            <v>POST2013</v>
          </cell>
          <cell r="M28" t="str">
            <v>POST2013</v>
          </cell>
          <cell r="N28" t="str">
            <v>POST2013</v>
          </cell>
          <cell r="O28" t="str">
            <v>POST2013</v>
          </cell>
          <cell r="P28" t="str">
            <v>POST2013</v>
          </cell>
          <cell r="Q28" t="str">
            <v>POST2013</v>
          </cell>
          <cell r="R28" t="str">
            <v>POST2013</v>
          </cell>
          <cell r="S28" t="str">
            <v>POST2013</v>
          </cell>
          <cell r="T28" t="str">
            <v>POST2013</v>
          </cell>
          <cell r="W28" t="str">
            <v>POST2013</v>
          </cell>
          <cell r="X28" t="str">
            <v>NR</v>
          </cell>
          <cell r="Y28" t="str">
            <v>POST2013</v>
          </cell>
        </row>
        <row r="29">
          <cell r="B29" t="str">
            <v>Advanced Rooftop Controller-Retro</v>
          </cell>
          <cell r="C29" t="str">
            <v>_PRE2013</v>
          </cell>
          <cell r="D29" t="str">
            <v>_PRE2013</v>
          </cell>
          <cell r="E29" t="str">
            <v>_PRE2013</v>
          </cell>
          <cell r="F29" t="str">
            <v>_PRE2013</v>
          </cell>
          <cell r="G29" t="str">
            <v>_PRE2013</v>
          </cell>
          <cell r="H29" t="str">
            <v>_PRE2013</v>
          </cell>
          <cell r="I29" t="str">
            <v>_PRE2013</v>
          </cell>
          <cell r="J29" t="str">
            <v>_PRE2013</v>
          </cell>
          <cell r="K29" t="str">
            <v>_PRE2013</v>
          </cell>
          <cell r="L29" t="str">
            <v>_PRE2013</v>
          </cell>
          <cell r="M29" t="str">
            <v>_PRE2013</v>
          </cell>
          <cell r="N29" t="str">
            <v>_PRE2013</v>
          </cell>
          <cell r="O29" t="str">
            <v>_PRE2013</v>
          </cell>
          <cell r="P29" t="str">
            <v>_PRE2013</v>
          </cell>
          <cell r="Q29" t="str">
            <v>_PRE2013</v>
          </cell>
          <cell r="R29" t="str">
            <v>_PRE2013</v>
          </cell>
          <cell r="S29" t="str">
            <v>_PRE2013</v>
          </cell>
          <cell r="T29" t="str">
            <v>_PRE2013</v>
          </cell>
          <cell r="W29" t="str">
            <v>_PRE2013</v>
          </cell>
          <cell r="X29" t="str">
            <v>Retro</v>
          </cell>
          <cell r="Y29" t="str">
            <v>_PRE2013</v>
          </cell>
        </row>
        <row r="30">
          <cell r="B30" t="str">
            <v>Variable Speed Chiller-New</v>
          </cell>
          <cell r="C30" t="str">
            <v>POST2013</v>
          </cell>
          <cell r="D30" t="str">
            <v>POST2013</v>
          </cell>
          <cell r="E30" t="str">
            <v>POST2013</v>
          </cell>
          <cell r="F30" t="str">
            <v>POST2013</v>
          </cell>
          <cell r="G30" t="str">
            <v>POST2013</v>
          </cell>
          <cell r="H30" t="str">
            <v>POST2013</v>
          </cell>
          <cell r="I30" t="str">
            <v>POST2013</v>
          </cell>
          <cell r="J30" t="str">
            <v>POST2013</v>
          </cell>
          <cell r="K30" t="str">
            <v>POST2013</v>
          </cell>
          <cell r="L30" t="str">
            <v>POST2013</v>
          </cell>
          <cell r="M30" t="str">
            <v>POST2013</v>
          </cell>
          <cell r="N30" t="str">
            <v>POST2013</v>
          </cell>
          <cell r="O30" t="str">
            <v>POST2013</v>
          </cell>
          <cell r="P30" t="str">
            <v>POST2013</v>
          </cell>
          <cell r="Q30" t="str">
            <v>POST2013</v>
          </cell>
          <cell r="R30" t="str">
            <v>POST2013</v>
          </cell>
          <cell r="S30" t="str">
            <v>POST2013</v>
          </cell>
          <cell r="T30" t="str">
            <v>POST2013</v>
          </cell>
          <cell r="W30" t="str">
            <v>POST2013</v>
          </cell>
          <cell r="X30" t="str">
            <v>New</v>
          </cell>
          <cell r="Y30" t="str">
            <v>POST2013</v>
          </cell>
        </row>
        <row r="31">
          <cell r="B31" t="str">
            <v>Variable Speed Chiller-NR</v>
          </cell>
          <cell r="C31" t="str">
            <v>POST2013</v>
          </cell>
          <cell r="D31" t="str">
            <v>POST2013</v>
          </cell>
          <cell r="E31" t="str">
            <v>POST2013</v>
          </cell>
          <cell r="F31" t="str">
            <v>POST2013</v>
          </cell>
          <cell r="G31" t="str">
            <v>POST2013</v>
          </cell>
          <cell r="H31" t="str">
            <v>POST2013</v>
          </cell>
          <cell r="I31" t="str">
            <v>POST2013</v>
          </cell>
          <cell r="J31" t="str">
            <v>POST2013</v>
          </cell>
          <cell r="K31" t="str">
            <v>POST2013</v>
          </cell>
          <cell r="L31" t="str">
            <v>POST2013</v>
          </cell>
          <cell r="M31" t="str">
            <v>POST2013</v>
          </cell>
          <cell r="N31" t="str">
            <v>POST2013</v>
          </cell>
          <cell r="O31" t="str">
            <v>POST2013</v>
          </cell>
          <cell r="P31" t="str">
            <v>POST2013</v>
          </cell>
          <cell r="Q31" t="str">
            <v>POST2013</v>
          </cell>
          <cell r="R31" t="str">
            <v>POST2013</v>
          </cell>
          <cell r="S31" t="str">
            <v>POST2013</v>
          </cell>
          <cell r="T31" t="str">
            <v>POST2013</v>
          </cell>
          <cell r="W31" t="str">
            <v>POST2013</v>
          </cell>
          <cell r="X31" t="str">
            <v>NR</v>
          </cell>
          <cell r="Y31" t="str">
            <v>POST2013</v>
          </cell>
        </row>
        <row r="32">
          <cell r="B32" t="str">
            <v>Commercial EM-New</v>
          </cell>
          <cell r="C32" t="str">
            <v>POST2013</v>
          </cell>
          <cell r="D32" t="str">
            <v>POST2013</v>
          </cell>
          <cell r="E32" t="str">
            <v>POST2013</v>
          </cell>
          <cell r="F32" t="str">
            <v>POST2013</v>
          </cell>
          <cell r="G32" t="str">
            <v>POST2013</v>
          </cell>
          <cell r="H32" t="str">
            <v>POST2013</v>
          </cell>
          <cell r="I32" t="str">
            <v>POST2013</v>
          </cell>
          <cell r="J32" t="str">
            <v>POST2013</v>
          </cell>
          <cell r="K32" t="str">
            <v>POST2013</v>
          </cell>
          <cell r="L32" t="str">
            <v>POST2013</v>
          </cell>
          <cell r="M32" t="str">
            <v>POST2013</v>
          </cell>
          <cell r="N32" t="str">
            <v>POST2013</v>
          </cell>
          <cell r="O32" t="str">
            <v>POST2013</v>
          </cell>
          <cell r="P32" t="str">
            <v>POST2013</v>
          </cell>
          <cell r="Q32" t="str">
            <v>POST2013</v>
          </cell>
          <cell r="R32" t="str">
            <v>POST2013</v>
          </cell>
          <cell r="S32" t="str">
            <v>POST2013</v>
          </cell>
          <cell r="T32" t="str">
            <v>POST2013</v>
          </cell>
          <cell r="W32" t="str">
            <v>POST2013</v>
          </cell>
          <cell r="X32" t="str">
            <v>New</v>
          </cell>
          <cell r="Y32" t="str">
            <v>POST2013</v>
          </cell>
        </row>
        <row r="33">
          <cell r="B33" t="str">
            <v>Commercial EM-NR</v>
          </cell>
          <cell r="C33" t="str">
            <v>POST2013</v>
          </cell>
          <cell r="D33" t="str">
            <v>POST2013</v>
          </cell>
          <cell r="E33" t="str">
            <v>POST2013</v>
          </cell>
          <cell r="F33" t="str">
            <v>POST2013</v>
          </cell>
          <cell r="G33" t="str">
            <v>POST2013</v>
          </cell>
          <cell r="H33" t="str">
            <v>POST2013</v>
          </cell>
          <cell r="I33" t="str">
            <v>POST2013</v>
          </cell>
          <cell r="J33" t="str">
            <v>POST2013</v>
          </cell>
          <cell r="K33" t="str">
            <v>POST2013</v>
          </cell>
          <cell r="L33" t="str">
            <v>POST2013</v>
          </cell>
          <cell r="M33" t="str">
            <v>POST2013</v>
          </cell>
          <cell r="N33" t="str">
            <v>POST2013</v>
          </cell>
          <cell r="O33" t="str">
            <v>POST2013</v>
          </cell>
          <cell r="P33" t="str">
            <v>POST2013</v>
          </cell>
          <cell r="Q33" t="str">
            <v>POST2013</v>
          </cell>
          <cell r="R33" t="str">
            <v>POST2013</v>
          </cell>
          <cell r="S33" t="str">
            <v>POST2013</v>
          </cell>
          <cell r="T33" t="str">
            <v>POST2013</v>
          </cell>
          <cell r="W33" t="str">
            <v>POST2013</v>
          </cell>
          <cell r="X33" t="str">
            <v>NR</v>
          </cell>
          <cell r="Y33" t="str">
            <v>POST2013</v>
          </cell>
        </row>
        <row r="34">
          <cell r="B34" t="str">
            <v>Commercial EM-Retro</v>
          </cell>
          <cell r="C34" t="str">
            <v>_PRE2013</v>
          </cell>
          <cell r="D34" t="str">
            <v>_PRE2013</v>
          </cell>
          <cell r="E34" t="str">
            <v>_PRE2013</v>
          </cell>
          <cell r="F34" t="str">
            <v>_PRE2013</v>
          </cell>
          <cell r="G34" t="str">
            <v>_PRE2013</v>
          </cell>
          <cell r="H34" t="str">
            <v>_PRE2013</v>
          </cell>
          <cell r="I34" t="str">
            <v>_PRE2013</v>
          </cell>
          <cell r="J34" t="str">
            <v>_PRE2013</v>
          </cell>
          <cell r="K34" t="str">
            <v>_PRE2013</v>
          </cell>
          <cell r="L34" t="str">
            <v>_PRE2013</v>
          </cell>
          <cell r="M34" t="str">
            <v>_PRE2013</v>
          </cell>
          <cell r="N34" t="str">
            <v>_PRE2013</v>
          </cell>
          <cell r="O34" t="str">
            <v>_PRE2013</v>
          </cell>
          <cell r="P34" t="str">
            <v>_PRE2013</v>
          </cell>
          <cell r="Q34" t="str">
            <v>_PRE2013</v>
          </cell>
          <cell r="R34" t="str">
            <v>_PRE2013</v>
          </cell>
          <cell r="S34" t="str">
            <v>_PRE2013</v>
          </cell>
          <cell r="T34" t="str">
            <v>_PRE2013</v>
          </cell>
          <cell r="W34" t="str">
            <v>_PRE2013</v>
          </cell>
          <cell r="X34" t="str">
            <v>Retro</v>
          </cell>
          <cell r="Y34" t="str">
            <v>_PRE2013</v>
          </cell>
        </row>
        <row r="35">
          <cell r="B35" t="str">
            <v>Evaporative Assist Cooling-New</v>
          </cell>
          <cell r="C35" t="str">
            <v>POST2013</v>
          </cell>
          <cell r="D35" t="str">
            <v>POST2013</v>
          </cell>
          <cell r="E35" t="str">
            <v>POST2013</v>
          </cell>
          <cell r="F35" t="str">
            <v>POST2013</v>
          </cell>
          <cell r="G35" t="str">
            <v>POST2013</v>
          </cell>
          <cell r="H35" t="str">
            <v>POST2013</v>
          </cell>
          <cell r="I35" t="str">
            <v>POST2013</v>
          </cell>
          <cell r="J35" t="str">
            <v>POST2013</v>
          </cell>
          <cell r="K35" t="str">
            <v>POST2013</v>
          </cell>
          <cell r="L35" t="str">
            <v>POST2013</v>
          </cell>
          <cell r="M35" t="str">
            <v>POST2013</v>
          </cell>
          <cell r="N35" t="str">
            <v>POST2013</v>
          </cell>
          <cell r="O35" t="str">
            <v>POST2013</v>
          </cell>
          <cell r="P35" t="str">
            <v>POST2013</v>
          </cell>
          <cell r="Q35" t="str">
            <v>POST2013</v>
          </cell>
          <cell r="R35" t="str">
            <v>POST2013</v>
          </cell>
          <cell r="S35" t="str">
            <v>POST2013</v>
          </cell>
          <cell r="T35" t="str">
            <v>POST2013</v>
          </cell>
          <cell r="W35" t="str">
            <v>POST2013</v>
          </cell>
          <cell r="X35" t="str">
            <v>New</v>
          </cell>
          <cell r="Y35" t="str">
            <v>POST2013</v>
          </cell>
        </row>
        <row r="36">
          <cell r="B36" t="str">
            <v>Evaporative Assist Cooling-NR</v>
          </cell>
          <cell r="C36" t="str">
            <v>POST2013</v>
          </cell>
          <cell r="D36" t="str">
            <v>POST2013</v>
          </cell>
          <cell r="E36" t="str">
            <v>POST2013</v>
          </cell>
          <cell r="F36" t="str">
            <v>POST2013</v>
          </cell>
          <cell r="G36" t="str">
            <v>POST2013</v>
          </cell>
          <cell r="H36" t="str">
            <v>POST2013</v>
          </cell>
          <cell r="I36" t="str">
            <v>POST2013</v>
          </cell>
          <cell r="J36" t="str">
            <v>POST2013</v>
          </cell>
          <cell r="K36" t="str">
            <v>POST2013</v>
          </cell>
          <cell r="L36" t="str">
            <v>POST2013</v>
          </cell>
          <cell r="M36" t="str">
            <v>POST2013</v>
          </cell>
          <cell r="N36" t="str">
            <v>POST2013</v>
          </cell>
          <cell r="O36" t="str">
            <v>POST2013</v>
          </cell>
          <cell r="P36" t="str">
            <v>POST2013</v>
          </cell>
          <cell r="Q36" t="str">
            <v>POST2013</v>
          </cell>
          <cell r="R36" t="str">
            <v>POST2013</v>
          </cell>
          <cell r="S36" t="str">
            <v>POST2013</v>
          </cell>
          <cell r="T36" t="str">
            <v>POST2013</v>
          </cell>
          <cell r="W36" t="str">
            <v>POST2013</v>
          </cell>
          <cell r="X36" t="str">
            <v>NR</v>
          </cell>
          <cell r="Y36" t="str">
            <v>POST2013</v>
          </cell>
        </row>
        <row r="37">
          <cell r="B37" t="str">
            <v>Economizer-Retro</v>
          </cell>
          <cell r="C37" t="str">
            <v>POST2013</v>
          </cell>
          <cell r="D37" t="str">
            <v>POST2013</v>
          </cell>
          <cell r="E37" t="str">
            <v>POST2013</v>
          </cell>
          <cell r="F37" t="str">
            <v>POST2013</v>
          </cell>
          <cell r="G37" t="str">
            <v>POST2013</v>
          </cell>
          <cell r="H37" t="str">
            <v>POST2013</v>
          </cell>
          <cell r="I37" t="str">
            <v>POST2013</v>
          </cell>
          <cell r="J37" t="str">
            <v>POST2013</v>
          </cell>
          <cell r="K37" t="str">
            <v>POST2013</v>
          </cell>
          <cell r="L37" t="str">
            <v>POST2013</v>
          </cell>
          <cell r="M37" t="str">
            <v>POST2013</v>
          </cell>
          <cell r="N37" t="str">
            <v>POST2013</v>
          </cell>
          <cell r="O37" t="str">
            <v>POST2013</v>
          </cell>
          <cell r="P37" t="str">
            <v>POST2013</v>
          </cell>
          <cell r="Q37" t="str">
            <v>POST2013</v>
          </cell>
          <cell r="R37" t="str">
            <v>POST2013</v>
          </cell>
          <cell r="S37" t="str">
            <v>POST2013</v>
          </cell>
          <cell r="T37" t="str">
            <v>POST2013</v>
          </cell>
          <cell r="W37" t="str">
            <v>POST2013</v>
          </cell>
          <cell r="X37" t="str">
            <v>Retro</v>
          </cell>
          <cell r="Y37" t="str">
            <v>_PRE2013</v>
          </cell>
        </row>
        <row r="38">
          <cell r="B38" t="str">
            <v>Demand Control Ventilation-New</v>
          </cell>
          <cell r="C38" t="str">
            <v>POST2013</v>
          </cell>
          <cell r="D38" t="str">
            <v>POST2013</v>
          </cell>
          <cell r="E38" t="str">
            <v>POST2013</v>
          </cell>
          <cell r="F38" t="str">
            <v>POST2013</v>
          </cell>
          <cell r="G38" t="str">
            <v>POST2013</v>
          </cell>
          <cell r="H38" t="str">
            <v>POST2013</v>
          </cell>
          <cell r="I38" t="str">
            <v>POST2013</v>
          </cell>
          <cell r="J38" t="str">
            <v>POST2013</v>
          </cell>
          <cell r="K38" t="str">
            <v>POST2013</v>
          </cell>
          <cell r="L38" t="str">
            <v>POST2013</v>
          </cell>
          <cell r="M38" t="str">
            <v>POST2013</v>
          </cell>
          <cell r="N38" t="str">
            <v>POST2013</v>
          </cell>
          <cell r="O38" t="str">
            <v>POST2013</v>
          </cell>
          <cell r="P38" t="str">
            <v>POST2013</v>
          </cell>
          <cell r="Q38" t="str">
            <v>POST2013</v>
          </cell>
          <cell r="R38" t="str">
            <v>POST2013</v>
          </cell>
          <cell r="S38" t="str">
            <v>POST2013</v>
          </cell>
          <cell r="T38" t="str">
            <v>POST2013</v>
          </cell>
          <cell r="W38" t="str">
            <v>POST2013</v>
          </cell>
          <cell r="X38" t="str">
            <v>New</v>
          </cell>
          <cell r="Y38" t="str">
            <v>POST2013</v>
          </cell>
        </row>
        <row r="39">
          <cell r="B39" t="str">
            <v>Demand Control Ventilation-NR</v>
          </cell>
          <cell r="C39" t="str">
            <v>POST2013</v>
          </cell>
          <cell r="D39" t="str">
            <v>POST2013</v>
          </cell>
          <cell r="E39" t="str">
            <v>POST2013</v>
          </cell>
          <cell r="F39" t="str">
            <v>POST2013</v>
          </cell>
          <cell r="G39" t="str">
            <v>POST2013</v>
          </cell>
          <cell r="H39" t="str">
            <v>POST2013</v>
          </cell>
          <cell r="I39" t="str">
            <v>POST2013</v>
          </cell>
          <cell r="J39" t="str">
            <v>POST2013</v>
          </cell>
          <cell r="K39" t="str">
            <v>POST2013</v>
          </cell>
          <cell r="L39" t="str">
            <v>POST2013</v>
          </cell>
          <cell r="M39" t="str">
            <v>POST2013</v>
          </cell>
          <cell r="N39" t="str">
            <v>POST2013</v>
          </cell>
          <cell r="O39" t="str">
            <v>POST2013</v>
          </cell>
          <cell r="P39" t="str">
            <v>POST2013</v>
          </cell>
          <cell r="Q39" t="str">
            <v>POST2013</v>
          </cell>
          <cell r="R39" t="str">
            <v>POST2013</v>
          </cell>
          <cell r="S39" t="str">
            <v>POST2013</v>
          </cell>
          <cell r="T39" t="str">
            <v>POST2013</v>
          </cell>
          <cell r="W39" t="str">
            <v>POST2013</v>
          </cell>
          <cell r="X39" t="str">
            <v>NR</v>
          </cell>
          <cell r="Y39" t="str">
            <v>POST2013</v>
          </cell>
        </row>
        <row r="40">
          <cell r="B40" t="str">
            <v>Demand Control Ventilation-Retro</v>
          </cell>
          <cell r="C40" t="str">
            <v>_PRE2013</v>
          </cell>
          <cell r="D40" t="str">
            <v>_PRE2013</v>
          </cell>
          <cell r="E40" t="str">
            <v>_PRE2013</v>
          </cell>
          <cell r="F40" t="str">
            <v>_PRE2013</v>
          </cell>
          <cell r="G40" t="str">
            <v>_PRE2013</v>
          </cell>
          <cell r="H40" t="str">
            <v>_PRE2013</v>
          </cell>
          <cell r="I40" t="str">
            <v>_PRE2013</v>
          </cell>
          <cell r="J40" t="str">
            <v>_PRE2013</v>
          </cell>
          <cell r="K40" t="str">
            <v>_PRE2013</v>
          </cell>
          <cell r="L40" t="str">
            <v>_PRE2013</v>
          </cell>
          <cell r="M40" t="str">
            <v>_PRE2013</v>
          </cell>
          <cell r="N40" t="str">
            <v>_PRE2013</v>
          </cell>
          <cell r="O40" t="str">
            <v>_PRE2013</v>
          </cell>
          <cell r="P40" t="str">
            <v>_PRE2013</v>
          </cell>
          <cell r="Q40" t="str">
            <v>_PRE2013</v>
          </cell>
          <cell r="R40" t="str">
            <v>_PRE2013</v>
          </cell>
          <cell r="S40" t="str">
            <v>_PRE2013</v>
          </cell>
          <cell r="T40" t="str">
            <v>_PRE2013</v>
          </cell>
          <cell r="W40" t="str">
            <v>_PRE2013</v>
          </cell>
          <cell r="X40" t="str">
            <v>Retro</v>
          </cell>
          <cell r="Y40" t="str">
            <v>_PRE2013</v>
          </cell>
        </row>
        <row r="41">
          <cell r="B41" t="str">
            <v>Premium Fume Hood-NR</v>
          </cell>
          <cell r="C41" t="str">
            <v>POST2013</v>
          </cell>
          <cell r="D41" t="str">
            <v>POST2013</v>
          </cell>
          <cell r="E41" t="str">
            <v>POST2013</v>
          </cell>
          <cell r="F41" t="str">
            <v>POST2013</v>
          </cell>
          <cell r="G41" t="str">
            <v>POST2013</v>
          </cell>
          <cell r="H41" t="str">
            <v>POST2013</v>
          </cell>
          <cell r="I41" t="str">
            <v>POST2013</v>
          </cell>
          <cell r="J41" t="str">
            <v>POST2013</v>
          </cell>
          <cell r="K41" t="str">
            <v>POST2013</v>
          </cell>
          <cell r="L41" t="str">
            <v>POST2013</v>
          </cell>
          <cell r="M41" t="str">
            <v>POST2013</v>
          </cell>
          <cell r="N41" t="str">
            <v>POST2013</v>
          </cell>
          <cell r="O41" t="str">
            <v>POST2013</v>
          </cell>
          <cell r="P41" t="str">
            <v>POST2013</v>
          </cell>
          <cell r="Q41" t="str">
            <v>POST2013</v>
          </cell>
          <cell r="R41" t="str">
            <v>POST2013</v>
          </cell>
          <cell r="S41" t="str">
            <v>POST2013</v>
          </cell>
          <cell r="T41" t="str">
            <v>POST2013</v>
          </cell>
          <cell r="W41" t="str">
            <v>POST2013</v>
          </cell>
          <cell r="X41" t="str">
            <v>NR</v>
          </cell>
          <cell r="Y41" t="str">
            <v>POST2013</v>
          </cell>
        </row>
        <row r="42">
          <cell r="B42" t="str">
            <v>DCV Restaurant Hood-Retro</v>
          </cell>
          <cell r="C42" t="str">
            <v>_PRE2013</v>
          </cell>
          <cell r="D42" t="str">
            <v>_PRE2013</v>
          </cell>
          <cell r="E42" t="str">
            <v>_PRE2013</v>
          </cell>
          <cell r="F42" t="str">
            <v>_PRE2013</v>
          </cell>
          <cell r="G42" t="str">
            <v>_PRE2013</v>
          </cell>
          <cell r="H42" t="str">
            <v>_PRE2013</v>
          </cell>
          <cell r="I42" t="str">
            <v>_PRE2013</v>
          </cell>
          <cell r="J42" t="str">
            <v>_PRE2013</v>
          </cell>
          <cell r="K42" t="str">
            <v>_PRE2013</v>
          </cell>
          <cell r="L42" t="str">
            <v>_PRE2013</v>
          </cell>
          <cell r="M42" t="str">
            <v>_PRE2013</v>
          </cell>
          <cell r="N42" t="str">
            <v>_PRE2013</v>
          </cell>
          <cell r="O42" t="str">
            <v>_PRE2013</v>
          </cell>
          <cell r="P42" t="str">
            <v>_PRE2013</v>
          </cell>
          <cell r="Q42" t="str">
            <v>_PRE2013</v>
          </cell>
          <cell r="R42" t="str">
            <v>_PRE2013</v>
          </cell>
          <cell r="S42" t="str">
            <v>_PRE2013</v>
          </cell>
          <cell r="T42" t="str">
            <v>_PRE2013</v>
          </cell>
          <cell r="W42" t="str">
            <v>_PRE2013</v>
          </cell>
          <cell r="X42" t="str">
            <v>Retro</v>
          </cell>
          <cell r="Y42" t="str">
            <v>_PRE2013</v>
          </cell>
        </row>
        <row r="43">
          <cell r="B43" t="str">
            <v>DCV Parking Garage-Retro</v>
          </cell>
          <cell r="C43" t="str">
            <v>_PRE2013</v>
          </cell>
          <cell r="D43" t="str">
            <v>_PRE2013</v>
          </cell>
          <cell r="E43" t="str">
            <v>_PRE2013</v>
          </cell>
          <cell r="F43" t="str">
            <v>_PRE2013</v>
          </cell>
          <cell r="G43" t="str">
            <v>_PRE2013</v>
          </cell>
          <cell r="H43" t="str">
            <v>_PRE2013</v>
          </cell>
          <cell r="I43" t="str">
            <v>_PRE2013</v>
          </cell>
          <cell r="J43" t="str">
            <v>_PRE2013</v>
          </cell>
          <cell r="K43" t="str">
            <v>_PRE2013</v>
          </cell>
          <cell r="L43" t="str">
            <v>_PRE2013</v>
          </cell>
          <cell r="M43" t="str">
            <v>_PRE2013</v>
          </cell>
          <cell r="N43" t="str">
            <v>_PRE2013</v>
          </cell>
          <cell r="O43" t="str">
            <v>_PRE2013</v>
          </cell>
          <cell r="P43" t="str">
            <v>_PRE2013</v>
          </cell>
          <cell r="Q43" t="str">
            <v>_PRE2013</v>
          </cell>
          <cell r="R43" t="str">
            <v>_PRE2013</v>
          </cell>
          <cell r="S43" t="str">
            <v>_PRE2013</v>
          </cell>
          <cell r="T43" t="str">
            <v>_PRE2013</v>
          </cell>
          <cell r="W43" t="str">
            <v>_PRE2013</v>
          </cell>
          <cell r="X43" t="str">
            <v>Retro</v>
          </cell>
          <cell r="Y43" t="str">
            <v>_PRE2013</v>
          </cell>
        </row>
        <row r="44">
          <cell r="B44" t="str">
            <v>Weatherization - School-Retro</v>
          </cell>
          <cell r="C44" t="str">
            <v>_PRE2013</v>
          </cell>
          <cell r="D44" t="str">
            <v>_PRE2013</v>
          </cell>
          <cell r="E44" t="str">
            <v>_PRE2013</v>
          </cell>
          <cell r="F44" t="str">
            <v>_PRE2013</v>
          </cell>
          <cell r="G44" t="str">
            <v>_PRE2013</v>
          </cell>
          <cell r="H44" t="str">
            <v>_PRE2013</v>
          </cell>
          <cell r="I44" t="str">
            <v>_PRE2013</v>
          </cell>
          <cell r="J44" t="str">
            <v>_PRE2013</v>
          </cell>
          <cell r="K44" t="str">
            <v>_PRE2013</v>
          </cell>
          <cell r="L44" t="str">
            <v>_PRE2013</v>
          </cell>
          <cell r="M44" t="str">
            <v>_PRE2013</v>
          </cell>
          <cell r="N44" t="str">
            <v>_PRE2013</v>
          </cell>
          <cell r="O44" t="str">
            <v>_PRE2013</v>
          </cell>
          <cell r="P44" t="str">
            <v>_PRE2013</v>
          </cell>
          <cell r="Q44" t="str">
            <v>_PRE2013</v>
          </cell>
          <cell r="R44" t="str">
            <v>_PRE2013</v>
          </cell>
          <cell r="S44" t="str">
            <v>_PRE2013</v>
          </cell>
          <cell r="T44" t="str">
            <v>_PRE2013</v>
          </cell>
          <cell r="W44" t="str">
            <v>_PRE2013</v>
          </cell>
          <cell r="X44" t="str">
            <v>Retro</v>
          </cell>
          <cell r="Y44" t="str">
            <v>_PRE2013</v>
          </cell>
        </row>
        <row r="45">
          <cell r="B45" t="str">
            <v>Energy Recovery Ventilator-NR</v>
          </cell>
          <cell r="C45" t="str">
            <v>POST2013</v>
          </cell>
          <cell r="D45" t="str">
            <v>POST2013</v>
          </cell>
          <cell r="E45" t="str">
            <v>POST2013</v>
          </cell>
          <cell r="F45" t="str">
            <v>POST2013</v>
          </cell>
          <cell r="G45" t="str">
            <v>POST2013</v>
          </cell>
          <cell r="H45" t="str">
            <v>POST2013</v>
          </cell>
          <cell r="I45" t="str">
            <v>POST2013</v>
          </cell>
          <cell r="J45" t="str">
            <v>POST2013</v>
          </cell>
          <cell r="K45" t="str">
            <v>POST2013</v>
          </cell>
          <cell r="L45" t="str">
            <v>POST2013</v>
          </cell>
          <cell r="M45" t="str">
            <v>POST2013</v>
          </cell>
          <cell r="N45" t="str">
            <v>POST2013</v>
          </cell>
          <cell r="O45" t="str">
            <v>POST2013</v>
          </cell>
          <cell r="P45" t="str">
            <v>POST2013</v>
          </cell>
          <cell r="Q45" t="str">
            <v>POST2013</v>
          </cell>
          <cell r="R45" t="str">
            <v>POST2013</v>
          </cell>
          <cell r="S45" t="str">
            <v>POST2013</v>
          </cell>
          <cell r="T45" t="str">
            <v>POST2013</v>
          </cell>
          <cell r="W45" t="str">
            <v>POST2013</v>
          </cell>
          <cell r="X45" t="str">
            <v>NR</v>
          </cell>
          <cell r="Y45" t="str">
            <v>POST2013</v>
          </cell>
        </row>
        <row r="46">
          <cell r="B46" t="str">
            <v>AC Heat Recovery for Water Heating-NR</v>
          </cell>
          <cell r="C46" t="str">
            <v>POST2013</v>
          </cell>
          <cell r="D46" t="str">
            <v>POST2013</v>
          </cell>
          <cell r="E46" t="str">
            <v>POST2013</v>
          </cell>
          <cell r="F46" t="str">
            <v>POST2013</v>
          </cell>
          <cell r="G46" t="str">
            <v>POST2013</v>
          </cell>
          <cell r="H46" t="str">
            <v>POST2013</v>
          </cell>
          <cell r="I46" t="str">
            <v>POST2013</v>
          </cell>
          <cell r="J46" t="str">
            <v>POST2013</v>
          </cell>
          <cell r="K46" t="str">
            <v>POST2013</v>
          </cell>
          <cell r="L46" t="str">
            <v>POST2013</v>
          </cell>
          <cell r="M46" t="str">
            <v>POST2013</v>
          </cell>
          <cell r="N46" t="str">
            <v>POST2013</v>
          </cell>
          <cell r="O46" t="str">
            <v>POST2013</v>
          </cell>
          <cell r="P46" t="str">
            <v>POST2013</v>
          </cell>
          <cell r="Q46" t="str">
            <v>POST2013</v>
          </cell>
          <cell r="R46" t="str">
            <v>POST2013</v>
          </cell>
          <cell r="S46" t="str">
            <v>POST2013</v>
          </cell>
          <cell r="T46" t="str">
            <v>POST2013</v>
          </cell>
          <cell r="W46" t="str">
            <v>POST2013</v>
          </cell>
          <cell r="X46" t="str">
            <v>NR</v>
          </cell>
          <cell r="Y46" t="str">
            <v>POST2013</v>
          </cell>
        </row>
        <row r="47">
          <cell r="B47" t="str">
            <v>Room Occupancy Sensors in Lodging-Retro</v>
          </cell>
          <cell r="C47" t="str">
            <v>_PRE2013</v>
          </cell>
          <cell r="D47" t="str">
            <v>_PRE2013</v>
          </cell>
          <cell r="E47" t="str">
            <v>_PRE2013</v>
          </cell>
          <cell r="F47" t="str">
            <v>_PRE2013</v>
          </cell>
          <cell r="G47" t="str">
            <v>_PRE2013</v>
          </cell>
          <cell r="H47" t="str">
            <v>_PRE2013</v>
          </cell>
          <cell r="I47" t="str">
            <v>_PRE2013</v>
          </cell>
          <cell r="J47" t="str">
            <v>_PRE2013</v>
          </cell>
          <cell r="K47" t="str">
            <v>_PRE2013</v>
          </cell>
          <cell r="L47" t="str">
            <v>_PRE2013</v>
          </cell>
          <cell r="M47" t="str">
            <v>_PRE2013</v>
          </cell>
          <cell r="N47" t="str">
            <v>_PRE2013</v>
          </cell>
          <cell r="O47" t="str">
            <v>_PRE2013</v>
          </cell>
          <cell r="P47" t="str">
            <v>_PRE2013</v>
          </cell>
          <cell r="Q47" t="str">
            <v>_PRE2013</v>
          </cell>
          <cell r="R47" t="str">
            <v>_PRE2013</v>
          </cell>
          <cell r="S47" t="str">
            <v>_PRE2013</v>
          </cell>
          <cell r="T47" t="str">
            <v>_PRE2013</v>
          </cell>
          <cell r="W47" t="str">
            <v>_PRE2013</v>
          </cell>
          <cell r="X47" t="str">
            <v>Retro</v>
          </cell>
          <cell r="Y47" t="str">
            <v>_PRE2013</v>
          </cell>
        </row>
        <row r="48">
          <cell r="B48" t="str">
            <v>Chiller - chilled water retrofit-Retro</v>
          </cell>
          <cell r="C48" t="str">
            <v>_PRE2013</v>
          </cell>
          <cell r="D48" t="str">
            <v>_PRE2013</v>
          </cell>
          <cell r="E48" t="str">
            <v>_PRE2013</v>
          </cell>
          <cell r="F48" t="str">
            <v>_PRE2013</v>
          </cell>
          <cell r="G48" t="str">
            <v>_PRE2013</v>
          </cell>
          <cell r="H48" t="str">
            <v>_PRE2013</v>
          </cell>
          <cell r="I48" t="str">
            <v>_PRE2013</v>
          </cell>
          <cell r="J48" t="str">
            <v>_PRE2013</v>
          </cell>
          <cell r="K48" t="str">
            <v>_PRE2013</v>
          </cell>
          <cell r="L48" t="str">
            <v>_PRE2013</v>
          </cell>
          <cell r="M48" t="str">
            <v>_PRE2013</v>
          </cell>
          <cell r="N48" t="str">
            <v>_PRE2013</v>
          </cell>
          <cell r="O48" t="str">
            <v>_PRE2013</v>
          </cell>
          <cell r="P48" t="str">
            <v>_PRE2013</v>
          </cell>
          <cell r="Q48" t="str">
            <v>_PRE2013</v>
          </cell>
          <cell r="R48" t="str">
            <v>_PRE2013</v>
          </cell>
          <cell r="S48" t="str">
            <v>_PRE2013</v>
          </cell>
          <cell r="T48" t="str">
            <v>_PRE2013</v>
          </cell>
          <cell r="W48" t="str">
            <v>_PRE2013</v>
          </cell>
          <cell r="X48" t="str">
            <v>Retro</v>
          </cell>
          <cell r="Y48" t="str">
            <v>_PRE2013</v>
          </cell>
        </row>
        <row r="49">
          <cell r="B49" t="str">
            <v>Chiller - equip retrofits-Retro</v>
          </cell>
          <cell r="C49" t="str">
            <v>_PRE2013</v>
          </cell>
          <cell r="D49" t="str">
            <v>_PRE2013</v>
          </cell>
          <cell r="E49" t="str">
            <v>_PRE2013</v>
          </cell>
          <cell r="F49" t="str">
            <v>_PRE2013</v>
          </cell>
          <cell r="G49" t="str">
            <v>_PRE2013</v>
          </cell>
          <cell r="H49" t="str">
            <v>_PRE2013</v>
          </cell>
          <cell r="I49" t="str">
            <v>_PRE2013</v>
          </cell>
          <cell r="J49" t="str">
            <v>_PRE2013</v>
          </cell>
          <cell r="K49" t="str">
            <v>_PRE2013</v>
          </cell>
          <cell r="L49" t="str">
            <v>_PRE2013</v>
          </cell>
          <cell r="M49" t="str">
            <v>_PRE2013</v>
          </cell>
          <cell r="N49" t="str">
            <v>_PRE2013</v>
          </cell>
          <cell r="O49" t="str">
            <v>_PRE2013</v>
          </cell>
          <cell r="P49" t="str">
            <v>_PRE2013</v>
          </cell>
          <cell r="Q49" t="str">
            <v>_PRE2013</v>
          </cell>
          <cell r="R49" t="str">
            <v>_PRE2013</v>
          </cell>
          <cell r="S49" t="str">
            <v>_PRE2013</v>
          </cell>
          <cell r="T49" t="str">
            <v>_PRE2013</v>
          </cell>
          <cell r="W49" t="str">
            <v>_PRE2013</v>
          </cell>
          <cell r="X49" t="str">
            <v>Retro</v>
          </cell>
          <cell r="Y49" t="str">
            <v>_PRE2013</v>
          </cell>
        </row>
        <row r="50">
          <cell r="B50" t="str">
            <v>Pool Blankets-Retro</v>
          </cell>
          <cell r="C50" t="str">
            <v>_PRE2013</v>
          </cell>
          <cell r="D50" t="str">
            <v>_PRE2013</v>
          </cell>
          <cell r="E50" t="str">
            <v>_PRE2013</v>
          </cell>
          <cell r="F50" t="str">
            <v>_PRE2013</v>
          </cell>
          <cell r="G50" t="str">
            <v>_PRE2013</v>
          </cell>
          <cell r="H50" t="str">
            <v>_PRE2013</v>
          </cell>
          <cell r="I50" t="str">
            <v>_PRE2013</v>
          </cell>
          <cell r="J50" t="str">
            <v>_PRE2013</v>
          </cell>
          <cell r="K50" t="str">
            <v>_PRE2013</v>
          </cell>
          <cell r="L50" t="str">
            <v>_PRE2013</v>
          </cell>
          <cell r="M50" t="str">
            <v>_PRE2013</v>
          </cell>
          <cell r="N50" t="str">
            <v>_PRE2013</v>
          </cell>
          <cell r="O50" t="str">
            <v>_PRE2013</v>
          </cell>
          <cell r="P50" t="str">
            <v>_PRE2013</v>
          </cell>
          <cell r="Q50" t="str">
            <v>_PRE2013</v>
          </cell>
          <cell r="R50" t="str">
            <v>_PRE2013</v>
          </cell>
          <cell r="S50" t="str">
            <v>_PRE2013</v>
          </cell>
          <cell r="T50" t="str">
            <v>_PRE2013</v>
          </cell>
          <cell r="W50" t="str">
            <v>_PRE2013</v>
          </cell>
          <cell r="X50" t="str">
            <v>Retro</v>
          </cell>
          <cell r="Y50" t="str">
            <v>_PRE2013</v>
          </cell>
        </row>
        <row r="51">
          <cell r="B51" t="str">
            <v>Web-Enabled Thermostats-Retro</v>
          </cell>
          <cell r="C51" t="str">
            <v>_PRE2013</v>
          </cell>
          <cell r="D51" t="str">
            <v>_PRE2013</v>
          </cell>
          <cell r="E51" t="str">
            <v>_PRE2013</v>
          </cell>
          <cell r="F51" t="str">
            <v>_PRE2013</v>
          </cell>
          <cell r="G51" t="str">
            <v>_PRE2013</v>
          </cell>
          <cell r="H51" t="str">
            <v>_PRE2013</v>
          </cell>
          <cell r="I51" t="str">
            <v>_PRE2013</v>
          </cell>
          <cell r="J51" t="str">
            <v>_PRE2013</v>
          </cell>
          <cell r="K51" t="str">
            <v>_PRE2013</v>
          </cell>
          <cell r="L51" t="str">
            <v>_PRE2013</v>
          </cell>
          <cell r="M51" t="str">
            <v>_PRE2013</v>
          </cell>
          <cell r="N51" t="str">
            <v>_PRE2013</v>
          </cell>
          <cell r="O51" t="str">
            <v>_PRE2013</v>
          </cell>
          <cell r="P51" t="str">
            <v>_PRE2013</v>
          </cell>
          <cell r="Q51" t="str">
            <v>_PRE2013</v>
          </cell>
          <cell r="R51" t="str">
            <v>_PRE2013</v>
          </cell>
          <cell r="S51" t="str">
            <v>_PRE2013</v>
          </cell>
          <cell r="T51" t="str">
            <v>_PRE2013</v>
          </cell>
          <cell r="W51" t="str">
            <v>_PRE2013</v>
          </cell>
          <cell r="X51" t="str">
            <v>Retro</v>
          </cell>
          <cell r="Y51" t="str">
            <v>_PRE2013</v>
          </cell>
        </row>
        <row r="52">
          <cell r="B52" t="str">
            <v>Garage CO2 ventilation-Retro</v>
          </cell>
          <cell r="C52" t="str">
            <v>_PRE2013</v>
          </cell>
          <cell r="D52" t="str">
            <v>_PRE2013</v>
          </cell>
          <cell r="E52" t="str">
            <v>_PRE2013</v>
          </cell>
          <cell r="F52" t="str">
            <v>_PRE2013</v>
          </cell>
          <cell r="G52" t="str">
            <v>_PRE2013</v>
          </cell>
          <cell r="H52" t="str">
            <v>_PRE2013</v>
          </cell>
          <cell r="I52" t="str">
            <v>_PRE2013</v>
          </cell>
          <cell r="J52" t="str">
            <v>_PRE2013</v>
          </cell>
          <cell r="K52" t="str">
            <v>_PRE2013</v>
          </cell>
          <cell r="L52" t="str">
            <v>_PRE2013</v>
          </cell>
          <cell r="M52" t="str">
            <v>_PRE2013</v>
          </cell>
          <cell r="N52" t="str">
            <v>_PRE2013</v>
          </cell>
          <cell r="O52" t="str">
            <v>_PRE2013</v>
          </cell>
          <cell r="P52" t="str">
            <v>_PRE2013</v>
          </cell>
          <cell r="Q52" t="str">
            <v>_PRE2013</v>
          </cell>
          <cell r="R52" t="str">
            <v>_PRE2013</v>
          </cell>
          <cell r="S52" t="str">
            <v>_PRE2013</v>
          </cell>
          <cell r="T52" t="str">
            <v>_PRE2013</v>
          </cell>
          <cell r="W52" t="str">
            <v>_PRE2013</v>
          </cell>
          <cell r="X52" t="str">
            <v>Retro</v>
          </cell>
          <cell r="Y52" t="str">
            <v>_PRE2013</v>
          </cell>
        </row>
        <row r="53">
          <cell r="B53" t="str">
            <v>Circ Pump ECM and drive-Retro</v>
          </cell>
          <cell r="C53" t="str">
            <v>_PRE2013</v>
          </cell>
          <cell r="D53" t="str">
            <v>_PRE2013</v>
          </cell>
          <cell r="E53" t="str">
            <v>_PRE2013</v>
          </cell>
          <cell r="F53" t="str">
            <v>_PRE2013</v>
          </cell>
          <cell r="G53" t="str">
            <v>_PRE2013</v>
          </cell>
          <cell r="H53" t="str">
            <v>_PRE2013</v>
          </cell>
          <cell r="I53" t="str">
            <v>_PRE2013</v>
          </cell>
          <cell r="J53" t="str">
            <v>_PRE2013</v>
          </cell>
          <cell r="K53" t="str">
            <v>_PRE2013</v>
          </cell>
          <cell r="L53" t="str">
            <v>_PRE2013</v>
          </cell>
          <cell r="M53" t="str">
            <v>_PRE2013</v>
          </cell>
          <cell r="N53" t="str">
            <v>_PRE2013</v>
          </cell>
          <cell r="O53" t="str">
            <v>_PRE2013</v>
          </cell>
          <cell r="P53" t="str">
            <v>_PRE2013</v>
          </cell>
          <cell r="Q53" t="str">
            <v>_PRE2013</v>
          </cell>
          <cell r="R53" t="str">
            <v>_PRE2013</v>
          </cell>
          <cell r="S53" t="str">
            <v>_PRE2013</v>
          </cell>
          <cell r="T53" t="str">
            <v>_PRE2013</v>
          </cell>
          <cell r="W53" t="str">
            <v>_PRE2013</v>
          </cell>
          <cell r="X53" t="str">
            <v>Retro</v>
          </cell>
          <cell r="Y53" t="str">
            <v>_PRE2013</v>
          </cell>
        </row>
        <row r="54">
          <cell r="B54" t="str">
            <v>VRF-New</v>
          </cell>
          <cell r="C54" t="str">
            <v>_PRE2013</v>
          </cell>
          <cell r="D54" t="str">
            <v>_PRE2013</v>
          </cell>
          <cell r="E54" t="str">
            <v>_PRE2013</v>
          </cell>
          <cell r="F54" t="str">
            <v>_PRE2013</v>
          </cell>
          <cell r="G54" t="str">
            <v>_PRE2013</v>
          </cell>
          <cell r="H54" t="str">
            <v>_PRE2013</v>
          </cell>
          <cell r="I54" t="str">
            <v>_PRE2013</v>
          </cell>
          <cell r="J54" t="str">
            <v>_PRE2013</v>
          </cell>
          <cell r="K54" t="str">
            <v>_PRE2013</v>
          </cell>
          <cell r="L54" t="str">
            <v>_PRE2013</v>
          </cell>
          <cell r="M54" t="str">
            <v>_PRE2013</v>
          </cell>
          <cell r="N54" t="str">
            <v>_PRE2013</v>
          </cell>
          <cell r="O54" t="str">
            <v>_PRE2013</v>
          </cell>
          <cell r="P54" t="str">
            <v>_PRE2013</v>
          </cell>
          <cell r="Q54" t="str">
            <v>_PRE2013</v>
          </cell>
          <cell r="R54" t="str">
            <v>_PRE2013</v>
          </cell>
          <cell r="S54" t="str">
            <v>_PRE2013</v>
          </cell>
          <cell r="T54" t="str">
            <v>_PRE2013</v>
          </cell>
          <cell r="W54" t="str">
            <v>_PRE2013</v>
          </cell>
          <cell r="X54" t="str">
            <v>New</v>
          </cell>
          <cell r="Y54" t="str">
            <v>POST2013</v>
          </cell>
        </row>
        <row r="55">
          <cell r="B55" t="str">
            <v>VRF-Retro</v>
          </cell>
          <cell r="C55" t="str">
            <v>_PRE2013</v>
          </cell>
          <cell r="D55" t="str">
            <v>_PRE2013</v>
          </cell>
          <cell r="E55" t="str">
            <v>_PRE2013</v>
          </cell>
          <cell r="F55" t="str">
            <v>_PRE2013</v>
          </cell>
          <cell r="G55" t="str">
            <v>_PRE2013</v>
          </cell>
          <cell r="H55" t="str">
            <v>_PRE2013</v>
          </cell>
          <cell r="I55" t="str">
            <v>_PRE2013</v>
          </cell>
          <cell r="J55" t="str">
            <v>_PRE2013</v>
          </cell>
          <cell r="K55" t="str">
            <v>_PRE2013</v>
          </cell>
          <cell r="L55" t="str">
            <v>_PRE2013</v>
          </cell>
          <cell r="M55" t="str">
            <v>_PRE2013</v>
          </cell>
          <cell r="N55" t="str">
            <v>_PRE2013</v>
          </cell>
          <cell r="O55" t="str">
            <v>_PRE2013</v>
          </cell>
          <cell r="P55" t="str">
            <v>_PRE2013</v>
          </cell>
          <cell r="Q55" t="str">
            <v>_PRE2013</v>
          </cell>
          <cell r="R55" t="str">
            <v>_PRE2013</v>
          </cell>
          <cell r="S55" t="str">
            <v>_PRE2013</v>
          </cell>
          <cell r="T55" t="str">
            <v>_PRE2013</v>
          </cell>
          <cell r="W55" t="str">
            <v>_PRE2013</v>
          </cell>
          <cell r="X55" t="str">
            <v>Retro</v>
          </cell>
          <cell r="Y55" t="str">
            <v>_PRE2013</v>
          </cell>
        </row>
        <row r="56">
          <cell r="B56" t="str">
            <v>Evaporator Roof Top HVAC-Retro</v>
          </cell>
          <cell r="C56" t="str">
            <v>_PRE2013</v>
          </cell>
          <cell r="D56" t="str">
            <v>_PRE2013</v>
          </cell>
          <cell r="E56" t="str">
            <v>_PRE2013</v>
          </cell>
          <cell r="F56" t="str">
            <v>_PRE2013</v>
          </cell>
          <cell r="G56" t="str">
            <v>_PRE2013</v>
          </cell>
          <cell r="H56" t="str">
            <v>_PRE2013</v>
          </cell>
          <cell r="I56" t="str">
            <v>_PRE2013</v>
          </cell>
          <cell r="J56" t="str">
            <v>_PRE2013</v>
          </cell>
          <cell r="K56" t="str">
            <v>_PRE2013</v>
          </cell>
          <cell r="L56" t="str">
            <v>_PRE2013</v>
          </cell>
          <cell r="M56" t="str">
            <v>_PRE2013</v>
          </cell>
          <cell r="N56" t="str">
            <v>_PRE2013</v>
          </cell>
          <cell r="O56" t="str">
            <v>_PRE2013</v>
          </cell>
          <cell r="P56" t="str">
            <v>_PRE2013</v>
          </cell>
          <cell r="Q56" t="str">
            <v>_PRE2013</v>
          </cell>
          <cell r="R56" t="str">
            <v>_PRE2013</v>
          </cell>
          <cell r="S56" t="str">
            <v>_PRE2013</v>
          </cell>
          <cell r="T56" t="str">
            <v>_PRE2013</v>
          </cell>
          <cell r="W56" t="str">
            <v>_PRE2013</v>
          </cell>
          <cell r="X56" t="str">
            <v>Retro</v>
          </cell>
          <cell r="Y56" t="str">
            <v>_PRE2013</v>
          </cell>
        </row>
        <row r="57">
          <cell r="B57" t="str">
            <v>Secondary Glazing Systems-Retro</v>
          </cell>
          <cell r="C57" t="str">
            <v>_PRE2013</v>
          </cell>
          <cell r="D57" t="str">
            <v>_PRE2013</v>
          </cell>
          <cell r="E57" t="str">
            <v>_PRE2013</v>
          </cell>
          <cell r="F57" t="str">
            <v>_PRE2013</v>
          </cell>
          <cell r="G57" t="str">
            <v>_PRE2013</v>
          </cell>
          <cell r="H57" t="str">
            <v>_PRE2013</v>
          </cell>
          <cell r="I57" t="str">
            <v>_PRE2013</v>
          </cell>
          <cell r="J57" t="str">
            <v>_PRE2013</v>
          </cell>
          <cell r="K57" t="str">
            <v>_PRE2013</v>
          </cell>
          <cell r="L57" t="str">
            <v>_PRE2013</v>
          </cell>
          <cell r="M57" t="str">
            <v>_PRE2013</v>
          </cell>
          <cell r="N57" t="str">
            <v>_PRE2013</v>
          </cell>
          <cell r="O57" t="str">
            <v>_PRE2013</v>
          </cell>
          <cell r="P57" t="str">
            <v>_PRE2013</v>
          </cell>
          <cell r="Q57" t="str">
            <v>_PRE2013</v>
          </cell>
          <cell r="R57" t="str">
            <v>_PRE2013</v>
          </cell>
          <cell r="S57" t="str">
            <v>_PRE2013</v>
          </cell>
          <cell r="T57" t="str">
            <v>_PRE2013</v>
          </cell>
          <cell r="W57" t="str">
            <v>_PRE2013</v>
          </cell>
          <cell r="X57" t="str">
            <v>Retro</v>
          </cell>
          <cell r="Y57" t="str">
            <v>_PRE2013</v>
          </cell>
        </row>
        <row r="58">
          <cell r="B58" t="str">
            <v>LPD Package-New</v>
          </cell>
          <cell r="C58" t="str">
            <v>POST2013</v>
          </cell>
          <cell r="D58" t="str">
            <v>POST2013</v>
          </cell>
          <cell r="E58" t="str">
            <v>POST2013</v>
          </cell>
          <cell r="F58" t="str">
            <v>POST2013</v>
          </cell>
          <cell r="G58" t="str">
            <v>POST2013</v>
          </cell>
          <cell r="H58" t="str">
            <v>POST2013</v>
          </cell>
          <cell r="I58" t="str">
            <v>POST2013</v>
          </cell>
          <cell r="J58" t="str">
            <v>POST2013</v>
          </cell>
          <cell r="K58" t="str">
            <v>POST2013</v>
          </cell>
          <cell r="L58" t="str">
            <v>POST2013</v>
          </cell>
          <cell r="M58" t="str">
            <v>POST2013</v>
          </cell>
          <cell r="N58" t="str">
            <v>POST2013</v>
          </cell>
          <cell r="O58" t="str">
            <v>POST2013</v>
          </cell>
          <cell r="P58" t="str">
            <v>POST2013</v>
          </cell>
          <cell r="Q58" t="str">
            <v>POST2013</v>
          </cell>
          <cell r="R58" t="str">
            <v>POST2013</v>
          </cell>
          <cell r="S58" t="str">
            <v>POST2013</v>
          </cell>
          <cell r="T58" t="str">
            <v>POST2013</v>
          </cell>
          <cell r="W58" t="str">
            <v>POST2013</v>
          </cell>
          <cell r="X58" t="str">
            <v>New</v>
          </cell>
          <cell r="Y58" t="str">
            <v>POST2013</v>
          </cell>
        </row>
        <row r="59">
          <cell r="B59" t="str">
            <v>LPD Package-NR</v>
          </cell>
          <cell r="C59" t="str">
            <v>_PRE2013</v>
          </cell>
          <cell r="D59" t="str">
            <v>_PRE2013</v>
          </cell>
          <cell r="E59" t="str">
            <v>_PRE2013</v>
          </cell>
          <cell r="F59" t="str">
            <v>_PRE2013</v>
          </cell>
          <cell r="G59" t="str">
            <v>_PRE2013</v>
          </cell>
          <cell r="H59" t="str">
            <v>_PRE2013</v>
          </cell>
          <cell r="I59" t="str">
            <v>_PRE2013</v>
          </cell>
          <cell r="J59" t="str">
            <v>_PRE2013</v>
          </cell>
          <cell r="K59" t="str">
            <v>_PRE2013</v>
          </cell>
          <cell r="L59" t="str">
            <v>_PRE2013</v>
          </cell>
          <cell r="M59" t="str">
            <v>_PRE2013</v>
          </cell>
          <cell r="N59" t="str">
            <v>_PRE2013</v>
          </cell>
          <cell r="O59" t="str">
            <v>_PRE2013</v>
          </cell>
          <cell r="P59" t="str">
            <v>_PRE2013</v>
          </cell>
          <cell r="Q59" t="str">
            <v>_PRE2013</v>
          </cell>
          <cell r="R59" t="str">
            <v>_PRE2013</v>
          </cell>
          <cell r="S59" t="str">
            <v>_PRE2013</v>
          </cell>
          <cell r="T59" t="str">
            <v>_PRE2013</v>
          </cell>
          <cell r="W59" t="str">
            <v>_PRE2013</v>
          </cell>
          <cell r="X59" t="str">
            <v>NR</v>
          </cell>
          <cell r="Y59" t="str">
            <v>_PRE2013</v>
          </cell>
        </row>
        <row r="60">
          <cell r="B60" t="str">
            <v>LPD Package-Retro</v>
          </cell>
          <cell r="C60" t="str">
            <v>_PRE2013</v>
          </cell>
          <cell r="D60" t="str">
            <v>_PRE2013</v>
          </cell>
          <cell r="E60" t="str">
            <v>_PRE2013</v>
          </cell>
          <cell r="F60" t="str">
            <v>_PRE2013</v>
          </cell>
          <cell r="G60" t="str">
            <v>_PRE2013</v>
          </cell>
          <cell r="H60" t="str">
            <v>_PRE2013</v>
          </cell>
          <cell r="I60" t="str">
            <v>_PRE2013</v>
          </cell>
          <cell r="J60" t="str">
            <v>_PRE2013</v>
          </cell>
          <cell r="K60" t="str">
            <v>_PRE2013</v>
          </cell>
          <cell r="L60" t="str">
            <v>_PRE2013</v>
          </cell>
          <cell r="M60" t="str">
            <v>_PRE2013</v>
          </cell>
          <cell r="N60" t="str">
            <v>_PRE2013</v>
          </cell>
          <cell r="O60" t="str">
            <v>_PRE2013</v>
          </cell>
          <cell r="P60" t="str">
            <v>_PRE2013</v>
          </cell>
          <cell r="Q60" t="str">
            <v>_PRE2013</v>
          </cell>
          <cell r="R60" t="str">
            <v>_PRE2013</v>
          </cell>
          <cell r="S60" t="str">
            <v>_PRE2013</v>
          </cell>
          <cell r="T60" t="str">
            <v>_PRE2013</v>
          </cell>
          <cell r="W60" t="str">
            <v>_PRE2013</v>
          </cell>
          <cell r="X60" t="str">
            <v>Retro</v>
          </cell>
          <cell r="Y60" t="str">
            <v>_PRE2013</v>
          </cell>
        </row>
        <row r="61">
          <cell r="B61" t="str">
            <v>Top Daylighting-New</v>
          </cell>
          <cell r="C61" t="str">
            <v>POST2013</v>
          </cell>
          <cell r="D61" t="str">
            <v>POST2013</v>
          </cell>
          <cell r="E61" t="str">
            <v>POST2013</v>
          </cell>
          <cell r="F61" t="str">
            <v>POST2013</v>
          </cell>
          <cell r="G61" t="str">
            <v>POST2013</v>
          </cell>
          <cell r="H61" t="str">
            <v>POST2013</v>
          </cell>
          <cell r="I61" t="str">
            <v>POST2013</v>
          </cell>
          <cell r="J61" t="str">
            <v>POST2013</v>
          </cell>
          <cell r="K61" t="str">
            <v>POST2013</v>
          </cell>
          <cell r="L61" t="str">
            <v>POST2013</v>
          </cell>
          <cell r="M61" t="str">
            <v>POST2013</v>
          </cell>
          <cell r="N61" t="str">
            <v>POST2013</v>
          </cell>
          <cell r="O61" t="str">
            <v>POST2013</v>
          </cell>
          <cell r="P61" t="str">
            <v>POST2013</v>
          </cell>
          <cell r="Q61" t="str">
            <v>POST2013</v>
          </cell>
          <cell r="R61" t="str">
            <v>POST2013</v>
          </cell>
          <cell r="S61" t="str">
            <v>POST2013</v>
          </cell>
          <cell r="T61" t="str">
            <v>POST2013</v>
          </cell>
          <cell r="W61" t="str">
            <v>POST2013</v>
          </cell>
          <cell r="X61" t="str">
            <v>New</v>
          </cell>
          <cell r="Y61" t="str">
            <v>POST2013</v>
          </cell>
        </row>
        <row r="62">
          <cell r="B62" t="str">
            <v>Perimeter Daylighting Controls Advanced-New</v>
          </cell>
          <cell r="C62" t="str">
            <v>POST2013</v>
          </cell>
          <cell r="D62" t="str">
            <v>POST2013</v>
          </cell>
          <cell r="E62" t="str">
            <v>POST2013</v>
          </cell>
          <cell r="F62" t="str">
            <v>POST2013</v>
          </cell>
          <cell r="G62" t="str">
            <v>POST2013</v>
          </cell>
          <cell r="H62" t="str">
            <v>POST2013</v>
          </cell>
          <cell r="I62" t="str">
            <v>POST2013</v>
          </cell>
          <cell r="J62" t="str">
            <v>POST2013</v>
          </cell>
          <cell r="K62" t="str">
            <v>POST2013</v>
          </cell>
          <cell r="L62" t="str">
            <v>POST2013</v>
          </cell>
          <cell r="M62" t="str">
            <v>POST2013</v>
          </cell>
          <cell r="N62" t="str">
            <v>POST2013</v>
          </cell>
          <cell r="O62" t="str">
            <v>POST2013</v>
          </cell>
          <cell r="P62" t="str">
            <v>POST2013</v>
          </cell>
          <cell r="Q62" t="str">
            <v>POST2013</v>
          </cell>
          <cell r="R62" t="str">
            <v>POST2013</v>
          </cell>
          <cell r="S62" t="str">
            <v>POST2013</v>
          </cell>
          <cell r="T62" t="str">
            <v>POST2013</v>
          </cell>
          <cell r="W62" t="str">
            <v>POST2013</v>
          </cell>
          <cell r="X62" t="str">
            <v>New</v>
          </cell>
          <cell r="Y62" t="str">
            <v>POST2013</v>
          </cell>
        </row>
        <row r="63">
          <cell r="B63" t="str">
            <v>Perimeter Daylighting Controls Advanced-NR</v>
          </cell>
          <cell r="C63" t="str">
            <v>POST2013</v>
          </cell>
          <cell r="D63" t="str">
            <v>POST2013</v>
          </cell>
          <cell r="E63" t="str">
            <v>POST2013</v>
          </cell>
          <cell r="F63" t="str">
            <v>POST2013</v>
          </cell>
          <cell r="G63" t="str">
            <v>POST2013</v>
          </cell>
          <cell r="H63" t="str">
            <v>POST2013</v>
          </cell>
          <cell r="I63" t="str">
            <v>POST2013</v>
          </cell>
          <cell r="J63" t="str">
            <v>POST2013</v>
          </cell>
          <cell r="K63" t="str">
            <v>POST2013</v>
          </cell>
          <cell r="L63" t="str">
            <v>POST2013</v>
          </cell>
          <cell r="M63" t="str">
            <v>POST2013</v>
          </cell>
          <cell r="N63" t="str">
            <v>POST2013</v>
          </cell>
          <cell r="O63" t="str">
            <v>POST2013</v>
          </cell>
          <cell r="P63" t="str">
            <v>POST2013</v>
          </cell>
          <cell r="Q63" t="str">
            <v>POST2013</v>
          </cell>
          <cell r="R63" t="str">
            <v>POST2013</v>
          </cell>
          <cell r="S63" t="str">
            <v>POST2013</v>
          </cell>
          <cell r="T63" t="str">
            <v>POST2013</v>
          </cell>
          <cell r="W63" t="str">
            <v>POST2013</v>
          </cell>
          <cell r="X63" t="str">
            <v>NR</v>
          </cell>
          <cell r="Y63" t="str">
            <v>POST2013</v>
          </cell>
        </row>
        <row r="64">
          <cell r="B64" t="str">
            <v>Lighting Controls Interior-New</v>
          </cell>
          <cell r="C64" t="str">
            <v>POST2013</v>
          </cell>
          <cell r="D64" t="str">
            <v>POST2013</v>
          </cell>
          <cell r="E64" t="str">
            <v>POST2013</v>
          </cell>
          <cell r="F64" t="str">
            <v>POST2013</v>
          </cell>
          <cell r="G64" t="str">
            <v>POST2013</v>
          </cell>
          <cell r="H64" t="str">
            <v>POST2013</v>
          </cell>
          <cell r="I64" t="str">
            <v>POST2013</v>
          </cell>
          <cell r="J64" t="str">
            <v>POST2013</v>
          </cell>
          <cell r="K64" t="str">
            <v>POST2013</v>
          </cell>
          <cell r="L64" t="str">
            <v>POST2013</v>
          </cell>
          <cell r="M64" t="str">
            <v>POST2013</v>
          </cell>
          <cell r="N64" t="str">
            <v>POST2013</v>
          </cell>
          <cell r="O64" t="str">
            <v>POST2013</v>
          </cell>
          <cell r="P64" t="str">
            <v>POST2013</v>
          </cell>
          <cell r="Q64" t="str">
            <v>POST2013</v>
          </cell>
          <cell r="R64" t="str">
            <v>POST2013</v>
          </cell>
          <cell r="S64" t="str">
            <v>POST2013</v>
          </cell>
          <cell r="T64" t="str">
            <v>POST2013</v>
          </cell>
          <cell r="W64" t="str">
            <v>POST2013</v>
          </cell>
          <cell r="X64" t="str">
            <v>New</v>
          </cell>
          <cell r="Y64" t="str">
            <v>POST2013</v>
          </cell>
        </row>
        <row r="65">
          <cell r="B65" t="str">
            <v>Lighting Controls Interior-NR</v>
          </cell>
          <cell r="C65" t="str">
            <v>_PRE2013</v>
          </cell>
          <cell r="D65" t="str">
            <v>_PRE2013</v>
          </cell>
          <cell r="E65" t="str">
            <v>_PRE2013</v>
          </cell>
          <cell r="F65" t="str">
            <v>_PRE2013</v>
          </cell>
          <cell r="G65" t="str">
            <v>_PRE2013</v>
          </cell>
          <cell r="H65" t="str">
            <v>_PRE2013</v>
          </cell>
          <cell r="I65" t="str">
            <v>_PRE2013</v>
          </cell>
          <cell r="J65" t="str">
            <v>_PRE2013</v>
          </cell>
          <cell r="K65" t="str">
            <v>_PRE2013</v>
          </cell>
          <cell r="L65" t="str">
            <v>_PRE2013</v>
          </cell>
          <cell r="M65" t="str">
            <v>_PRE2013</v>
          </cell>
          <cell r="N65" t="str">
            <v>_PRE2013</v>
          </cell>
          <cell r="O65" t="str">
            <v>_PRE2013</v>
          </cell>
          <cell r="P65" t="str">
            <v>_PRE2013</v>
          </cell>
          <cell r="Q65" t="str">
            <v>_PRE2013</v>
          </cell>
          <cell r="R65" t="str">
            <v>_PRE2013</v>
          </cell>
          <cell r="S65" t="str">
            <v>_PRE2013</v>
          </cell>
          <cell r="T65" t="str">
            <v>_PRE2013</v>
          </cell>
          <cell r="W65" t="str">
            <v>_PRE2013</v>
          </cell>
          <cell r="X65" t="str">
            <v>NR</v>
          </cell>
          <cell r="Y65" t="str">
            <v>_PRE2013</v>
          </cell>
        </row>
        <row r="66">
          <cell r="B66" t="str">
            <v>Exterior Building Lighting-New</v>
          </cell>
          <cell r="C66" t="str">
            <v>POST2013</v>
          </cell>
          <cell r="D66" t="str">
            <v>POST2013</v>
          </cell>
          <cell r="E66" t="str">
            <v>POST2013</v>
          </cell>
          <cell r="F66" t="str">
            <v>POST2013</v>
          </cell>
          <cell r="G66" t="str">
            <v>POST2013</v>
          </cell>
          <cell r="H66" t="str">
            <v>POST2013</v>
          </cell>
          <cell r="I66" t="str">
            <v>POST2013</v>
          </cell>
          <cell r="J66" t="str">
            <v>POST2013</v>
          </cell>
          <cell r="K66" t="str">
            <v>POST2013</v>
          </cell>
          <cell r="L66" t="str">
            <v>POST2013</v>
          </cell>
          <cell r="M66" t="str">
            <v>POST2013</v>
          </cell>
          <cell r="N66" t="str">
            <v>POST2013</v>
          </cell>
          <cell r="O66" t="str">
            <v>POST2013</v>
          </cell>
          <cell r="P66" t="str">
            <v>POST2013</v>
          </cell>
          <cell r="Q66" t="str">
            <v>POST2013</v>
          </cell>
          <cell r="R66" t="str">
            <v>POST2013</v>
          </cell>
          <cell r="S66" t="str">
            <v>POST2013</v>
          </cell>
          <cell r="T66" t="str">
            <v>POST2013</v>
          </cell>
          <cell r="W66" t="str">
            <v>POST2013</v>
          </cell>
          <cell r="X66" t="str">
            <v>New</v>
          </cell>
          <cell r="Y66" t="str">
            <v>POST2013</v>
          </cell>
        </row>
        <row r="67">
          <cell r="B67" t="str">
            <v>Exterior Building Lighting-NR</v>
          </cell>
          <cell r="C67" t="str">
            <v>POST2013</v>
          </cell>
          <cell r="D67" t="str">
            <v>POST2013</v>
          </cell>
          <cell r="E67" t="str">
            <v>POST2013</v>
          </cell>
          <cell r="F67" t="str">
            <v>POST2013</v>
          </cell>
          <cell r="G67" t="str">
            <v>POST2013</v>
          </cell>
          <cell r="H67" t="str">
            <v>POST2013</v>
          </cell>
          <cell r="I67" t="str">
            <v>POST2013</v>
          </cell>
          <cell r="J67" t="str">
            <v>POST2013</v>
          </cell>
          <cell r="K67" t="str">
            <v>POST2013</v>
          </cell>
          <cell r="L67" t="str">
            <v>POST2013</v>
          </cell>
          <cell r="M67" t="str">
            <v>POST2013</v>
          </cell>
          <cell r="N67" t="str">
            <v>POST2013</v>
          </cell>
          <cell r="O67" t="str">
            <v>POST2013</v>
          </cell>
          <cell r="P67" t="str">
            <v>POST2013</v>
          </cell>
          <cell r="Q67" t="str">
            <v>POST2013</v>
          </cell>
          <cell r="R67" t="str">
            <v>POST2013</v>
          </cell>
          <cell r="S67" t="str">
            <v>POST2013</v>
          </cell>
          <cell r="T67" t="str">
            <v>POST2013</v>
          </cell>
          <cell r="W67" t="str">
            <v>POST2013</v>
          </cell>
          <cell r="X67" t="str">
            <v>NR</v>
          </cell>
          <cell r="Y67" t="str">
            <v>POST2013</v>
          </cell>
        </row>
        <row r="68">
          <cell r="B68" t="str">
            <v>Street and Roadway Lighting-New</v>
          </cell>
          <cell r="C68" t="str">
            <v>POST2013</v>
          </cell>
          <cell r="D68" t="str">
            <v>POST2013</v>
          </cell>
          <cell r="E68" t="str">
            <v>POST2013</v>
          </cell>
          <cell r="F68" t="str">
            <v>POST2013</v>
          </cell>
          <cell r="G68" t="str">
            <v>POST2013</v>
          </cell>
          <cell r="H68" t="str">
            <v>POST2013</v>
          </cell>
          <cell r="I68" t="str">
            <v>POST2013</v>
          </cell>
          <cell r="J68" t="str">
            <v>POST2013</v>
          </cell>
          <cell r="K68" t="str">
            <v>POST2013</v>
          </cell>
          <cell r="L68" t="str">
            <v>POST2013</v>
          </cell>
          <cell r="M68" t="str">
            <v>POST2013</v>
          </cell>
          <cell r="N68" t="str">
            <v>POST2013</v>
          </cell>
          <cell r="O68" t="str">
            <v>POST2013</v>
          </cell>
          <cell r="P68" t="str">
            <v>POST2013</v>
          </cell>
          <cell r="Q68" t="str">
            <v>POST2013</v>
          </cell>
          <cell r="R68" t="str">
            <v>POST2013</v>
          </cell>
          <cell r="S68" t="str">
            <v>POST2013</v>
          </cell>
          <cell r="T68" t="str">
            <v>POST2013</v>
          </cell>
          <cell r="W68" t="str">
            <v>POST2013</v>
          </cell>
          <cell r="X68" t="str">
            <v>New</v>
          </cell>
          <cell r="Y68" t="str">
            <v>POST2013</v>
          </cell>
        </row>
        <row r="69">
          <cell r="B69" t="str">
            <v>Street and Roadway Lighting-NR</v>
          </cell>
          <cell r="C69" t="str">
            <v>POST2013</v>
          </cell>
          <cell r="D69" t="str">
            <v>POST2013</v>
          </cell>
          <cell r="E69" t="str">
            <v>POST2013</v>
          </cell>
          <cell r="F69" t="str">
            <v>POST2013</v>
          </cell>
          <cell r="G69" t="str">
            <v>POST2013</v>
          </cell>
          <cell r="H69" t="str">
            <v>POST2013</v>
          </cell>
          <cell r="I69" t="str">
            <v>POST2013</v>
          </cell>
          <cell r="J69" t="str">
            <v>POST2013</v>
          </cell>
          <cell r="K69" t="str">
            <v>POST2013</v>
          </cell>
          <cell r="L69" t="str">
            <v>POST2013</v>
          </cell>
          <cell r="M69" t="str">
            <v>POST2013</v>
          </cell>
          <cell r="N69" t="str">
            <v>POST2013</v>
          </cell>
          <cell r="O69" t="str">
            <v>POST2013</v>
          </cell>
          <cell r="P69" t="str">
            <v>POST2013</v>
          </cell>
          <cell r="Q69" t="str">
            <v>POST2013</v>
          </cell>
          <cell r="R69" t="str">
            <v>POST2013</v>
          </cell>
          <cell r="S69" t="str">
            <v>POST2013</v>
          </cell>
          <cell r="T69" t="str">
            <v>POST2013</v>
          </cell>
          <cell r="W69" t="str">
            <v>POST2013</v>
          </cell>
          <cell r="X69" t="str">
            <v>NR</v>
          </cell>
          <cell r="Y69" t="str">
            <v>POST2013</v>
          </cell>
        </row>
        <row r="70">
          <cell r="B70" t="str">
            <v>Parking Lighting-New</v>
          </cell>
          <cell r="C70" t="str">
            <v>POST2013</v>
          </cell>
          <cell r="D70" t="str">
            <v>POST2013</v>
          </cell>
          <cell r="E70" t="str">
            <v>POST2013</v>
          </cell>
          <cell r="F70" t="str">
            <v>POST2013</v>
          </cell>
          <cell r="G70" t="str">
            <v>POST2013</v>
          </cell>
          <cell r="H70" t="str">
            <v>POST2013</v>
          </cell>
          <cell r="I70" t="str">
            <v>POST2013</v>
          </cell>
          <cell r="J70" t="str">
            <v>POST2013</v>
          </cell>
          <cell r="K70" t="str">
            <v>POST2013</v>
          </cell>
          <cell r="L70" t="str">
            <v>POST2013</v>
          </cell>
          <cell r="M70" t="str">
            <v>POST2013</v>
          </cell>
          <cell r="N70" t="str">
            <v>POST2013</v>
          </cell>
          <cell r="O70" t="str">
            <v>POST2013</v>
          </cell>
          <cell r="P70" t="str">
            <v>POST2013</v>
          </cell>
          <cell r="Q70" t="str">
            <v>POST2013</v>
          </cell>
          <cell r="R70" t="str">
            <v>POST2013</v>
          </cell>
          <cell r="S70" t="str">
            <v>POST2013</v>
          </cell>
          <cell r="T70" t="str">
            <v>POST2013</v>
          </cell>
          <cell r="W70" t="str">
            <v>POST2013</v>
          </cell>
          <cell r="X70" t="str">
            <v>New</v>
          </cell>
          <cell r="Y70" t="str">
            <v>POST2013</v>
          </cell>
        </row>
        <row r="71">
          <cell r="B71" t="str">
            <v>Parking Lighting-NR</v>
          </cell>
          <cell r="C71" t="str">
            <v>POST2013</v>
          </cell>
          <cell r="D71" t="str">
            <v>POST2013</v>
          </cell>
          <cell r="E71" t="str">
            <v>POST2013</v>
          </cell>
          <cell r="F71" t="str">
            <v>POST2013</v>
          </cell>
          <cell r="G71" t="str">
            <v>POST2013</v>
          </cell>
          <cell r="H71" t="str">
            <v>POST2013</v>
          </cell>
          <cell r="I71" t="str">
            <v>POST2013</v>
          </cell>
          <cell r="J71" t="str">
            <v>POST2013</v>
          </cell>
          <cell r="K71" t="str">
            <v>POST2013</v>
          </cell>
          <cell r="L71" t="str">
            <v>POST2013</v>
          </cell>
          <cell r="M71" t="str">
            <v>POST2013</v>
          </cell>
          <cell r="N71" t="str">
            <v>POST2013</v>
          </cell>
          <cell r="O71" t="str">
            <v>POST2013</v>
          </cell>
          <cell r="P71" t="str">
            <v>POST2013</v>
          </cell>
          <cell r="Q71" t="str">
            <v>POST2013</v>
          </cell>
          <cell r="R71" t="str">
            <v>POST2013</v>
          </cell>
          <cell r="S71" t="str">
            <v>POST2013</v>
          </cell>
          <cell r="T71" t="str">
            <v>POST2013</v>
          </cell>
          <cell r="W71" t="str">
            <v>POST2013</v>
          </cell>
          <cell r="X71" t="str">
            <v>NR</v>
          </cell>
          <cell r="Y71" t="str">
            <v>POST2013</v>
          </cell>
        </row>
        <row r="72">
          <cell r="B72" t="str">
            <v>Bi-Level Stairwell Lighting-NR</v>
          </cell>
          <cell r="C72" t="str">
            <v>_PRE2013</v>
          </cell>
          <cell r="D72" t="str">
            <v>_PRE2013</v>
          </cell>
          <cell r="E72" t="str">
            <v>_PRE2013</v>
          </cell>
          <cell r="F72" t="str">
            <v>_PRE2013</v>
          </cell>
          <cell r="G72" t="str">
            <v>_PRE2013</v>
          </cell>
          <cell r="H72" t="str">
            <v>_PRE2013</v>
          </cell>
          <cell r="I72" t="str">
            <v>_PRE2013</v>
          </cell>
          <cell r="J72" t="str">
            <v>_PRE2013</v>
          </cell>
          <cell r="K72" t="str">
            <v>_PRE2013</v>
          </cell>
          <cell r="L72" t="str">
            <v>_PRE2013</v>
          </cell>
          <cell r="M72" t="str">
            <v>_PRE2013</v>
          </cell>
          <cell r="N72" t="str">
            <v>_PRE2013</v>
          </cell>
          <cell r="O72" t="str">
            <v>_PRE2013</v>
          </cell>
          <cell r="P72" t="str">
            <v>_PRE2013</v>
          </cell>
          <cell r="Q72" t="str">
            <v>_PRE2013</v>
          </cell>
          <cell r="R72" t="str">
            <v>_PRE2013</v>
          </cell>
          <cell r="S72" t="str">
            <v>_PRE2013</v>
          </cell>
          <cell r="T72" t="str">
            <v>_PRE2013</v>
          </cell>
          <cell r="W72" t="str">
            <v>_PRE2013</v>
          </cell>
          <cell r="X72" t="str">
            <v>NR</v>
          </cell>
          <cell r="Y72" t="str">
            <v>POST2013</v>
          </cell>
        </row>
        <row r="73">
          <cell r="B73" t="str">
            <v>ECM-VAV-New</v>
          </cell>
          <cell r="C73" t="str">
            <v>POST2013</v>
          </cell>
          <cell r="D73" t="str">
            <v>POST2013</v>
          </cell>
          <cell r="E73" t="str">
            <v>POST2013</v>
          </cell>
          <cell r="F73" t="str">
            <v>POST2013</v>
          </cell>
          <cell r="G73" t="str">
            <v>POST2013</v>
          </cell>
          <cell r="H73" t="str">
            <v>POST2013</v>
          </cell>
          <cell r="I73" t="str">
            <v>POST2013</v>
          </cell>
          <cell r="J73" t="str">
            <v>POST2013</v>
          </cell>
          <cell r="K73" t="str">
            <v>POST2013</v>
          </cell>
          <cell r="L73" t="str">
            <v>POST2013</v>
          </cell>
          <cell r="M73" t="str">
            <v>POST2013</v>
          </cell>
          <cell r="N73" t="str">
            <v>POST2013</v>
          </cell>
          <cell r="O73" t="str">
            <v>POST2013</v>
          </cell>
          <cell r="P73" t="str">
            <v>POST2013</v>
          </cell>
          <cell r="Q73" t="str">
            <v>POST2013</v>
          </cell>
          <cell r="R73" t="str">
            <v>POST2013</v>
          </cell>
          <cell r="S73" t="str">
            <v>POST2013</v>
          </cell>
          <cell r="T73" t="str">
            <v>POST2013</v>
          </cell>
          <cell r="W73" t="str">
            <v>POST2013</v>
          </cell>
          <cell r="X73" t="str">
            <v>New</v>
          </cell>
          <cell r="Y73" t="str">
            <v>POST2013</v>
          </cell>
        </row>
        <row r="74">
          <cell r="B74" t="str">
            <v>ECM-VAV-NR</v>
          </cell>
          <cell r="C74" t="str">
            <v>POST2013</v>
          </cell>
          <cell r="D74" t="str">
            <v>POST2013</v>
          </cell>
          <cell r="E74" t="str">
            <v>POST2013</v>
          </cell>
          <cell r="F74" t="str">
            <v>POST2013</v>
          </cell>
          <cell r="G74" t="str">
            <v>POST2013</v>
          </cell>
          <cell r="H74" t="str">
            <v>POST2013</v>
          </cell>
          <cell r="I74" t="str">
            <v>POST2013</v>
          </cell>
          <cell r="J74" t="str">
            <v>POST2013</v>
          </cell>
          <cell r="K74" t="str">
            <v>POST2013</v>
          </cell>
          <cell r="L74" t="str">
            <v>POST2013</v>
          </cell>
          <cell r="M74" t="str">
            <v>POST2013</v>
          </cell>
          <cell r="N74" t="str">
            <v>POST2013</v>
          </cell>
          <cell r="O74" t="str">
            <v>POST2013</v>
          </cell>
          <cell r="P74" t="str">
            <v>POST2013</v>
          </cell>
          <cell r="Q74" t="str">
            <v>POST2013</v>
          </cell>
          <cell r="R74" t="str">
            <v>POST2013</v>
          </cell>
          <cell r="S74" t="str">
            <v>POST2013</v>
          </cell>
          <cell r="T74" t="str">
            <v>POST2013</v>
          </cell>
          <cell r="W74" t="str">
            <v>POST2013</v>
          </cell>
          <cell r="X74" t="str">
            <v>NR</v>
          </cell>
          <cell r="Y74" t="str">
            <v>POST2013</v>
          </cell>
        </row>
        <row r="75">
          <cell r="B75" t="str">
            <v>Pool pumps-Retro</v>
          </cell>
          <cell r="C75" t="str">
            <v>_PRE2013</v>
          </cell>
          <cell r="D75" t="str">
            <v>_PRE2013</v>
          </cell>
          <cell r="E75" t="str">
            <v>_PRE2013</v>
          </cell>
          <cell r="F75" t="str">
            <v>_PRE2013</v>
          </cell>
          <cell r="G75" t="str">
            <v>_PRE2013</v>
          </cell>
          <cell r="H75" t="str">
            <v>_PRE2013</v>
          </cell>
          <cell r="I75" t="str">
            <v>_PRE2013</v>
          </cell>
          <cell r="J75" t="str">
            <v>_PRE2013</v>
          </cell>
          <cell r="K75" t="str">
            <v>_PRE2013</v>
          </cell>
          <cell r="L75" t="str">
            <v>_PRE2013</v>
          </cell>
          <cell r="M75" t="str">
            <v>_PRE2013</v>
          </cell>
          <cell r="N75" t="str">
            <v>_PRE2013</v>
          </cell>
          <cell r="O75" t="str">
            <v>_PRE2013</v>
          </cell>
          <cell r="P75" t="str">
            <v>_PRE2013</v>
          </cell>
          <cell r="Q75" t="str">
            <v>_PRE2013</v>
          </cell>
          <cell r="R75" t="str">
            <v>_PRE2013</v>
          </cell>
          <cell r="S75" t="str">
            <v>_PRE2013</v>
          </cell>
          <cell r="T75" t="str">
            <v>_PRE2013</v>
          </cell>
          <cell r="W75" t="str">
            <v>_PRE2013</v>
          </cell>
          <cell r="X75" t="str">
            <v>Retro</v>
          </cell>
          <cell r="Y75" t="str">
            <v>_PRE2013</v>
          </cell>
        </row>
        <row r="76">
          <cell r="B76" t="str">
            <v>MotorsRewind-New</v>
          </cell>
          <cell r="C76" t="str">
            <v>_PRE2013</v>
          </cell>
          <cell r="D76" t="str">
            <v>_PRE2013</v>
          </cell>
          <cell r="E76" t="str">
            <v>_PRE2013</v>
          </cell>
          <cell r="F76" t="str">
            <v>_PRE2013</v>
          </cell>
          <cell r="G76" t="str">
            <v>_PRE2013</v>
          </cell>
          <cell r="H76" t="str">
            <v>_PRE2013</v>
          </cell>
          <cell r="I76" t="str">
            <v>_PRE2013</v>
          </cell>
          <cell r="J76" t="str">
            <v>_PRE2013</v>
          </cell>
          <cell r="K76" t="str">
            <v>_PRE2013</v>
          </cell>
          <cell r="L76" t="str">
            <v>_PRE2013</v>
          </cell>
          <cell r="M76" t="str">
            <v>_PRE2013</v>
          </cell>
          <cell r="N76" t="str">
            <v>_PRE2013</v>
          </cell>
          <cell r="O76" t="str">
            <v>_PRE2013</v>
          </cell>
          <cell r="P76" t="str">
            <v>_PRE2013</v>
          </cell>
          <cell r="Q76" t="str">
            <v>_PRE2013</v>
          </cell>
          <cell r="R76" t="str">
            <v>_PRE2013</v>
          </cell>
          <cell r="S76" t="str">
            <v>_PRE2013</v>
          </cell>
          <cell r="T76" t="str">
            <v>_PRE2013</v>
          </cell>
          <cell r="W76" t="str">
            <v>_PRE2013</v>
          </cell>
          <cell r="X76" t="str">
            <v>New</v>
          </cell>
          <cell r="Y76" t="str">
            <v>POST2013</v>
          </cell>
        </row>
        <row r="77">
          <cell r="B77" t="str">
            <v>MotorsRewind-NR</v>
          </cell>
          <cell r="C77" t="str">
            <v>POST2013</v>
          </cell>
          <cell r="D77" t="str">
            <v>POST2013</v>
          </cell>
          <cell r="E77" t="str">
            <v>POST2013</v>
          </cell>
          <cell r="F77" t="str">
            <v>POST2013</v>
          </cell>
          <cell r="G77" t="str">
            <v>POST2013</v>
          </cell>
          <cell r="H77" t="str">
            <v>POST2013</v>
          </cell>
          <cell r="I77" t="str">
            <v>POST2013</v>
          </cell>
          <cell r="J77" t="str">
            <v>POST2013</v>
          </cell>
          <cell r="K77" t="str">
            <v>POST2013</v>
          </cell>
          <cell r="L77" t="str">
            <v>POST2013</v>
          </cell>
          <cell r="M77" t="str">
            <v>POST2013</v>
          </cell>
          <cell r="N77" t="str">
            <v>POST2013</v>
          </cell>
          <cell r="O77" t="str">
            <v>POST2013</v>
          </cell>
          <cell r="P77" t="str">
            <v>POST2013</v>
          </cell>
          <cell r="Q77" t="str">
            <v>POST2013</v>
          </cell>
          <cell r="R77" t="str">
            <v>POST2013</v>
          </cell>
          <cell r="S77" t="str">
            <v>POST2013</v>
          </cell>
          <cell r="T77" t="str">
            <v>POST2013</v>
          </cell>
          <cell r="W77" t="str">
            <v>POST2013</v>
          </cell>
          <cell r="X77" t="str">
            <v>NR</v>
          </cell>
          <cell r="Y77" t="str">
            <v>POST2013</v>
          </cell>
        </row>
        <row r="78">
          <cell r="B78" t="str">
            <v>Municipal Sewage Treatment-Retro</v>
          </cell>
          <cell r="C78" t="str">
            <v>_PRE2013</v>
          </cell>
          <cell r="D78" t="str">
            <v>_PRE2013</v>
          </cell>
          <cell r="E78" t="str">
            <v>_PRE2013</v>
          </cell>
          <cell r="F78" t="str">
            <v>_PRE2013</v>
          </cell>
          <cell r="G78" t="str">
            <v>_PRE2013</v>
          </cell>
          <cell r="H78" t="str">
            <v>_PRE2013</v>
          </cell>
          <cell r="I78" t="str">
            <v>_PRE2013</v>
          </cell>
          <cell r="J78" t="str">
            <v>_PRE2013</v>
          </cell>
          <cell r="K78" t="str">
            <v>_PRE2013</v>
          </cell>
          <cell r="L78" t="str">
            <v>_PRE2013</v>
          </cell>
          <cell r="M78" t="str">
            <v>_PRE2013</v>
          </cell>
          <cell r="N78" t="str">
            <v>_PRE2013</v>
          </cell>
          <cell r="O78" t="str">
            <v>_PRE2013</v>
          </cell>
          <cell r="P78" t="str">
            <v>_PRE2013</v>
          </cell>
          <cell r="Q78" t="str">
            <v>_PRE2013</v>
          </cell>
          <cell r="R78" t="str">
            <v>_PRE2013</v>
          </cell>
          <cell r="S78" t="str">
            <v>_PRE2013</v>
          </cell>
          <cell r="T78" t="str">
            <v>_PRE2013</v>
          </cell>
          <cell r="W78" t="str">
            <v>_PRE2013</v>
          </cell>
          <cell r="X78" t="str">
            <v>Retro</v>
          </cell>
          <cell r="Y78" t="str">
            <v>_PRE2013</v>
          </cell>
        </row>
        <row r="79">
          <cell r="B79" t="str">
            <v>Municipal Water Supply-Retro</v>
          </cell>
          <cell r="C79" t="str">
            <v>_PRE2013</v>
          </cell>
          <cell r="D79" t="str">
            <v>_PRE2013</v>
          </cell>
          <cell r="E79" t="str">
            <v>_PRE2013</v>
          </cell>
          <cell r="F79" t="str">
            <v>_PRE2013</v>
          </cell>
          <cell r="G79" t="str">
            <v>_PRE2013</v>
          </cell>
          <cell r="H79" t="str">
            <v>_PRE2013</v>
          </cell>
          <cell r="I79" t="str">
            <v>_PRE2013</v>
          </cell>
          <cell r="J79" t="str">
            <v>_PRE2013</v>
          </cell>
          <cell r="K79" t="str">
            <v>_PRE2013</v>
          </cell>
          <cell r="L79" t="str">
            <v>_PRE2013</v>
          </cell>
          <cell r="M79" t="str">
            <v>_PRE2013</v>
          </cell>
          <cell r="N79" t="str">
            <v>_PRE2013</v>
          </cell>
          <cell r="O79" t="str">
            <v>_PRE2013</v>
          </cell>
          <cell r="P79" t="str">
            <v>_PRE2013</v>
          </cell>
          <cell r="Q79" t="str">
            <v>_PRE2013</v>
          </cell>
          <cell r="R79" t="str">
            <v>_PRE2013</v>
          </cell>
          <cell r="S79" t="str">
            <v>_PRE2013</v>
          </cell>
          <cell r="T79" t="str">
            <v>_PRE2013</v>
          </cell>
          <cell r="W79" t="str">
            <v>_PRE2013</v>
          </cell>
          <cell r="X79" t="str">
            <v>Retro</v>
          </cell>
          <cell r="Y79" t="str">
            <v>_PRE2013</v>
          </cell>
        </row>
        <row r="80">
          <cell r="B80" t="str">
            <v>Engine Generator Block Heaters-Retro</v>
          </cell>
          <cell r="C80" t="str">
            <v>_PRE2013</v>
          </cell>
          <cell r="D80" t="str">
            <v>_PRE2013</v>
          </cell>
          <cell r="E80" t="str">
            <v>_PRE2013</v>
          </cell>
          <cell r="F80" t="str">
            <v>_PRE2013</v>
          </cell>
          <cell r="G80" t="str">
            <v>_PRE2013</v>
          </cell>
          <cell r="H80" t="str">
            <v>_PRE2013</v>
          </cell>
          <cell r="I80" t="str">
            <v>_PRE2013</v>
          </cell>
          <cell r="J80" t="str">
            <v>_PRE2013</v>
          </cell>
          <cell r="K80" t="str">
            <v>_PRE2013</v>
          </cell>
          <cell r="L80" t="str">
            <v>_PRE2013</v>
          </cell>
          <cell r="M80" t="str">
            <v>_PRE2013</v>
          </cell>
          <cell r="N80" t="str">
            <v>_PRE2013</v>
          </cell>
          <cell r="O80" t="str">
            <v>_PRE2013</v>
          </cell>
          <cell r="P80" t="str">
            <v>_PRE2013</v>
          </cell>
          <cell r="Q80" t="str">
            <v>_PRE2013</v>
          </cell>
          <cell r="R80" t="str">
            <v>_PRE2013</v>
          </cell>
          <cell r="S80" t="str">
            <v>_PRE2013</v>
          </cell>
          <cell r="T80" t="str">
            <v>_PRE2013</v>
          </cell>
          <cell r="W80" t="str">
            <v>_PRE2013</v>
          </cell>
          <cell r="X80" t="str">
            <v>Retro</v>
          </cell>
          <cell r="Y80" t="str">
            <v>_PRE2013</v>
          </cell>
        </row>
        <row r="81">
          <cell r="B81" t="str">
            <v>Grocery Refrigeration Bundle-Retro</v>
          </cell>
          <cell r="C81" t="str">
            <v>_PRE2013</v>
          </cell>
          <cell r="D81" t="str">
            <v>_PRE2013</v>
          </cell>
          <cell r="E81" t="str">
            <v>_PRE2013</v>
          </cell>
          <cell r="F81" t="str">
            <v>_PRE2013</v>
          </cell>
          <cell r="G81" t="str">
            <v>_PRE2013</v>
          </cell>
          <cell r="H81" t="str">
            <v>_PRE2013</v>
          </cell>
          <cell r="I81" t="str">
            <v>_PRE2013</v>
          </cell>
          <cell r="J81" t="str">
            <v>_PRE2013</v>
          </cell>
          <cell r="K81" t="str">
            <v>_PRE2013</v>
          </cell>
          <cell r="L81" t="str">
            <v>_PRE2013</v>
          </cell>
          <cell r="M81" t="str">
            <v>_PRE2013</v>
          </cell>
          <cell r="N81" t="str">
            <v>_PRE2013</v>
          </cell>
          <cell r="O81" t="str">
            <v>_PRE2013</v>
          </cell>
          <cell r="P81" t="str">
            <v>_PRE2013</v>
          </cell>
          <cell r="Q81" t="str">
            <v>_PRE2013</v>
          </cell>
          <cell r="R81" t="str">
            <v>_PRE2013</v>
          </cell>
          <cell r="S81" t="str">
            <v>_PRE2013</v>
          </cell>
          <cell r="T81" t="str">
            <v>_PRE2013</v>
          </cell>
          <cell r="W81" t="str">
            <v>_PRE2013</v>
          </cell>
          <cell r="X81" t="str">
            <v>Retro</v>
          </cell>
          <cell r="Y81" t="str">
            <v>_PRE2013</v>
          </cell>
        </row>
        <row r="82">
          <cell r="B82" t="str">
            <v>Packaged Refrigeration Equipment-New</v>
          </cell>
          <cell r="C82" t="str">
            <v>POST2013</v>
          </cell>
          <cell r="D82" t="str">
            <v>POST2013</v>
          </cell>
          <cell r="E82" t="str">
            <v>POST2013</v>
          </cell>
          <cell r="F82" t="str">
            <v>POST2013</v>
          </cell>
          <cell r="G82" t="str">
            <v>POST2013</v>
          </cell>
          <cell r="H82" t="str">
            <v>POST2013</v>
          </cell>
          <cell r="I82" t="str">
            <v>POST2013</v>
          </cell>
          <cell r="J82" t="str">
            <v>POST2013</v>
          </cell>
          <cell r="K82" t="str">
            <v>POST2013</v>
          </cell>
          <cell r="L82" t="str">
            <v>POST2013</v>
          </cell>
          <cell r="M82" t="str">
            <v>POST2013</v>
          </cell>
          <cell r="N82" t="str">
            <v>POST2013</v>
          </cell>
          <cell r="O82" t="str">
            <v>POST2013</v>
          </cell>
          <cell r="P82" t="str">
            <v>POST2013</v>
          </cell>
          <cell r="Q82" t="str">
            <v>POST2013</v>
          </cell>
          <cell r="R82" t="str">
            <v>POST2013</v>
          </cell>
          <cell r="S82" t="str">
            <v>POST2013</v>
          </cell>
          <cell r="T82" t="str">
            <v>POST2013</v>
          </cell>
          <cell r="W82" t="str">
            <v>POST2013</v>
          </cell>
          <cell r="X82" t="str">
            <v>New</v>
          </cell>
          <cell r="Y82" t="str">
            <v>POST2013</v>
          </cell>
        </row>
        <row r="83">
          <cell r="B83" t="str">
            <v>Appliances - Freezers-NR</v>
          </cell>
          <cell r="C83" t="str">
            <v>POST2013</v>
          </cell>
          <cell r="D83" t="str">
            <v>POST2013</v>
          </cell>
          <cell r="E83" t="str">
            <v>POST2013</v>
          </cell>
          <cell r="F83" t="str">
            <v>POST2013</v>
          </cell>
          <cell r="G83" t="str">
            <v>POST2013</v>
          </cell>
          <cell r="H83" t="str">
            <v>POST2013</v>
          </cell>
          <cell r="I83" t="str">
            <v>POST2013</v>
          </cell>
          <cell r="J83" t="str">
            <v>POST2013</v>
          </cell>
          <cell r="K83" t="str">
            <v>POST2013</v>
          </cell>
          <cell r="L83" t="str">
            <v>POST2013</v>
          </cell>
          <cell r="M83" t="str">
            <v>POST2013</v>
          </cell>
          <cell r="N83" t="str">
            <v>POST2013</v>
          </cell>
          <cell r="O83" t="str">
            <v>POST2013</v>
          </cell>
          <cell r="P83" t="str">
            <v>POST2013</v>
          </cell>
          <cell r="Q83" t="str">
            <v>POST2013</v>
          </cell>
          <cell r="R83" t="str">
            <v>POST2013</v>
          </cell>
          <cell r="S83" t="str">
            <v>POST2013</v>
          </cell>
          <cell r="T83" t="str">
            <v>POST2013</v>
          </cell>
          <cell r="W83" t="str">
            <v>POST2013</v>
          </cell>
          <cell r="X83" t="str">
            <v>NR</v>
          </cell>
          <cell r="Y83" t="str">
            <v>POST2013</v>
          </cell>
        </row>
        <row r="84">
          <cell r="B84" t="str">
            <v>Appliances - Refrigerators-NR</v>
          </cell>
          <cell r="C84" t="str">
            <v>POST2013</v>
          </cell>
          <cell r="D84" t="str">
            <v>POST2013</v>
          </cell>
          <cell r="E84" t="str">
            <v>POST2013</v>
          </cell>
          <cell r="F84" t="str">
            <v>POST2013</v>
          </cell>
          <cell r="G84" t="str">
            <v>POST2013</v>
          </cell>
          <cell r="H84" t="str">
            <v>POST2013</v>
          </cell>
          <cell r="I84" t="str">
            <v>POST2013</v>
          </cell>
          <cell r="J84" t="str">
            <v>POST2013</v>
          </cell>
          <cell r="K84" t="str">
            <v>POST2013</v>
          </cell>
          <cell r="L84" t="str">
            <v>POST2013</v>
          </cell>
          <cell r="M84" t="str">
            <v>POST2013</v>
          </cell>
          <cell r="N84" t="str">
            <v>POST2013</v>
          </cell>
          <cell r="O84" t="str">
            <v>POST2013</v>
          </cell>
          <cell r="P84" t="str">
            <v>POST2013</v>
          </cell>
          <cell r="Q84" t="str">
            <v>POST2013</v>
          </cell>
          <cell r="R84" t="str">
            <v>POST2013</v>
          </cell>
          <cell r="S84" t="str">
            <v>POST2013</v>
          </cell>
          <cell r="T84" t="str">
            <v>POST2013</v>
          </cell>
          <cell r="W84" t="str">
            <v>POST2013</v>
          </cell>
          <cell r="X84" t="str">
            <v>NR</v>
          </cell>
          <cell r="Y84" t="str">
            <v>POST2013</v>
          </cell>
        </row>
        <row r="85">
          <cell r="B85" t="str">
            <v>Water Cooler Controls-NR</v>
          </cell>
          <cell r="C85" t="str">
            <v>_PRE2013</v>
          </cell>
          <cell r="D85" t="str">
            <v>_PRE2013</v>
          </cell>
          <cell r="E85" t="str">
            <v>_PRE2013</v>
          </cell>
          <cell r="F85" t="str">
            <v>_PRE2013</v>
          </cell>
          <cell r="G85" t="str">
            <v>_PRE2013</v>
          </cell>
          <cell r="H85" t="str">
            <v>_PRE2013</v>
          </cell>
          <cell r="I85" t="str">
            <v>_PRE2013</v>
          </cell>
          <cell r="J85" t="str">
            <v>_PRE2013</v>
          </cell>
          <cell r="K85" t="str">
            <v>_PRE2013</v>
          </cell>
          <cell r="L85" t="str">
            <v>_PRE2013</v>
          </cell>
          <cell r="M85" t="str">
            <v>_PRE2013</v>
          </cell>
          <cell r="N85" t="str">
            <v>_PRE2013</v>
          </cell>
          <cell r="O85" t="str">
            <v>_PRE2013</v>
          </cell>
          <cell r="P85" t="str">
            <v>_PRE2013</v>
          </cell>
          <cell r="Q85" t="str">
            <v>_PRE2013</v>
          </cell>
          <cell r="R85" t="str">
            <v>_PRE2013</v>
          </cell>
          <cell r="S85" t="str">
            <v>_PRE2013</v>
          </cell>
          <cell r="T85" t="str">
            <v>_PRE2013</v>
          </cell>
          <cell r="W85" t="str">
            <v>_PRE2013</v>
          </cell>
          <cell r="X85" t="str">
            <v>NR</v>
          </cell>
          <cell r="Y85" t="str">
            <v>POST2013</v>
          </cell>
        </row>
        <row r="86">
          <cell r="B86" t="str">
            <v>WHTanks-New</v>
          </cell>
          <cell r="C86" t="str">
            <v>POST2013</v>
          </cell>
          <cell r="D86" t="str">
            <v>POST2013</v>
          </cell>
          <cell r="E86" t="str">
            <v>POST2013</v>
          </cell>
          <cell r="F86" t="str">
            <v>POST2013</v>
          </cell>
          <cell r="G86" t="str">
            <v>POST2013</v>
          </cell>
          <cell r="H86" t="str">
            <v>POST2013</v>
          </cell>
          <cell r="I86" t="str">
            <v>POST2013</v>
          </cell>
          <cell r="J86" t="str">
            <v>POST2013</v>
          </cell>
          <cell r="K86" t="str">
            <v>POST2013</v>
          </cell>
          <cell r="L86" t="str">
            <v>POST2013</v>
          </cell>
          <cell r="M86" t="str">
            <v>POST2013</v>
          </cell>
          <cell r="N86" t="str">
            <v>POST2013</v>
          </cell>
          <cell r="O86" t="str">
            <v>POST2013</v>
          </cell>
          <cell r="P86" t="str">
            <v>POST2013</v>
          </cell>
          <cell r="Q86" t="str">
            <v>POST2013</v>
          </cell>
          <cell r="R86" t="str">
            <v>POST2013</v>
          </cell>
          <cell r="S86" t="str">
            <v>POST2013</v>
          </cell>
          <cell r="T86" t="str">
            <v>POST2013</v>
          </cell>
          <cell r="W86" t="str">
            <v>POST2013</v>
          </cell>
          <cell r="X86" t="str">
            <v>New</v>
          </cell>
          <cell r="Y86" t="str">
            <v>POST2013</v>
          </cell>
        </row>
        <row r="87">
          <cell r="B87" t="str">
            <v>WHTanks-NR</v>
          </cell>
          <cell r="C87" t="str">
            <v>_PRE2013</v>
          </cell>
          <cell r="D87" t="str">
            <v>_PRE2013</v>
          </cell>
          <cell r="E87" t="str">
            <v>_PRE2013</v>
          </cell>
          <cell r="F87" t="str">
            <v>_PRE2013</v>
          </cell>
          <cell r="G87" t="str">
            <v>_PRE2013</v>
          </cell>
          <cell r="H87" t="str">
            <v>_PRE2013</v>
          </cell>
          <cell r="I87" t="str">
            <v>_PRE2013</v>
          </cell>
          <cell r="J87" t="str">
            <v>_PRE2013</v>
          </cell>
          <cell r="K87" t="str">
            <v>_PRE2013</v>
          </cell>
          <cell r="L87" t="str">
            <v>_PRE2013</v>
          </cell>
          <cell r="M87" t="str">
            <v>_PRE2013</v>
          </cell>
          <cell r="N87" t="str">
            <v>_PRE2013</v>
          </cell>
          <cell r="O87" t="str">
            <v>_PRE2013</v>
          </cell>
          <cell r="P87" t="str">
            <v>_PRE2013</v>
          </cell>
          <cell r="Q87" t="str">
            <v>_PRE2013</v>
          </cell>
          <cell r="R87" t="str">
            <v>_PRE2013</v>
          </cell>
          <cell r="S87" t="str">
            <v>_PRE2013</v>
          </cell>
          <cell r="T87" t="str">
            <v>_PRE2013</v>
          </cell>
          <cell r="W87" t="str">
            <v>_PRE2013</v>
          </cell>
          <cell r="X87" t="str">
            <v>NR</v>
          </cell>
          <cell r="Y87" t="str">
            <v>POST2013</v>
          </cell>
        </row>
        <row r="88">
          <cell r="B88" t="str">
            <v>Appliances - Clothes Washers-NR</v>
          </cell>
          <cell r="C88" t="str">
            <v>POST2013</v>
          </cell>
          <cell r="D88" t="str">
            <v>POST2013</v>
          </cell>
          <cell r="E88" t="str">
            <v>POST2013</v>
          </cell>
          <cell r="F88" t="str">
            <v>POST2013</v>
          </cell>
          <cell r="G88" t="str">
            <v>POST2013</v>
          </cell>
          <cell r="H88" t="str">
            <v>POST2013</v>
          </cell>
          <cell r="I88" t="str">
            <v>POST2013</v>
          </cell>
          <cell r="J88" t="str">
            <v>POST2013</v>
          </cell>
          <cell r="K88" t="str">
            <v>POST2013</v>
          </cell>
          <cell r="L88" t="str">
            <v>POST2013</v>
          </cell>
          <cell r="M88" t="str">
            <v>POST2013</v>
          </cell>
          <cell r="N88" t="str">
            <v>POST2013</v>
          </cell>
          <cell r="O88" t="str">
            <v>POST2013</v>
          </cell>
          <cell r="P88" t="str">
            <v>POST2013</v>
          </cell>
          <cell r="Q88" t="str">
            <v>POST2013</v>
          </cell>
          <cell r="R88" t="str">
            <v>POST2013</v>
          </cell>
          <cell r="S88" t="str">
            <v>POST2013</v>
          </cell>
          <cell r="T88" t="str">
            <v>POST2013</v>
          </cell>
          <cell r="W88" t="str">
            <v>POST2013</v>
          </cell>
          <cell r="X88" t="str">
            <v>NR</v>
          </cell>
          <cell r="Y88" t="str">
            <v>POST2013</v>
          </cell>
        </row>
        <row r="89">
          <cell r="B89" t="str">
            <v>Showerheads-Retro</v>
          </cell>
          <cell r="C89" t="str">
            <v>_PRE2013</v>
          </cell>
          <cell r="D89" t="str">
            <v>_PRE2013</v>
          </cell>
          <cell r="E89" t="str">
            <v>_PRE2013</v>
          </cell>
          <cell r="F89" t="str">
            <v>_PRE2013</v>
          </cell>
          <cell r="G89" t="str">
            <v>_PRE2013</v>
          </cell>
          <cell r="H89" t="str">
            <v>_PRE2013</v>
          </cell>
          <cell r="I89" t="str">
            <v>_PRE2013</v>
          </cell>
          <cell r="J89" t="str">
            <v>_PRE2013</v>
          </cell>
          <cell r="K89" t="str">
            <v>_PRE2013</v>
          </cell>
          <cell r="L89" t="str">
            <v>_PRE2013</v>
          </cell>
          <cell r="M89" t="str">
            <v>_PRE2013</v>
          </cell>
          <cell r="N89" t="str">
            <v>_PRE2013</v>
          </cell>
          <cell r="O89" t="str">
            <v>_PRE2013</v>
          </cell>
          <cell r="P89" t="str">
            <v>_PRE2013</v>
          </cell>
          <cell r="Q89" t="str">
            <v>_PRE2013</v>
          </cell>
          <cell r="R89" t="str">
            <v>_PRE2013</v>
          </cell>
          <cell r="S89" t="str">
            <v>_PRE2013</v>
          </cell>
          <cell r="T89" t="str">
            <v>_PRE2013</v>
          </cell>
          <cell r="W89" t="str">
            <v>_PRE2013</v>
          </cell>
          <cell r="X89" t="str">
            <v>Retro</v>
          </cell>
          <cell r="Y89" t="str">
            <v>_PRE2013</v>
          </cell>
        </row>
        <row r="90">
          <cell r="B90" t="str">
            <v>Water Heating - GFHX-New</v>
          </cell>
          <cell r="C90" t="str">
            <v>POST2013</v>
          </cell>
          <cell r="D90" t="str">
            <v>POST2013</v>
          </cell>
          <cell r="E90" t="str">
            <v>POST2013</v>
          </cell>
          <cell r="F90" t="str">
            <v>POST2013</v>
          </cell>
          <cell r="G90" t="str">
            <v>POST2013</v>
          </cell>
          <cell r="H90" t="str">
            <v>POST2013</v>
          </cell>
          <cell r="I90" t="str">
            <v>POST2013</v>
          </cell>
          <cell r="J90" t="str">
            <v>POST2013</v>
          </cell>
          <cell r="K90" t="str">
            <v>POST2013</v>
          </cell>
          <cell r="L90" t="str">
            <v>POST2013</v>
          </cell>
          <cell r="M90" t="str">
            <v>POST2013</v>
          </cell>
          <cell r="N90" t="str">
            <v>POST2013</v>
          </cell>
          <cell r="O90" t="str">
            <v>POST2013</v>
          </cell>
          <cell r="P90" t="str">
            <v>POST2013</v>
          </cell>
          <cell r="Q90" t="str">
            <v>POST2013</v>
          </cell>
          <cell r="R90" t="str">
            <v>POST2013</v>
          </cell>
          <cell r="S90" t="str">
            <v>POST2013</v>
          </cell>
          <cell r="T90" t="str">
            <v>POST2013</v>
          </cell>
          <cell r="W90" t="str">
            <v>POST2013</v>
          </cell>
          <cell r="X90" t="str">
            <v>New</v>
          </cell>
          <cell r="Y90" t="str">
            <v>POST2013</v>
          </cell>
        </row>
        <row r="91">
          <cell r="B91" t="str">
            <v>Demand Control Circulating system DHW-Retro</v>
          </cell>
          <cell r="C91" t="str">
            <v>_PRE2013</v>
          </cell>
          <cell r="D91" t="str">
            <v>_PRE2013</v>
          </cell>
          <cell r="E91" t="str">
            <v>_PRE2013</v>
          </cell>
          <cell r="F91" t="str">
            <v>_PRE2013</v>
          </cell>
          <cell r="G91" t="str">
            <v>_PRE2013</v>
          </cell>
          <cell r="H91" t="str">
            <v>_PRE2013</v>
          </cell>
          <cell r="I91" t="str">
            <v>_PRE2013</v>
          </cell>
          <cell r="J91" t="str">
            <v>_PRE2013</v>
          </cell>
          <cell r="K91" t="str">
            <v>_PRE2013</v>
          </cell>
          <cell r="L91" t="str">
            <v>_PRE2013</v>
          </cell>
          <cell r="M91" t="str">
            <v>_PRE2013</v>
          </cell>
          <cell r="N91" t="str">
            <v>_PRE2013</v>
          </cell>
          <cell r="O91" t="str">
            <v>_PRE2013</v>
          </cell>
          <cell r="P91" t="str">
            <v>_PRE2013</v>
          </cell>
          <cell r="Q91" t="str">
            <v>_PRE2013</v>
          </cell>
          <cell r="R91" t="str">
            <v>_PRE2013</v>
          </cell>
          <cell r="S91" t="str">
            <v>_PRE2013</v>
          </cell>
          <cell r="T91" t="str">
            <v>_PRE2013</v>
          </cell>
          <cell r="W91" t="str">
            <v>_PRE2013</v>
          </cell>
          <cell r="X91" t="str">
            <v>Retro</v>
          </cell>
          <cell r="Y91" t="str">
            <v>_PRE2013</v>
          </cell>
        </row>
        <row r="92">
          <cell r="B92" t="str">
            <v>Central HPWH MF-Retro</v>
          </cell>
          <cell r="C92" t="str">
            <v>_PRE2013</v>
          </cell>
          <cell r="D92" t="str">
            <v>_PRE2013</v>
          </cell>
          <cell r="E92" t="str">
            <v>_PRE2013</v>
          </cell>
          <cell r="F92" t="str">
            <v>_PRE2013</v>
          </cell>
          <cell r="G92" t="str">
            <v>_PRE2013</v>
          </cell>
          <cell r="H92" t="str">
            <v>_PRE2013</v>
          </cell>
          <cell r="I92" t="str">
            <v>_PRE2013</v>
          </cell>
          <cell r="J92" t="str">
            <v>_PRE2013</v>
          </cell>
          <cell r="K92" t="str">
            <v>_PRE2013</v>
          </cell>
          <cell r="L92" t="str">
            <v>_PRE2013</v>
          </cell>
          <cell r="M92" t="str">
            <v>_PRE2013</v>
          </cell>
          <cell r="N92" t="str">
            <v>_PRE2013</v>
          </cell>
          <cell r="O92" t="str">
            <v>_PRE2013</v>
          </cell>
          <cell r="P92" t="str">
            <v>_PRE2013</v>
          </cell>
          <cell r="Q92" t="str">
            <v>_PRE2013</v>
          </cell>
          <cell r="R92" t="str">
            <v>_PRE2013</v>
          </cell>
          <cell r="S92" t="str">
            <v>_PRE2013</v>
          </cell>
          <cell r="T92" t="str">
            <v>_PRE2013</v>
          </cell>
          <cell r="W92" t="str">
            <v>_PRE2013</v>
          </cell>
          <cell r="X92" t="str">
            <v>Retro</v>
          </cell>
          <cell r="Y92" t="str">
            <v>_PRE2013</v>
          </cell>
        </row>
        <row r="93">
          <cell r="B93" t="str">
            <v>Ultra Low Energy Building-New</v>
          </cell>
          <cell r="C93" t="str">
            <v>POST2013</v>
          </cell>
          <cell r="D93" t="str">
            <v>POST2013</v>
          </cell>
          <cell r="E93" t="str">
            <v>POST2013</v>
          </cell>
          <cell r="F93" t="str">
            <v>POST2013</v>
          </cell>
          <cell r="G93" t="str">
            <v>POST2013</v>
          </cell>
          <cell r="H93" t="str">
            <v>POST2013</v>
          </cell>
          <cell r="I93" t="str">
            <v>POST2013</v>
          </cell>
          <cell r="J93" t="str">
            <v>POST2013</v>
          </cell>
          <cell r="K93" t="str">
            <v>POST2013</v>
          </cell>
          <cell r="L93" t="str">
            <v>POST2013</v>
          </cell>
          <cell r="M93" t="str">
            <v>POST2013</v>
          </cell>
          <cell r="N93" t="str">
            <v>POST2013</v>
          </cell>
          <cell r="O93" t="str">
            <v>POST2013</v>
          </cell>
          <cell r="P93" t="str">
            <v>POST2013</v>
          </cell>
          <cell r="Q93" t="str">
            <v>POST2013</v>
          </cell>
          <cell r="R93" t="str">
            <v>POST2013</v>
          </cell>
          <cell r="S93" t="str">
            <v>POST2013</v>
          </cell>
          <cell r="T93" t="str">
            <v>POST2013</v>
          </cell>
          <cell r="W93" t="str">
            <v>POST2013</v>
          </cell>
          <cell r="X93" t="str">
            <v>New</v>
          </cell>
          <cell r="Y93" t="str">
            <v>POST2013</v>
          </cell>
        </row>
        <row r="94">
          <cell r="B94" t="str">
            <v>Low Power LF Lamps-NR</v>
          </cell>
          <cell r="C94" t="str">
            <v>_PRE2013</v>
          </cell>
          <cell r="D94" t="str">
            <v>_PRE2013</v>
          </cell>
          <cell r="W94" t="str">
            <v>_PRE2013</v>
          </cell>
          <cell r="X94" t="str">
            <v>Retro</v>
          </cell>
          <cell r="Y94" t="str">
            <v>_PRE2013</v>
          </cell>
        </row>
      </sheetData>
      <sheetData sheetId="6">
        <row r="11">
          <cell r="B11" t="str">
            <v>Measure Index Name</v>
          </cell>
          <cell r="C11" t="str">
            <v>Large Off</v>
          </cell>
          <cell r="D11" t="str">
            <v>Medium Off</v>
          </cell>
          <cell r="E11" t="str">
            <v>Small Off</v>
          </cell>
          <cell r="F11" t="str">
            <v>Xlarge Ret</v>
          </cell>
          <cell r="G11" t="str">
            <v>Large Ret</v>
          </cell>
          <cell r="H11" t="str">
            <v>Medium Ret</v>
          </cell>
          <cell r="I11" t="str">
            <v>Small Ret</v>
          </cell>
          <cell r="J11" t="str">
            <v>School K-12</v>
          </cell>
          <cell r="K11" t="str">
            <v>University</v>
          </cell>
          <cell r="L11" t="str">
            <v>Warehouse</v>
          </cell>
          <cell r="M11" t="str">
            <v>Supermarket</v>
          </cell>
          <cell r="N11" t="str">
            <v>MiniMart</v>
          </cell>
          <cell r="O11" t="str">
            <v>Restaurant</v>
          </cell>
          <cell r="P11" t="str">
            <v>Lodging</v>
          </cell>
          <cell r="Q11" t="str">
            <v>Hospital</v>
          </cell>
          <cell r="R11" t="str">
            <v>Residential Care</v>
          </cell>
          <cell r="S11" t="str">
            <v>Assembly</v>
          </cell>
          <cell r="T11" t="str">
            <v>Other</v>
          </cell>
          <cell r="U11" t="str">
            <v>Non-Building Stock</v>
          </cell>
        </row>
        <row r="12">
          <cell r="B12" t="str">
            <v>Compressed Air-Retro</v>
          </cell>
        </row>
        <row r="13">
          <cell r="B13" t="str">
            <v>Compressed Air-NR</v>
          </cell>
        </row>
        <row r="14">
          <cell r="B14" t="str">
            <v>Network PC Power Management-Retro</v>
          </cell>
        </row>
        <row r="15">
          <cell r="B15" t="str">
            <v>Laptop-NR</v>
          </cell>
          <cell r="U15">
            <v>0.25</v>
          </cell>
        </row>
        <row r="16">
          <cell r="B16" t="str">
            <v>Smart Plug Power Strips-Retro</v>
          </cell>
          <cell r="U16">
            <v>0.2</v>
          </cell>
        </row>
        <row r="17">
          <cell r="B17" t="str">
            <v>Data Centers-NR</v>
          </cell>
          <cell r="U17">
            <v>0.2</v>
          </cell>
        </row>
        <row r="18">
          <cell r="B18" t="str">
            <v>Monitor-NR</v>
          </cell>
          <cell r="U18">
            <v>0.2</v>
          </cell>
        </row>
        <row r="19">
          <cell r="B19" t="str">
            <v>Desktop-NR</v>
          </cell>
          <cell r="U19">
            <v>0.25</v>
          </cell>
        </row>
        <row r="20">
          <cell r="B20" t="str">
            <v>Pre-Rinse Spray Valve-Retro</v>
          </cell>
          <cell r="U20">
            <v>0.2</v>
          </cell>
        </row>
        <row r="21">
          <cell r="B21" t="str">
            <v>Cooking Equipment-NR</v>
          </cell>
          <cell r="U21">
            <v>0.08</v>
          </cell>
        </row>
        <row r="22">
          <cell r="B22" t="str">
            <v>Premium HVAC Equipment-New</v>
          </cell>
          <cell r="C22">
            <v>3.3333333333333333E-2</v>
          </cell>
          <cell r="D22">
            <v>0.04</v>
          </cell>
          <cell r="E22">
            <v>0.05</v>
          </cell>
          <cell r="F22">
            <v>0.05</v>
          </cell>
          <cell r="G22">
            <v>0.05</v>
          </cell>
          <cell r="H22">
            <v>0.05</v>
          </cell>
          <cell r="I22">
            <v>3.3333333333333333E-2</v>
          </cell>
          <cell r="J22">
            <v>3.3333333333333333E-2</v>
          </cell>
          <cell r="K22">
            <v>3.3333333333333333E-2</v>
          </cell>
          <cell r="L22">
            <v>0.05</v>
          </cell>
          <cell r="M22">
            <v>0.05</v>
          </cell>
          <cell r="N22">
            <v>0.05</v>
          </cell>
          <cell r="O22">
            <v>0.05</v>
          </cell>
          <cell r="P22">
            <v>0.05</v>
          </cell>
          <cell r="Q22">
            <v>0.04</v>
          </cell>
          <cell r="R22">
            <v>0.04</v>
          </cell>
          <cell r="S22">
            <v>0.04</v>
          </cell>
          <cell r="T22">
            <v>0.04</v>
          </cell>
          <cell r="V22" t="str">
            <v>20, 25 or 30 year equipment life</v>
          </cell>
        </row>
        <row r="23">
          <cell r="B23" t="str">
            <v>Premium HVAC Equipment-NR</v>
          </cell>
          <cell r="C23">
            <v>3.3333333333333333E-2</v>
          </cell>
          <cell r="D23">
            <v>0.04</v>
          </cell>
          <cell r="E23">
            <v>0.05</v>
          </cell>
          <cell r="F23">
            <v>0.05</v>
          </cell>
          <cell r="G23">
            <v>0.05</v>
          </cell>
          <cell r="H23">
            <v>0.05</v>
          </cell>
          <cell r="I23">
            <v>3.3333333333333333E-2</v>
          </cell>
          <cell r="J23">
            <v>3.3333333333333333E-2</v>
          </cell>
          <cell r="K23">
            <v>3.3333333333333333E-2</v>
          </cell>
          <cell r="L23">
            <v>0.05</v>
          </cell>
          <cell r="M23">
            <v>0.05</v>
          </cell>
          <cell r="N23">
            <v>0.05</v>
          </cell>
          <cell r="O23">
            <v>0.05</v>
          </cell>
          <cell r="P23">
            <v>0.05</v>
          </cell>
          <cell r="Q23">
            <v>0.04</v>
          </cell>
          <cell r="R23">
            <v>0.04</v>
          </cell>
          <cell r="S23">
            <v>0.04</v>
          </cell>
          <cell r="T23">
            <v>0.04</v>
          </cell>
          <cell r="V23" t="str">
            <v>20, 25 or 30 year equipment life</v>
          </cell>
        </row>
        <row r="24">
          <cell r="B24" t="str">
            <v>Glass-New</v>
          </cell>
        </row>
        <row r="25">
          <cell r="B25" t="str">
            <v>Glass-NR</v>
          </cell>
        </row>
        <row r="26">
          <cell r="B26" t="str">
            <v>Glass-Retro</v>
          </cell>
        </row>
        <row r="27">
          <cell r="B27" t="str">
            <v>Advanced Rooftop Controller-New</v>
          </cell>
          <cell r="C27">
            <v>6.6666666666666666E-2</v>
          </cell>
          <cell r="D27">
            <v>6.6666666666666666E-2</v>
          </cell>
          <cell r="E27">
            <v>6.6666666666666666E-2</v>
          </cell>
          <cell r="F27">
            <v>6.6666666666666666E-2</v>
          </cell>
          <cell r="G27">
            <v>6.6666666666666666E-2</v>
          </cell>
          <cell r="H27">
            <v>6.6666666666666666E-2</v>
          </cell>
          <cell r="I27">
            <v>6.6666666666666666E-2</v>
          </cell>
          <cell r="J27">
            <v>6.6666666666666666E-2</v>
          </cell>
          <cell r="K27">
            <v>6.6666666666666666E-2</v>
          </cell>
          <cell r="L27">
            <v>6.6666666666666666E-2</v>
          </cell>
          <cell r="M27">
            <v>6.6666666666666666E-2</v>
          </cell>
          <cell r="N27">
            <v>6.6666666666666666E-2</v>
          </cell>
          <cell r="O27">
            <v>6.6666666666666666E-2</v>
          </cell>
          <cell r="P27">
            <v>6.6666666666666666E-2</v>
          </cell>
          <cell r="Q27">
            <v>6.6666666666666666E-2</v>
          </cell>
          <cell r="R27">
            <v>6.6666666666666666E-2</v>
          </cell>
          <cell r="S27">
            <v>6.6666666666666666E-2</v>
          </cell>
          <cell r="T27">
            <v>6.6666666666666666E-2</v>
          </cell>
        </row>
        <row r="28">
          <cell r="B28" t="str">
            <v>Advanced Rooftop Controller-NR</v>
          </cell>
          <cell r="C28">
            <v>6.6666666666666666E-2</v>
          </cell>
          <cell r="D28">
            <v>6.6666666666666666E-2</v>
          </cell>
          <cell r="E28">
            <v>6.6666666666666666E-2</v>
          </cell>
          <cell r="F28">
            <v>6.6666666666666666E-2</v>
          </cell>
          <cell r="G28">
            <v>6.6666666666666666E-2</v>
          </cell>
          <cell r="H28">
            <v>6.6666666666666666E-2</v>
          </cell>
          <cell r="I28">
            <v>6.6666666666666666E-2</v>
          </cell>
          <cell r="J28">
            <v>6.6666666666666666E-2</v>
          </cell>
          <cell r="K28">
            <v>6.6666666666666666E-2</v>
          </cell>
          <cell r="L28">
            <v>6.6666666666666666E-2</v>
          </cell>
          <cell r="M28">
            <v>6.6666666666666666E-2</v>
          </cell>
          <cell r="N28">
            <v>6.6666666666666666E-2</v>
          </cell>
          <cell r="O28">
            <v>6.6666666666666666E-2</v>
          </cell>
          <cell r="P28">
            <v>6.6666666666666666E-2</v>
          </cell>
          <cell r="Q28">
            <v>6.6666666666666666E-2</v>
          </cell>
          <cell r="R28">
            <v>6.6666666666666666E-2</v>
          </cell>
          <cell r="S28">
            <v>6.6666666666666666E-2</v>
          </cell>
          <cell r="T28">
            <v>6.6666666666666666E-2</v>
          </cell>
        </row>
        <row r="29">
          <cell r="B29" t="str">
            <v>Advanced Rooftop Controller-Retro</v>
          </cell>
          <cell r="C29">
            <v>6.6666666666666666E-2</v>
          </cell>
          <cell r="D29">
            <v>6.6666666666666666E-2</v>
          </cell>
          <cell r="E29">
            <v>6.6666666666666666E-2</v>
          </cell>
          <cell r="F29">
            <v>6.6666666666666666E-2</v>
          </cell>
          <cell r="G29">
            <v>6.6666666666666666E-2</v>
          </cell>
          <cell r="H29">
            <v>6.6666666666666666E-2</v>
          </cell>
          <cell r="I29">
            <v>6.6666666666666666E-2</v>
          </cell>
          <cell r="J29">
            <v>6.6666666666666666E-2</v>
          </cell>
          <cell r="K29">
            <v>6.6666666666666666E-2</v>
          </cell>
          <cell r="L29">
            <v>6.6666666666666666E-2</v>
          </cell>
          <cell r="M29">
            <v>6.6666666666666666E-2</v>
          </cell>
          <cell r="N29">
            <v>6.6666666666666666E-2</v>
          </cell>
          <cell r="O29">
            <v>6.6666666666666666E-2</v>
          </cell>
          <cell r="P29">
            <v>6.6666666666666666E-2</v>
          </cell>
          <cell r="Q29">
            <v>6.6666666666666666E-2</v>
          </cell>
          <cell r="R29">
            <v>6.6666666666666666E-2</v>
          </cell>
          <cell r="S29">
            <v>6.6666666666666666E-2</v>
          </cell>
          <cell r="T29">
            <v>6.6666666666666666E-2</v>
          </cell>
        </row>
        <row r="30">
          <cell r="B30" t="str">
            <v>Variable Speed Chiller-New</v>
          </cell>
        </row>
        <row r="31">
          <cell r="B31" t="str">
            <v>Variable Speed Chiller-NR</v>
          </cell>
        </row>
        <row r="32">
          <cell r="B32" t="str">
            <v>Commercial EM-New</v>
          </cell>
          <cell r="C32">
            <v>0.15</v>
          </cell>
          <cell r="D32">
            <v>0.15</v>
          </cell>
          <cell r="E32">
            <v>0.15</v>
          </cell>
          <cell r="F32">
            <v>0.15</v>
          </cell>
          <cell r="G32">
            <v>0.15</v>
          </cell>
          <cell r="H32">
            <v>0.15</v>
          </cell>
          <cell r="I32">
            <v>0.15</v>
          </cell>
          <cell r="J32">
            <v>0.15</v>
          </cell>
          <cell r="K32">
            <v>0.15</v>
          </cell>
          <cell r="L32">
            <v>0.15</v>
          </cell>
          <cell r="M32">
            <v>0.15</v>
          </cell>
          <cell r="N32">
            <v>0.15</v>
          </cell>
          <cell r="O32">
            <v>0.15</v>
          </cell>
          <cell r="P32">
            <v>0.15</v>
          </cell>
          <cell r="Q32">
            <v>0.15</v>
          </cell>
          <cell r="R32">
            <v>0.15</v>
          </cell>
          <cell r="S32">
            <v>0.15</v>
          </cell>
          <cell r="T32">
            <v>0.15</v>
          </cell>
        </row>
        <row r="33">
          <cell r="B33" t="str">
            <v>Commercial EM-NR</v>
          </cell>
          <cell r="C33">
            <v>0.15</v>
          </cell>
          <cell r="D33">
            <v>0.15</v>
          </cell>
          <cell r="E33">
            <v>0.15</v>
          </cell>
          <cell r="F33">
            <v>0.15</v>
          </cell>
          <cell r="G33">
            <v>0.15</v>
          </cell>
          <cell r="H33">
            <v>0.15</v>
          </cell>
          <cell r="I33">
            <v>0.15</v>
          </cell>
          <cell r="J33">
            <v>0.15</v>
          </cell>
          <cell r="K33">
            <v>0.15</v>
          </cell>
          <cell r="L33">
            <v>0.15</v>
          </cell>
          <cell r="M33">
            <v>0.15</v>
          </cell>
          <cell r="N33">
            <v>0.15</v>
          </cell>
          <cell r="O33">
            <v>0.15</v>
          </cell>
          <cell r="P33">
            <v>0.15</v>
          </cell>
          <cell r="Q33">
            <v>0.15</v>
          </cell>
          <cell r="R33">
            <v>0.15</v>
          </cell>
          <cell r="S33">
            <v>0.15</v>
          </cell>
          <cell r="T33">
            <v>0.15</v>
          </cell>
        </row>
        <row r="34">
          <cell r="B34" t="str">
            <v>Commercial EM-Retro</v>
          </cell>
          <cell r="C34">
            <v>0.15</v>
          </cell>
          <cell r="D34">
            <v>0.15</v>
          </cell>
          <cell r="E34">
            <v>0.15</v>
          </cell>
          <cell r="F34">
            <v>0.15</v>
          </cell>
          <cell r="G34">
            <v>0.15</v>
          </cell>
          <cell r="H34">
            <v>0.15</v>
          </cell>
          <cell r="I34">
            <v>0.15</v>
          </cell>
          <cell r="J34">
            <v>0.15</v>
          </cell>
          <cell r="K34">
            <v>0.15</v>
          </cell>
          <cell r="L34">
            <v>0.15</v>
          </cell>
          <cell r="M34">
            <v>0.15</v>
          </cell>
          <cell r="N34">
            <v>0.15</v>
          </cell>
          <cell r="O34">
            <v>0.15</v>
          </cell>
          <cell r="P34">
            <v>0.15</v>
          </cell>
          <cell r="Q34">
            <v>0.15</v>
          </cell>
          <cell r="R34">
            <v>0.15</v>
          </cell>
          <cell r="S34">
            <v>0.15</v>
          </cell>
          <cell r="T34">
            <v>0.15</v>
          </cell>
        </row>
        <row r="35">
          <cell r="B35" t="str">
            <v>Evaporative Assist Cooling-New</v>
          </cell>
        </row>
        <row r="36">
          <cell r="B36" t="str">
            <v>Evaporative Assist Cooling-NR</v>
          </cell>
        </row>
        <row r="37">
          <cell r="B37" t="str">
            <v>Economizer-Retro</v>
          </cell>
        </row>
        <row r="38">
          <cell r="B38" t="str">
            <v>Demand Control Ventilation-New</v>
          </cell>
        </row>
        <row r="39">
          <cell r="B39" t="str">
            <v>Demand Control Ventilation-NR</v>
          </cell>
        </row>
        <row r="40">
          <cell r="B40" t="str">
            <v>Demand Control Ventilation-Retro</v>
          </cell>
        </row>
        <row r="41">
          <cell r="B41" t="str">
            <v>Premium Fume Hood-NR</v>
          </cell>
          <cell r="C41">
            <v>0.06</v>
          </cell>
          <cell r="D41">
            <v>0.06</v>
          </cell>
          <cell r="E41">
            <v>0.06</v>
          </cell>
          <cell r="F41">
            <v>0.06</v>
          </cell>
          <cell r="G41">
            <v>0.06</v>
          </cell>
          <cell r="H41">
            <v>0.06</v>
          </cell>
          <cell r="I41">
            <v>0.06</v>
          </cell>
          <cell r="J41">
            <v>0.06</v>
          </cell>
          <cell r="K41">
            <v>0.06</v>
          </cell>
          <cell r="L41">
            <v>0.06</v>
          </cell>
          <cell r="M41">
            <v>0.06</v>
          </cell>
          <cell r="N41">
            <v>0.06</v>
          </cell>
          <cell r="O41">
            <v>0.06</v>
          </cell>
          <cell r="P41">
            <v>0.06</v>
          </cell>
          <cell r="Q41">
            <v>0.06</v>
          </cell>
          <cell r="R41">
            <v>0.06</v>
          </cell>
          <cell r="S41">
            <v>0.06</v>
          </cell>
          <cell r="T41">
            <v>0.06</v>
          </cell>
          <cell r="U41">
            <v>0.06</v>
          </cell>
        </row>
        <row r="42">
          <cell r="B42" t="str">
            <v>DCV Restaurant Hood-Retro</v>
          </cell>
        </row>
        <row r="43">
          <cell r="B43" t="str">
            <v>DCV Parking Garage-Retro</v>
          </cell>
        </row>
        <row r="44">
          <cell r="B44" t="str">
            <v>Weatherization - School-Retro</v>
          </cell>
        </row>
        <row r="45">
          <cell r="B45" t="str">
            <v>Energy Recovery Ventilator-NR</v>
          </cell>
          <cell r="U45">
            <v>0.25</v>
          </cell>
        </row>
        <row r="46">
          <cell r="B46" t="str">
            <v>AC Heat Recovery for Water Heating-NR</v>
          </cell>
        </row>
        <row r="47">
          <cell r="B47" t="str">
            <v>Room Occupancy Sensors in Lodging-Retro</v>
          </cell>
        </row>
        <row r="48">
          <cell r="B48" t="str">
            <v>Chiller - chilled water retrofit-Retro</v>
          </cell>
        </row>
        <row r="49">
          <cell r="B49" t="str">
            <v>Chiller - equip retrofits-Retro</v>
          </cell>
        </row>
        <row r="50">
          <cell r="B50" t="str">
            <v>Pool Blankets-Retro</v>
          </cell>
        </row>
        <row r="51">
          <cell r="B51" t="str">
            <v>Web-Enabled Thermostats-Retro</v>
          </cell>
        </row>
        <row r="52">
          <cell r="B52" t="str">
            <v>Garage CO2 ventilation-Retro</v>
          </cell>
        </row>
        <row r="53">
          <cell r="B53" t="str">
            <v>Circ Pump ECM and drive-Retro</v>
          </cell>
        </row>
        <row r="54">
          <cell r="B54" t="str">
            <v>VRF-New</v>
          </cell>
        </row>
        <row r="55">
          <cell r="B55" t="str">
            <v>VRF-Retro</v>
          </cell>
        </row>
        <row r="56">
          <cell r="B56" t="str">
            <v>Evaporator Roof Top HVAC-Retro</v>
          </cell>
        </row>
        <row r="57">
          <cell r="B57" t="str">
            <v>Secondary Glazing Systems-Retro</v>
          </cell>
        </row>
        <row r="58">
          <cell r="B58" t="str">
            <v>LPD Package-New</v>
          </cell>
        </row>
        <row r="59">
          <cell r="B59" t="str">
            <v>LPD Package-NR</v>
          </cell>
        </row>
        <row r="60">
          <cell r="B60" t="str">
            <v>LPD Package-Retro</v>
          </cell>
        </row>
        <row r="61">
          <cell r="B61" t="str">
            <v>Top Daylighting-New</v>
          </cell>
        </row>
        <row r="62">
          <cell r="B62" t="str">
            <v>Perimeter Daylighting Controls Advanced-New</v>
          </cell>
        </row>
        <row r="63">
          <cell r="B63" t="str">
            <v>Perimeter Daylighting Controls Advanced-NR</v>
          </cell>
        </row>
        <row r="64">
          <cell r="B64" t="str">
            <v>Lighting Controls Interior-New</v>
          </cell>
        </row>
        <row r="65">
          <cell r="B65" t="str">
            <v>Lighting Controls Interior-NR</v>
          </cell>
          <cell r="C65">
            <v>0.06</v>
          </cell>
          <cell r="D65">
            <v>0.06</v>
          </cell>
          <cell r="E65">
            <v>0.06</v>
          </cell>
          <cell r="F65">
            <v>0.06</v>
          </cell>
          <cell r="G65">
            <v>0.06</v>
          </cell>
          <cell r="H65">
            <v>0.06</v>
          </cell>
          <cell r="I65">
            <v>0.06</v>
          </cell>
          <cell r="J65">
            <v>0.06</v>
          </cell>
          <cell r="K65">
            <v>0.06</v>
          </cell>
          <cell r="L65">
            <v>0.06</v>
          </cell>
          <cell r="M65">
            <v>0.06</v>
          </cell>
          <cell r="N65">
            <v>0.06</v>
          </cell>
          <cell r="O65">
            <v>0.06</v>
          </cell>
          <cell r="P65">
            <v>0.06</v>
          </cell>
          <cell r="Q65">
            <v>0.06</v>
          </cell>
          <cell r="R65">
            <v>0.06</v>
          </cell>
          <cell r="S65">
            <v>0.06</v>
          </cell>
          <cell r="T65">
            <v>0.06</v>
          </cell>
          <cell r="V65" t="str">
            <v>Fixture or Ballast Replacement Cycle</v>
          </cell>
        </row>
        <row r="66">
          <cell r="B66" t="str">
            <v>Exterior Building Lighting-New</v>
          </cell>
          <cell r="U66">
            <v>0.2</v>
          </cell>
          <cell r="V66" t="str">
            <v xml:space="preserve">5-year cycle (lamp cycle) for luminiares requiring bucket truck.  </v>
          </cell>
        </row>
        <row r="67">
          <cell r="B67" t="str">
            <v>Exterior Building Lighting-NR</v>
          </cell>
          <cell r="U67">
            <v>0.2</v>
          </cell>
          <cell r="V67" t="str">
            <v>20-Year Fixture Life from CBSA REN RATE</v>
          </cell>
        </row>
        <row r="68">
          <cell r="B68" t="str">
            <v>Street and Roadway Lighting-New</v>
          </cell>
          <cell r="U68">
            <v>0.2</v>
          </cell>
          <cell r="V68" t="str">
            <v>Five year cycle for streetlight relamp (DOE &amp; Tarioffs)</v>
          </cell>
        </row>
        <row r="69">
          <cell r="B69" t="str">
            <v>Street and Roadway Lighting-NR</v>
          </cell>
          <cell r="U69">
            <v>0.2</v>
          </cell>
          <cell r="V69" t="str">
            <v>Five year cycle for streetlight relamp (DOE &amp; Tarioffs)</v>
          </cell>
        </row>
        <row r="70">
          <cell r="B70" t="str">
            <v>Parking Lighting-New</v>
          </cell>
        </row>
        <row r="71">
          <cell r="B71" t="str">
            <v>Parking Lighting-NR</v>
          </cell>
        </row>
        <row r="72">
          <cell r="B72" t="str">
            <v>Bi-Level Stairwell Lighting-NR</v>
          </cell>
        </row>
        <row r="73">
          <cell r="B73" t="str">
            <v>ECM-VAV-New</v>
          </cell>
        </row>
        <row r="74">
          <cell r="B74" t="str">
            <v>ECM-VAV-NR</v>
          </cell>
        </row>
        <row r="75">
          <cell r="B75" t="str">
            <v>Pool pumps-Retro</v>
          </cell>
        </row>
        <row r="76">
          <cell r="B76" t="str">
            <v>MotorsRewind-New</v>
          </cell>
        </row>
        <row r="77">
          <cell r="B77" t="str">
            <v>MotorsRewind-NR</v>
          </cell>
        </row>
        <row r="78">
          <cell r="B78" t="str">
            <v>Municipal Sewage Treatment-Retro</v>
          </cell>
          <cell r="C78">
            <v>0</v>
          </cell>
          <cell r="D78">
            <v>0</v>
          </cell>
          <cell r="E78">
            <v>0</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row>
        <row r="79">
          <cell r="B79" t="str">
            <v>Municipal Water Supply-Retro</v>
          </cell>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row>
        <row r="80">
          <cell r="B80" t="str">
            <v>Engine Generator Block Heaters-Retro</v>
          </cell>
        </row>
        <row r="81">
          <cell r="B81" t="str">
            <v>Grocery Refrigeration Bundle-Retro</v>
          </cell>
        </row>
        <row r="82">
          <cell r="B82" t="str">
            <v>Packaged Refrigeration Equipment-New</v>
          </cell>
        </row>
        <row r="83">
          <cell r="B83" t="str">
            <v>Appliances - Freezers-NR</v>
          </cell>
        </row>
        <row r="84">
          <cell r="B84" t="str">
            <v>Appliances - Refrigerators-NR</v>
          </cell>
        </row>
        <row r="85">
          <cell r="B85" t="str">
            <v>Water Cooler Controls-NR</v>
          </cell>
        </row>
        <row r="86">
          <cell r="B86" t="str">
            <v>WHTanks-New</v>
          </cell>
        </row>
        <row r="87">
          <cell r="B87" t="str">
            <v>WHTanks-NR</v>
          </cell>
        </row>
        <row r="88">
          <cell r="B88" t="str">
            <v>Appliances - Clothes Washers-NR</v>
          </cell>
        </row>
        <row r="89">
          <cell r="B89" t="str">
            <v>Showerheads-Retro</v>
          </cell>
        </row>
        <row r="90">
          <cell r="B90" t="str">
            <v>Water Heating - GFHX-New</v>
          </cell>
        </row>
        <row r="91">
          <cell r="B91" t="str">
            <v>Demand Control Circulating system DHW-Retro</v>
          </cell>
        </row>
        <row r="92">
          <cell r="B92" t="str">
            <v>Central HPWH MF-Retro</v>
          </cell>
        </row>
        <row r="93">
          <cell r="B93" t="str">
            <v>Ultra Low Energy Building-New</v>
          </cell>
        </row>
        <row r="94">
          <cell r="B94" t="str">
            <v>Low Power LF Lamps-NR</v>
          </cell>
        </row>
      </sheetData>
      <sheetData sheetId="7">
        <row r="11">
          <cell r="C11" t="str">
            <v>LO1Slow</v>
          </cell>
          <cell r="D11">
            <v>2.5643970768378654E-3</v>
          </cell>
          <cell r="E11">
            <v>7.6904586297764643E-3</v>
          </cell>
          <cell r="F11">
            <v>1.6792013047419844E-2</v>
          </cell>
          <cell r="G11">
            <v>3.15969387774655E-2</v>
          </cell>
          <cell r="H11">
            <v>5.406874819795171E-2</v>
          </cell>
          <cell r="I11">
            <v>8.6253181011834101E-2</v>
          </cell>
          <cell r="J11">
            <v>0.1300328481838382</v>
          </cell>
          <cell r="K11">
            <v>0.18678710893858319</v>
          </cell>
          <cell r="L11">
            <v>0.2569823480072907</v>
          </cell>
          <cell r="M11">
            <v>0.33975920985004748</v>
          </cell>
          <cell r="N11">
            <v>0.43262946935754232</v>
          </cell>
          <cell r="O11">
            <v>0.53142594003645804</v>
          </cell>
          <cell r="P11">
            <v>0.63063487292644704</v>
          </cell>
          <cell r="Q11">
            <v>0.7241560234206913</v>
          </cell>
          <cell r="R11">
            <v>0.80638203131755359</v>
          </cell>
          <cell r="S11">
            <v>0.87331559734491926</v>
          </cell>
          <cell r="T11">
            <v>0.92334516248836807</v>
          </cell>
          <cell r="U11">
            <v>0.95737002770730018</v>
          </cell>
        </row>
        <row r="12">
          <cell r="C12" t="str">
            <v>LO50Fast</v>
          </cell>
          <cell r="D12">
            <v>0.45</v>
          </cell>
          <cell r="E12">
            <v>0.66</v>
          </cell>
          <cell r="F12">
            <v>0.8</v>
          </cell>
          <cell r="G12">
            <v>0.89</v>
          </cell>
          <cell r="H12">
            <v>0.94954036260972652</v>
          </cell>
          <cell r="I12">
            <v>0.97931054391458994</v>
          </cell>
          <cell r="J12">
            <v>0.99254173560564019</v>
          </cell>
          <cell r="K12">
            <v>0.99783421228206048</v>
          </cell>
          <cell r="L12">
            <v>0.99975874925530417</v>
          </cell>
          <cell r="M12">
            <v>1.0004002615797187</v>
          </cell>
          <cell r="N12">
            <v>1.0005976499872309</v>
          </cell>
          <cell r="O12">
            <v>1.0006540466750915</v>
          </cell>
          <cell r="P12">
            <v>1.0006690857918545</v>
          </cell>
          <cell r="Q12">
            <v>1.000672845571045</v>
          </cell>
          <cell r="R12">
            <v>1.0006737302249724</v>
          </cell>
          <cell r="S12">
            <v>1.0006739268147338</v>
          </cell>
          <cell r="T12">
            <v>1.0006739682020522</v>
          </cell>
          <cell r="U12">
            <v>1.0006739764795158</v>
          </cell>
        </row>
        <row r="13">
          <cell r="C13" t="str">
            <v>LO20Fast</v>
          </cell>
          <cell r="D13">
            <v>0.22119921692859512</v>
          </cell>
          <cell r="E13">
            <v>0.37624232795148943</v>
          </cell>
          <cell r="F13">
            <v>0.48357361352878442</v>
          </cell>
          <cell r="G13">
            <v>0.56716330278444227</v>
          </cell>
          <cell r="H13">
            <v>0.64040048266456928</v>
          </cell>
          <cell r="I13">
            <v>0.70377511937632964</v>
          </cell>
          <cell r="J13">
            <v>0.7580669577441127</v>
          </cell>
          <cell r="K13">
            <v>0.80419335000071168</v>
          </cell>
          <cell r="L13">
            <v>0.84311022627788457</v>
          </cell>
          <cell r="M13">
            <v>0.87575014259103623</v>
          </cell>
          <cell r="N13">
            <v>0.90298584871682319</v>
          </cell>
          <cell r="O13">
            <v>0.92419703797508856</v>
          </cell>
          <cell r="P13">
            <v>0.94071632877930145</v>
          </cell>
          <cell r="Q13">
            <v>0.95358156539340677</v>
          </cell>
          <cell r="R13">
            <v>0.96360102174287088</v>
          </cell>
          <cell r="S13">
            <v>0.97140418219378311</v>
          </cell>
          <cell r="T13">
            <v>0.97748128966338554</v>
          </cell>
          <cell r="U13">
            <v>0.98221414571952104</v>
          </cell>
        </row>
        <row r="14">
          <cell r="C14" t="str">
            <v>LOEven20</v>
          </cell>
          <cell r="D14">
            <v>0.05</v>
          </cell>
          <cell r="E14">
            <v>0.1</v>
          </cell>
          <cell r="F14">
            <v>0.15000000000000002</v>
          </cell>
          <cell r="G14">
            <v>0.2</v>
          </cell>
          <cell r="H14">
            <v>0.25</v>
          </cell>
          <cell r="I14">
            <v>0.3</v>
          </cell>
          <cell r="J14">
            <v>0.35</v>
          </cell>
          <cell r="K14">
            <v>0.39999999999999997</v>
          </cell>
          <cell r="L14">
            <v>0.44999999999999996</v>
          </cell>
          <cell r="M14">
            <v>0.49999999999999994</v>
          </cell>
          <cell r="N14">
            <v>0.54999999999999993</v>
          </cell>
          <cell r="O14">
            <v>0.6</v>
          </cell>
          <cell r="P14">
            <v>0.65</v>
          </cell>
          <cell r="Q14">
            <v>0.70000000000000007</v>
          </cell>
          <cell r="R14">
            <v>0.75000000000000011</v>
          </cell>
          <cell r="S14">
            <v>0.80000000000000016</v>
          </cell>
          <cell r="T14">
            <v>0.8500000000000002</v>
          </cell>
          <cell r="U14">
            <v>0.90000000000000024</v>
          </cell>
        </row>
        <row r="15">
          <cell r="C15" t="str">
            <v>LOMax60</v>
          </cell>
          <cell r="D15">
            <v>0.01</v>
          </cell>
          <cell r="E15">
            <v>2.98E-2</v>
          </cell>
          <cell r="F15">
            <v>5.8906E-2</v>
          </cell>
          <cell r="G15">
            <v>9.6549759999999998E-2</v>
          </cell>
          <cell r="H15">
            <v>0.14172227199999998</v>
          </cell>
          <cell r="I15">
            <v>0.19035800991999999</v>
          </cell>
          <cell r="J15">
            <v>0.2362377226912</v>
          </cell>
          <cell r="K15">
            <v>0.279517585072032</v>
          </cell>
          <cell r="L15">
            <v>0.32034492191795017</v>
          </cell>
          <cell r="M15">
            <v>0.35885870967593297</v>
          </cell>
          <cell r="N15">
            <v>0.39519004946096342</v>
          </cell>
          <cell r="O15">
            <v>0.42946261332484215</v>
          </cell>
          <cell r="P15">
            <v>0.46179306523643443</v>
          </cell>
          <cell r="Q15">
            <v>0.49229145820636983</v>
          </cell>
          <cell r="R15">
            <v>0.5210616089080089</v>
          </cell>
          <cell r="S15">
            <v>0.54820145106988838</v>
          </cell>
          <cell r="T15">
            <v>0.57380336884259475</v>
          </cell>
          <cell r="U15">
            <v>0.59795451127484767</v>
          </cell>
        </row>
        <row r="16">
          <cell r="C16" t="str">
            <v>LO3Slow</v>
          </cell>
          <cell r="D16">
            <v>5.5320496977002724E-3</v>
          </cell>
          <cell r="E16">
            <v>1.4227918344261844E-2</v>
          </cell>
          <cell r="F16">
            <v>3.1619655637384989E-2</v>
          </cell>
          <cell r="G16">
            <v>6.2055195900350503E-2</v>
          </cell>
          <cell r="H16">
            <v>0.10939936964274129</v>
          </cell>
          <cell r="I16">
            <v>0.17568121288208835</v>
          </cell>
          <cell r="J16">
            <v>0.26003992245943919</v>
          </cell>
          <cell r="K16">
            <v>0.3584584169663485</v>
          </cell>
          <cell r="L16">
            <v>0.46444756489686617</v>
          </cell>
          <cell r="M16">
            <v>0.57043671282738384</v>
          </cell>
          <cell r="N16">
            <v>0.66935991756253377</v>
          </cell>
          <cell r="O16">
            <v>0.75591772170578986</v>
          </cell>
          <cell r="P16">
            <v>0.82720061923553012</v>
          </cell>
          <cell r="Q16">
            <v>0.88264287286977261</v>
          </cell>
          <cell r="R16">
            <v>0.92349505975816193</v>
          </cell>
          <cell r="S16">
            <v>0.95209159058003434</v>
          </cell>
          <cell r="T16">
            <v>0.97115594446128262</v>
          </cell>
          <cell r="U16">
            <v>0.98328780602207699</v>
          </cell>
        </row>
        <row r="18">
          <cell r="B18" t="str">
            <v>Measure Index Name</v>
          </cell>
          <cell r="C18" t="str">
            <v>Ramp</v>
          </cell>
          <cell r="D18">
            <v>2016</v>
          </cell>
          <cell r="E18">
            <v>2017</v>
          </cell>
          <cell r="F18">
            <v>2018</v>
          </cell>
          <cell r="G18">
            <v>2019</v>
          </cell>
          <cell r="H18">
            <v>2020</v>
          </cell>
          <cell r="I18">
            <v>2021</v>
          </cell>
          <cell r="J18">
            <v>2022</v>
          </cell>
          <cell r="K18">
            <v>2023</v>
          </cell>
          <cell r="L18">
            <v>2024</v>
          </cell>
          <cell r="M18">
            <v>2025</v>
          </cell>
          <cell r="N18">
            <v>2026</v>
          </cell>
          <cell r="O18">
            <v>2027</v>
          </cell>
          <cell r="P18">
            <v>2028</v>
          </cell>
          <cell r="Q18">
            <v>2029</v>
          </cell>
          <cell r="R18">
            <v>2030</v>
          </cell>
          <cell r="S18">
            <v>2031</v>
          </cell>
          <cell r="T18">
            <v>2032</v>
          </cell>
          <cell r="U18">
            <v>2033</v>
          </cell>
        </row>
        <row r="19">
          <cell r="A19" t="str">
            <v>Compressed Air</v>
          </cell>
          <cell r="B19" t="str">
            <v>Compressed Air-Retro</v>
          </cell>
          <cell r="C19" t="str">
            <v>RetroEven20</v>
          </cell>
          <cell r="D19">
            <v>0.05</v>
          </cell>
          <cell r="E19">
            <v>0.05</v>
          </cell>
          <cell r="F19">
            <v>0.05</v>
          </cell>
          <cell r="G19">
            <v>0.05</v>
          </cell>
          <cell r="H19">
            <v>0.05</v>
          </cell>
          <cell r="I19">
            <v>0.05</v>
          </cell>
          <cell r="J19">
            <v>0.05</v>
          </cell>
          <cell r="K19">
            <v>0.05</v>
          </cell>
          <cell r="L19">
            <v>0.05</v>
          </cell>
          <cell r="M19">
            <v>0.05</v>
          </cell>
          <cell r="N19">
            <v>0.05</v>
          </cell>
          <cell r="O19">
            <v>0.05</v>
          </cell>
          <cell r="P19">
            <v>0.05</v>
          </cell>
          <cell r="Q19">
            <v>0.05</v>
          </cell>
          <cell r="R19">
            <v>0.05</v>
          </cell>
          <cell r="S19">
            <v>0.05</v>
          </cell>
          <cell r="T19">
            <v>0.05</v>
          </cell>
          <cell r="U19">
            <v>0.05</v>
          </cell>
          <cell r="V19">
            <v>0.05</v>
          </cell>
          <cell r="W19">
            <v>0.05</v>
          </cell>
        </row>
        <row r="20">
          <cell r="A20" t="str">
            <v>Compressed Air</v>
          </cell>
          <cell r="B20" t="str">
            <v>Compressed Air-NR</v>
          </cell>
          <cell r="C20" t="str">
            <v>LOEven20</v>
          </cell>
          <cell r="D20">
            <v>0.05</v>
          </cell>
          <cell r="E20">
            <v>0.1</v>
          </cell>
          <cell r="F20">
            <v>0.15000000000000002</v>
          </cell>
          <cell r="G20">
            <v>0.2</v>
          </cell>
          <cell r="H20">
            <v>0.25</v>
          </cell>
          <cell r="I20">
            <v>0.3</v>
          </cell>
          <cell r="J20">
            <v>0.35</v>
          </cell>
          <cell r="K20">
            <v>0.39999999999999997</v>
          </cell>
          <cell r="L20">
            <v>0.44999999999999996</v>
          </cell>
          <cell r="M20">
            <v>0.49999999999999994</v>
          </cell>
          <cell r="N20">
            <v>0.54999999999999993</v>
          </cell>
          <cell r="O20">
            <v>0.6</v>
          </cell>
          <cell r="P20">
            <v>0.65</v>
          </cell>
          <cell r="Q20">
            <v>0.70000000000000007</v>
          </cell>
          <cell r="R20">
            <v>0.75000000000000011</v>
          </cell>
          <cell r="S20">
            <v>0.80000000000000016</v>
          </cell>
          <cell r="T20">
            <v>0.8500000000000002</v>
          </cell>
          <cell r="U20">
            <v>0.90000000000000024</v>
          </cell>
          <cell r="V20">
            <v>0.95000000000000029</v>
          </cell>
          <cell r="W20">
            <v>1.0000000000000002</v>
          </cell>
        </row>
        <row r="21">
          <cell r="A21" t="str">
            <v>Electronics</v>
          </cell>
          <cell r="B21" t="str">
            <v>Network PC Power Management-Retro</v>
          </cell>
          <cell r="C21" t="str">
            <v>Retro20Fast</v>
          </cell>
          <cell r="D21">
            <v>0.22119921692859512</v>
          </cell>
          <cell r="E21">
            <v>0.15504311102289431</v>
          </cell>
          <cell r="F21">
            <v>0.10733128557729499</v>
          </cell>
          <cell r="G21">
            <v>8.3589689255657879E-2</v>
          </cell>
          <cell r="H21">
            <v>7.3237179880126971E-2</v>
          </cell>
          <cell r="I21">
            <v>6.3374636711760357E-2</v>
          </cell>
          <cell r="J21">
            <v>5.4291838367783084E-2</v>
          </cell>
          <cell r="K21">
            <v>4.612639225659896E-2</v>
          </cell>
          <cell r="L21">
            <v>3.8916876277172864E-2</v>
          </cell>
          <cell r="M21">
            <v>3.2639916313151704E-2</v>
          </cell>
          <cell r="N21">
            <v>2.7235706125786907E-2</v>
          </cell>
          <cell r="O21">
            <v>2.1211189258265428E-2</v>
          </cell>
          <cell r="P21">
            <v>1.6519290804212883E-2</v>
          </cell>
          <cell r="Q21">
            <v>1.2865236614105324E-2</v>
          </cell>
          <cell r="R21">
            <v>1.0019456349464106E-2</v>
          </cell>
          <cell r="S21">
            <v>7.8031604509122832E-3</v>
          </cell>
          <cell r="T21">
            <v>6.077107469602494E-3</v>
          </cell>
          <cell r="U21">
            <v>4.7328560561354371E-3</v>
          </cell>
          <cell r="V21">
            <v>3.6859520026825132E-3</v>
          </cell>
          <cell r="W21">
            <v>2.8706223060526725E-3</v>
          </cell>
        </row>
        <row r="22">
          <cell r="A22" t="str">
            <v>Electronics</v>
          </cell>
          <cell r="B22" t="str">
            <v>Laptop-NR</v>
          </cell>
          <cell r="C22" t="str">
            <v>LO5Med</v>
          </cell>
          <cell r="D22">
            <v>4.2999999999999997E-2</v>
          </cell>
          <cell r="E22">
            <v>9.5797142280278316E-2</v>
          </cell>
          <cell r="F22">
            <v>0.16040539374775648</v>
          </cell>
          <cell r="G22">
            <v>0.23540539374775649</v>
          </cell>
          <cell r="H22">
            <v>0.32095239121809005</v>
          </cell>
          <cell r="I22">
            <v>0.42096711425629652</v>
          </cell>
          <cell r="J22">
            <v>0.53068481860864725</v>
          </cell>
          <cell r="K22">
            <v>0.642769203728351</v>
          </cell>
          <cell r="L22">
            <v>0.74839528535557953</v>
          </cell>
          <cell r="M22">
            <v>0.83918984935345187</v>
          </cell>
          <cell r="N22">
            <v>0.90945051634530116</v>
          </cell>
          <cell r="O22">
            <v>0.9576688767502457</v>
          </cell>
          <cell r="P22">
            <v>0.9865231113648858</v>
          </cell>
          <cell r="Q22">
            <v>1.0012970762896924</v>
          </cell>
          <cell r="R22">
            <v>1.0076356106578106</v>
          </cell>
          <cell r="S22">
            <v>1.0098624683774413</v>
          </cell>
          <cell r="T22">
            <v>1.0104871783970797</v>
          </cell>
          <cell r="U22">
            <v>1.010623336815976</v>
          </cell>
          <cell r="V22">
            <v>1.0106457174525985</v>
          </cell>
          <cell r="W22">
            <v>1.0106484038909742</v>
          </cell>
        </row>
        <row r="23">
          <cell r="A23" t="str">
            <v>Electronics</v>
          </cell>
          <cell r="B23" t="str">
            <v>Smart Plug Power Strips-Retro</v>
          </cell>
          <cell r="C23" t="str">
            <v>Retro12Med</v>
          </cell>
          <cell r="D23">
            <v>0.10937459468255628</v>
          </cell>
          <cell r="E23">
            <v>0.10937459468255628</v>
          </cell>
          <cell r="F23">
            <v>0.10937459468255628</v>
          </cell>
          <cell r="G23">
            <v>0.10937459468255628</v>
          </cell>
          <cell r="H23">
            <v>0.10937459468255628</v>
          </cell>
          <cell r="I23">
            <v>9.8437135214300656E-2</v>
          </cell>
          <cell r="J23">
            <v>7.874970817144053E-2</v>
          </cell>
          <cell r="K23">
            <v>6.2999766537152418E-2</v>
          </cell>
          <cell r="L23">
            <v>5.0399813229721938E-2</v>
          </cell>
          <cell r="M23">
            <v>4.0319850583777551E-2</v>
          </cell>
          <cell r="N23">
            <v>3.225588046702204E-2</v>
          </cell>
          <cell r="O23">
            <v>2.5804704373617631E-2</v>
          </cell>
          <cell r="P23">
            <v>2.0643763498894106E-2</v>
          </cell>
          <cell r="Q23">
            <v>1.6515010799115284E-2</v>
          </cell>
          <cell r="R23">
            <v>1.3212008639292228E-2</v>
          </cell>
          <cell r="S23">
            <v>1.0569606911433781E-2</v>
          </cell>
          <cell r="T23">
            <v>7.2092823794611682E-5</v>
          </cell>
          <cell r="U23">
            <v>2.5747437069512102E-5</v>
          </cell>
          <cell r="V23">
            <v>8.7775353646568632E-6</v>
          </cell>
          <cell r="W23">
            <v>2.8622397928446119E-6</v>
          </cell>
        </row>
        <row r="24">
          <cell r="A24" t="str">
            <v>Electronics</v>
          </cell>
          <cell r="B24" t="str">
            <v>Data Centers-NR</v>
          </cell>
          <cell r="C24" t="str">
            <v>LO5Med</v>
          </cell>
          <cell r="D24">
            <v>4.2999999999999997E-2</v>
          </cell>
          <cell r="E24">
            <v>9.5797142280278316E-2</v>
          </cell>
          <cell r="F24">
            <v>0.16040539374775648</v>
          </cell>
          <cell r="G24">
            <v>0.23540539374775649</v>
          </cell>
          <cell r="H24">
            <v>0.32095239121809005</v>
          </cell>
          <cell r="I24">
            <v>0.42096711425629652</v>
          </cell>
          <cell r="J24">
            <v>0.53068481860864725</v>
          </cell>
          <cell r="K24">
            <v>0.642769203728351</v>
          </cell>
          <cell r="L24">
            <v>0.74839528535557953</v>
          </cell>
          <cell r="M24">
            <v>0.83918984935345187</v>
          </cell>
          <cell r="N24">
            <v>0.90945051634530116</v>
          </cell>
          <cell r="O24">
            <v>0.9576688767502457</v>
          </cell>
          <cell r="P24">
            <v>0.9865231113648858</v>
          </cell>
          <cell r="Q24">
            <v>1.0012970762896924</v>
          </cell>
          <cell r="R24">
            <v>1.0076356106578106</v>
          </cell>
          <cell r="S24">
            <v>1.0098624683774413</v>
          </cell>
          <cell r="T24">
            <v>1.0104871783970797</v>
          </cell>
          <cell r="U24">
            <v>1.010623336815976</v>
          </cell>
          <cell r="V24">
            <v>1.0106457174525985</v>
          </cell>
          <cell r="W24">
            <v>1.0106484038909742</v>
          </cell>
        </row>
        <row r="25">
          <cell r="A25" t="str">
            <v>Electronics</v>
          </cell>
          <cell r="B25" t="str">
            <v>Monitor-NR</v>
          </cell>
          <cell r="C25" t="str">
            <v>LO50Fast</v>
          </cell>
          <cell r="D25">
            <v>0.45</v>
          </cell>
          <cell r="E25">
            <v>0.66</v>
          </cell>
          <cell r="F25">
            <v>0.8</v>
          </cell>
          <cell r="G25">
            <v>0.89</v>
          </cell>
          <cell r="H25">
            <v>0.94954036260972652</v>
          </cell>
          <cell r="I25">
            <v>0.97931054391458994</v>
          </cell>
          <cell r="J25">
            <v>0.99254173560564019</v>
          </cell>
          <cell r="K25">
            <v>0.99783421228206048</v>
          </cell>
          <cell r="L25">
            <v>0.99975874925530417</v>
          </cell>
          <cell r="M25">
            <v>1.0004002615797187</v>
          </cell>
          <cell r="N25">
            <v>1.0005976499872309</v>
          </cell>
          <cell r="O25">
            <v>1.0006540466750915</v>
          </cell>
          <cell r="P25">
            <v>1.0006690857918545</v>
          </cell>
          <cell r="Q25">
            <v>1.000672845571045</v>
          </cell>
          <cell r="R25">
            <v>1.0006737302249724</v>
          </cell>
          <cell r="S25">
            <v>1.0006739268147338</v>
          </cell>
          <cell r="T25">
            <v>1.0006739682020522</v>
          </cell>
          <cell r="U25">
            <v>1.0006739764795158</v>
          </cell>
          <cell r="V25">
            <v>1.0006739780561755</v>
          </cell>
          <cell r="W25">
            <v>1.0006739783428409</v>
          </cell>
        </row>
        <row r="26">
          <cell r="A26" t="str">
            <v>Electronics</v>
          </cell>
          <cell r="B26" t="str">
            <v>Desktop-NR</v>
          </cell>
          <cell r="C26" t="str">
            <v>LO50Fast</v>
          </cell>
          <cell r="D26">
            <v>0.45</v>
          </cell>
          <cell r="E26">
            <v>0.66</v>
          </cell>
          <cell r="F26">
            <v>0.8</v>
          </cell>
          <cell r="G26">
            <v>0.89</v>
          </cell>
          <cell r="H26">
            <v>0.94954036260972652</v>
          </cell>
          <cell r="I26">
            <v>0.97931054391458994</v>
          </cell>
          <cell r="J26">
            <v>0.99254173560564019</v>
          </cell>
          <cell r="K26">
            <v>0.99783421228206048</v>
          </cell>
          <cell r="L26">
            <v>0.99975874925530417</v>
          </cell>
          <cell r="M26">
            <v>1.0004002615797187</v>
          </cell>
          <cell r="N26">
            <v>1.0005976499872309</v>
          </cell>
          <cell r="O26">
            <v>1.0006540466750915</v>
          </cell>
          <cell r="P26">
            <v>1.0006690857918545</v>
          </cell>
          <cell r="Q26">
            <v>1.000672845571045</v>
          </cell>
          <cell r="R26">
            <v>1.0006737302249724</v>
          </cell>
          <cell r="S26">
            <v>1.0006739268147338</v>
          </cell>
          <cell r="T26">
            <v>1.0006739682020522</v>
          </cell>
          <cell r="U26">
            <v>1.0006739764795158</v>
          </cell>
          <cell r="V26">
            <v>1.0006739780561755</v>
          </cell>
          <cell r="W26">
            <v>1.0006739783428409</v>
          </cell>
        </row>
        <row r="27">
          <cell r="A27" t="str">
            <v>Food Preparation</v>
          </cell>
          <cell r="B27" t="str">
            <v>Pre-Rinse Spray Valve-Retro</v>
          </cell>
          <cell r="C27" t="str">
            <v>Retro12Med</v>
          </cell>
          <cell r="D27">
            <v>0.10937459468255628</v>
          </cell>
          <cell r="E27">
            <v>0.10937459468255628</v>
          </cell>
          <cell r="F27">
            <v>0.10937459468255628</v>
          </cell>
          <cell r="G27">
            <v>0.10937459468255628</v>
          </cell>
          <cell r="H27">
            <v>0.10937459468255628</v>
          </cell>
          <cell r="I27">
            <v>9.8437135214300656E-2</v>
          </cell>
          <cell r="J27">
            <v>7.874970817144053E-2</v>
          </cell>
          <cell r="K27">
            <v>6.2999766537152418E-2</v>
          </cell>
          <cell r="L27">
            <v>5.0399813229721938E-2</v>
          </cell>
          <cell r="M27">
            <v>4.0319850583777551E-2</v>
          </cell>
          <cell r="N27">
            <v>3.225588046702204E-2</v>
          </cell>
          <cell r="O27">
            <v>2.5804704373617631E-2</v>
          </cell>
          <cell r="P27">
            <v>2.0643763498894106E-2</v>
          </cell>
          <cell r="Q27">
            <v>1.6515010799115284E-2</v>
          </cell>
          <cell r="R27">
            <v>1.3212008639292228E-2</v>
          </cell>
          <cell r="S27">
            <v>1.0569606911433781E-2</v>
          </cell>
          <cell r="T27">
            <v>7.2092823794611682E-5</v>
          </cell>
          <cell r="U27">
            <v>2.5747437069512102E-5</v>
          </cell>
          <cell r="V27">
            <v>8.7775353646568632E-6</v>
          </cell>
          <cell r="W27">
            <v>2.8622397928446119E-6</v>
          </cell>
        </row>
        <row r="28">
          <cell r="A28" t="str">
            <v>Food Preparation</v>
          </cell>
          <cell r="B28" t="str">
            <v>Cooking Equipment-NR</v>
          </cell>
          <cell r="C28" t="str">
            <v>LO5Med</v>
          </cell>
          <cell r="D28">
            <v>4.2999999999999997E-2</v>
          </cell>
          <cell r="E28">
            <v>9.5797142280278316E-2</v>
          </cell>
          <cell r="F28">
            <v>0.16040539374775648</v>
          </cell>
          <cell r="G28">
            <v>0.23540539374775649</v>
          </cell>
          <cell r="H28">
            <v>0.32095239121809005</v>
          </cell>
          <cell r="I28">
            <v>0.42096711425629652</v>
          </cell>
          <cell r="J28">
            <v>0.53068481860864725</v>
          </cell>
          <cell r="K28">
            <v>0.642769203728351</v>
          </cell>
          <cell r="L28">
            <v>0.74839528535557953</v>
          </cell>
          <cell r="M28">
            <v>0.83918984935345187</v>
          </cell>
          <cell r="N28">
            <v>0.90945051634530116</v>
          </cell>
          <cell r="O28">
            <v>0.9576688767502457</v>
          </cell>
          <cell r="P28">
            <v>0.9865231113648858</v>
          </cell>
          <cell r="Q28">
            <v>1.0012970762896924</v>
          </cell>
          <cell r="R28">
            <v>1.0076356106578106</v>
          </cell>
          <cell r="S28">
            <v>1.0098624683774413</v>
          </cell>
          <cell r="T28">
            <v>1.0104871783970797</v>
          </cell>
          <cell r="U28">
            <v>1.010623336815976</v>
          </cell>
          <cell r="V28">
            <v>1.0106457174525985</v>
          </cell>
          <cell r="W28">
            <v>1.0106484038909742</v>
          </cell>
        </row>
        <row r="29">
          <cell r="A29" t="str">
            <v>HVAC</v>
          </cell>
          <cell r="B29" t="str">
            <v>Premium HVAC Equipment-New</v>
          </cell>
          <cell r="C29" t="str">
            <v>LO20Fast</v>
          </cell>
          <cell r="D29">
            <v>0.22119921692859512</v>
          </cell>
          <cell r="E29">
            <v>0.37624232795148943</v>
          </cell>
          <cell r="F29">
            <v>0.48357361352878442</v>
          </cell>
          <cell r="G29">
            <v>0.56716330278444227</v>
          </cell>
          <cell r="H29">
            <v>0.64040048266456928</v>
          </cell>
          <cell r="I29">
            <v>0.70377511937632964</v>
          </cell>
          <cell r="J29">
            <v>0.7580669577441127</v>
          </cell>
          <cell r="K29">
            <v>0.80419335000071168</v>
          </cell>
          <cell r="L29">
            <v>0.84311022627788457</v>
          </cell>
          <cell r="M29">
            <v>0.87575014259103623</v>
          </cell>
          <cell r="N29">
            <v>0.90298584871682319</v>
          </cell>
          <cell r="O29">
            <v>0.92419703797508856</v>
          </cell>
          <cell r="P29">
            <v>0.94071632877930145</v>
          </cell>
          <cell r="Q29">
            <v>0.95358156539340677</v>
          </cell>
          <cell r="R29">
            <v>0.96360102174287088</v>
          </cell>
          <cell r="S29">
            <v>0.97140418219378311</v>
          </cell>
          <cell r="T29">
            <v>0.97748128966338554</v>
          </cell>
          <cell r="U29">
            <v>0.98221414571952104</v>
          </cell>
          <cell r="V29">
            <v>0.98590009772220355</v>
          </cell>
          <cell r="W29">
            <v>0.98877072002825628</v>
          </cell>
        </row>
        <row r="30">
          <cell r="A30" t="str">
            <v>HVAC</v>
          </cell>
          <cell r="B30" t="str">
            <v>Premium HVAC Equipment-NR</v>
          </cell>
          <cell r="C30" t="str">
            <v>LO20Fast</v>
          </cell>
          <cell r="D30">
            <v>0.22119921692859512</v>
          </cell>
          <cell r="E30">
            <v>0.37624232795148943</v>
          </cell>
          <cell r="F30">
            <v>0.48357361352878442</v>
          </cell>
          <cell r="G30">
            <v>0.56716330278444227</v>
          </cell>
          <cell r="H30">
            <v>0.64040048266456928</v>
          </cell>
          <cell r="I30">
            <v>0.70377511937632964</v>
          </cell>
          <cell r="J30">
            <v>0.7580669577441127</v>
          </cell>
          <cell r="K30">
            <v>0.80419335000071168</v>
          </cell>
          <cell r="L30">
            <v>0.84311022627788457</v>
          </cell>
          <cell r="M30">
            <v>0.87575014259103623</v>
          </cell>
          <cell r="N30">
            <v>0.90298584871682319</v>
          </cell>
          <cell r="O30">
            <v>0.92419703797508856</v>
          </cell>
          <cell r="P30">
            <v>0.94071632877930145</v>
          </cell>
          <cell r="Q30">
            <v>0.95358156539340677</v>
          </cell>
          <cell r="R30">
            <v>0.96360102174287088</v>
          </cell>
          <cell r="S30">
            <v>0.97140418219378311</v>
          </cell>
          <cell r="T30">
            <v>0.97748128966338554</v>
          </cell>
          <cell r="U30">
            <v>0.98221414571952104</v>
          </cell>
          <cell r="V30">
            <v>0.98590009772220355</v>
          </cell>
          <cell r="W30">
            <v>0.98877072002825628</v>
          </cell>
        </row>
        <row r="31">
          <cell r="A31" t="str">
            <v>HVAC</v>
          </cell>
          <cell r="B31" t="str">
            <v>Glass-New</v>
          </cell>
          <cell r="C31" t="str">
            <v>LO5Med</v>
          </cell>
          <cell r="D31">
            <v>4.2999999999999997E-2</v>
          </cell>
          <cell r="E31">
            <v>9.5797142280278316E-2</v>
          </cell>
          <cell r="F31">
            <v>0.16040539374775648</v>
          </cell>
          <cell r="G31">
            <v>0.23540539374775649</v>
          </cell>
          <cell r="H31">
            <v>0.32095239121809005</v>
          </cell>
          <cell r="I31">
            <v>0.42096711425629652</v>
          </cell>
          <cell r="J31">
            <v>0.53068481860864725</v>
          </cell>
          <cell r="K31">
            <v>0.642769203728351</v>
          </cell>
          <cell r="L31">
            <v>0.74839528535557953</v>
          </cell>
          <cell r="M31">
            <v>0.83918984935345187</v>
          </cell>
          <cell r="N31">
            <v>0.90945051634530116</v>
          </cell>
          <cell r="O31">
            <v>0.9576688767502457</v>
          </cell>
          <cell r="P31">
            <v>0.9865231113648858</v>
          </cell>
          <cell r="Q31">
            <v>1.0012970762896924</v>
          </cell>
          <cell r="R31">
            <v>1.0076356106578106</v>
          </cell>
          <cell r="S31">
            <v>1.0098624683774413</v>
          </cell>
          <cell r="T31">
            <v>1.0104871783970797</v>
          </cell>
          <cell r="U31">
            <v>1.010623336815976</v>
          </cell>
          <cell r="V31">
            <v>1.0106457174525985</v>
          </cell>
          <cell r="W31">
            <v>1.0106484038909742</v>
          </cell>
        </row>
        <row r="32">
          <cell r="A32" t="str">
            <v>HVAC</v>
          </cell>
          <cell r="B32" t="str">
            <v>Glass-NR</v>
          </cell>
          <cell r="C32" t="str">
            <v>LO5Med</v>
          </cell>
          <cell r="D32">
            <v>4.2999999999999997E-2</v>
          </cell>
          <cell r="E32">
            <v>9.5797142280278316E-2</v>
          </cell>
          <cell r="F32">
            <v>0.16040539374775648</v>
          </cell>
          <cell r="G32">
            <v>0.23540539374775649</v>
          </cell>
          <cell r="H32">
            <v>0.32095239121809005</v>
          </cell>
          <cell r="I32">
            <v>0.42096711425629652</v>
          </cell>
          <cell r="J32">
            <v>0.53068481860864725</v>
          </cell>
          <cell r="K32">
            <v>0.642769203728351</v>
          </cell>
          <cell r="L32">
            <v>0.74839528535557953</v>
          </cell>
          <cell r="M32">
            <v>0.83918984935345187</v>
          </cell>
          <cell r="N32">
            <v>0.90945051634530116</v>
          </cell>
          <cell r="O32">
            <v>0.9576688767502457</v>
          </cell>
          <cell r="P32">
            <v>0.9865231113648858</v>
          </cell>
          <cell r="Q32">
            <v>1.0012970762896924</v>
          </cell>
          <cell r="R32">
            <v>1.0076356106578106</v>
          </cell>
          <cell r="S32">
            <v>1.0098624683774413</v>
          </cell>
          <cell r="T32">
            <v>1.0104871783970797</v>
          </cell>
          <cell r="U32">
            <v>1.010623336815976</v>
          </cell>
          <cell r="V32">
            <v>1.0106457174525985</v>
          </cell>
          <cell r="W32">
            <v>1.0106484038909742</v>
          </cell>
        </row>
        <row r="33">
          <cell r="A33" t="str">
            <v>HVAC</v>
          </cell>
          <cell r="B33" t="str">
            <v>Glass-Retro</v>
          </cell>
          <cell r="C33" t="str">
            <v>Retro1Slow</v>
          </cell>
          <cell r="D33">
            <v>2.5643970768378654E-3</v>
          </cell>
          <cell r="E33">
            <v>5.1260615529385989E-3</v>
          </cell>
          <cell r="F33">
            <v>9.1015544176433795E-3</v>
          </cell>
          <cell r="G33">
            <v>1.4804925730045659E-2</v>
          </cell>
          <cell r="H33">
            <v>2.2471809420486211E-2</v>
          </cell>
          <cell r="I33">
            <v>3.2184432813882391E-2</v>
          </cell>
          <cell r="J33">
            <v>4.3779667172004086E-2</v>
          </cell>
          <cell r="K33">
            <v>5.675426075474499E-2</v>
          </cell>
          <cell r="L33">
            <v>7.0195239068707532E-2</v>
          </cell>
          <cell r="M33">
            <v>8.2776861842756788E-2</v>
          </cell>
          <cell r="N33">
            <v>9.2870259507494834E-2</v>
          </cell>
          <cell r="O33">
            <v>9.8796470678915727E-2</v>
          </cell>
          <cell r="P33">
            <v>9.9208932889988999E-2</v>
          </cell>
          <cell r="Q33">
            <v>9.3521150494244254E-2</v>
          </cell>
          <cell r="R33">
            <v>8.2226007896862296E-2</v>
          </cell>
          <cell r="S33">
            <v>6.6933566027365665E-2</v>
          </cell>
          <cell r="T33">
            <v>5.0029565143448806E-2</v>
          </cell>
          <cell r="U33">
            <v>3.402486521893211E-2</v>
          </cell>
          <cell r="V33">
            <v>2.0846059340774659E-2</v>
          </cell>
          <cell r="W33">
            <v>0.01</v>
          </cell>
        </row>
        <row r="34">
          <cell r="A34" t="str">
            <v>HVAC</v>
          </cell>
          <cell r="B34" t="str">
            <v>Advanced Rooftop Controller-New</v>
          </cell>
          <cell r="C34" t="str">
            <v>LO3Slow</v>
          </cell>
          <cell r="D34">
            <v>5.5320496977002724E-3</v>
          </cell>
          <cell r="E34">
            <v>1.4227918344261844E-2</v>
          </cell>
          <cell r="F34">
            <v>3.1619655637384989E-2</v>
          </cell>
          <cell r="G34">
            <v>6.2055195900350503E-2</v>
          </cell>
          <cell r="H34">
            <v>0.10939936964274129</v>
          </cell>
          <cell r="I34">
            <v>0.17568121288208835</v>
          </cell>
          <cell r="J34">
            <v>0.26003992245943919</v>
          </cell>
          <cell r="K34">
            <v>0.3584584169663485</v>
          </cell>
          <cell r="L34">
            <v>0.46444756489686617</v>
          </cell>
          <cell r="M34">
            <v>0.57043671282738384</v>
          </cell>
          <cell r="N34">
            <v>0.66935991756253377</v>
          </cell>
          <cell r="O34">
            <v>0.75591772170578986</v>
          </cell>
          <cell r="P34">
            <v>0.82720061923553012</v>
          </cell>
          <cell r="Q34">
            <v>0.88264287286977261</v>
          </cell>
          <cell r="R34">
            <v>0.92349505975816193</v>
          </cell>
          <cell r="S34">
            <v>0.95209159058003434</v>
          </cell>
          <cell r="T34">
            <v>0.97115594446128262</v>
          </cell>
          <cell r="U34">
            <v>0.98328780602207699</v>
          </cell>
          <cell r="V34">
            <v>0.99067241740690848</v>
          </cell>
          <cell r="W34">
            <v>0.99498010738139331</v>
          </cell>
        </row>
        <row r="35">
          <cell r="A35" t="str">
            <v>HVAC</v>
          </cell>
          <cell r="B35" t="str">
            <v>Advanced Rooftop Controller-NR</v>
          </cell>
          <cell r="C35" t="str">
            <v>LO3Slow</v>
          </cell>
          <cell r="D35">
            <v>5.5320496977002724E-3</v>
          </cell>
          <cell r="E35">
            <v>1.4227918344261844E-2</v>
          </cell>
          <cell r="F35">
            <v>3.1619655637384989E-2</v>
          </cell>
          <cell r="G35">
            <v>6.2055195900350503E-2</v>
          </cell>
          <cell r="H35">
            <v>0.10939936964274129</v>
          </cell>
          <cell r="I35">
            <v>0.17568121288208835</v>
          </cell>
          <cell r="J35">
            <v>0.26003992245943919</v>
          </cell>
          <cell r="K35">
            <v>0.3584584169663485</v>
          </cell>
          <cell r="L35">
            <v>0.46444756489686617</v>
          </cell>
          <cell r="M35">
            <v>0.57043671282738384</v>
          </cell>
          <cell r="N35">
            <v>0.66935991756253377</v>
          </cell>
          <cell r="O35">
            <v>0.75591772170578986</v>
          </cell>
          <cell r="P35">
            <v>0.82720061923553012</v>
          </cell>
          <cell r="Q35">
            <v>0.88264287286977261</v>
          </cell>
          <cell r="R35">
            <v>0.92349505975816193</v>
          </cell>
          <cell r="S35">
            <v>0.95209159058003434</v>
          </cell>
          <cell r="T35">
            <v>0.97115594446128262</v>
          </cell>
          <cell r="U35">
            <v>0.98328780602207699</v>
          </cell>
          <cell r="V35">
            <v>0.99067241740690848</v>
          </cell>
          <cell r="W35">
            <v>0.99498010738139331</v>
          </cell>
        </row>
        <row r="36">
          <cell r="A36" t="str">
            <v>HVAC</v>
          </cell>
          <cell r="B36" t="str">
            <v>Advanced Rooftop Controller-Retro</v>
          </cell>
          <cell r="C36" t="str">
            <v>Retro3Slow</v>
          </cell>
          <cell r="D36">
            <v>5.5320496977002724E-3</v>
          </cell>
          <cell r="E36">
            <v>8.6958686465615706E-3</v>
          </cell>
          <cell r="F36">
            <v>1.7391737293123145E-2</v>
          </cell>
          <cell r="G36">
            <v>3.0435540262965514E-2</v>
          </cell>
          <cell r="H36">
            <v>4.7344173742390784E-2</v>
          </cell>
          <cell r="I36">
            <v>6.6281843239347063E-2</v>
          </cell>
          <cell r="J36">
            <v>8.4358709577350838E-2</v>
          </cell>
          <cell r="K36">
            <v>9.8418494506909315E-2</v>
          </cell>
          <cell r="L36">
            <v>0.10598914793051767</v>
          </cell>
          <cell r="M36">
            <v>0.10598914793051767</v>
          </cell>
          <cell r="N36">
            <v>9.8923204735149928E-2</v>
          </cell>
          <cell r="O36">
            <v>8.655780414325609E-2</v>
          </cell>
          <cell r="P36">
            <v>7.1282897529740263E-2</v>
          </cell>
          <cell r="Q36">
            <v>5.5442253634242489E-2</v>
          </cell>
          <cell r="R36">
            <v>4.0852186888389319E-2</v>
          </cell>
          <cell r="S36">
            <v>2.8596530821872412E-2</v>
          </cell>
          <cell r="T36">
            <v>1.9064353881248275E-2</v>
          </cell>
          <cell r="U36">
            <v>1.2131861560794377E-2</v>
          </cell>
          <cell r="V36">
            <v>7.3846113848314854E-3</v>
          </cell>
          <cell r="W36">
            <v>4.3076899744848296E-3</v>
          </cell>
        </row>
        <row r="37">
          <cell r="A37" t="str">
            <v>HVAC</v>
          </cell>
          <cell r="B37" t="str">
            <v>Variable Speed Chiller-New</v>
          </cell>
          <cell r="C37" t="str">
            <v>LO50Fast</v>
          </cell>
          <cell r="D37">
            <v>0.45</v>
          </cell>
          <cell r="E37">
            <v>0.66</v>
          </cell>
          <cell r="F37">
            <v>0.8</v>
          </cell>
          <cell r="G37">
            <v>0.89</v>
          </cell>
          <cell r="H37">
            <v>0.94954036260972652</v>
          </cell>
          <cell r="I37">
            <v>0.97931054391458994</v>
          </cell>
          <cell r="J37">
            <v>0.99254173560564019</v>
          </cell>
          <cell r="K37">
            <v>0.99783421228206048</v>
          </cell>
          <cell r="L37">
            <v>0.99975874925530417</v>
          </cell>
          <cell r="M37">
            <v>1.0004002615797187</v>
          </cell>
          <cell r="N37">
            <v>1.0005976499872309</v>
          </cell>
          <cell r="O37">
            <v>1.0006540466750915</v>
          </cell>
          <cell r="P37">
            <v>1.0006690857918545</v>
          </cell>
          <cell r="Q37">
            <v>1.000672845571045</v>
          </cell>
          <cell r="R37">
            <v>1.0006737302249724</v>
          </cell>
          <cell r="S37">
            <v>1.0006739268147338</v>
          </cell>
          <cell r="T37">
            <v>1.0006739682020522</v>
          </cell>
          <cell r="U37">
            <v>1.0006739764795158</v>
          </cell>
          <cell r="V37">
            <v>1.0006739780561755</v>
          </cell>
          <cell r="W37">
            <v>1.0006739783428409</v>
          </cell>
        </row>
        <row r="38">
          <cell r="A38" t="str">
            <v>HVAC</v>
          </cell>
          <cell r="B38" t="str">
            <v>Variable Speed Chiller-NR</v>
          </cell>
          <cell r="C38" t="str">
            <v>LO50Fast</v>
          </cell>
          <cell r="D38">
            <v>0.45</v>
          </cell>
          <cell r="E38">
            <v>0.66</v>
          </cell>
          <cell r="F38">
            <v>0.8</v>
          </cell>
          <cell r="G38">
            <v>0.89</v>
          </cell>
          <cell r="H38">
            <v>0.94954036260972652</v>
          </cell>
          <cell r="I38">
            <v>0.97931054391458994</v>
          </cell>
          <cell r="J38">
            <v>0.99254173560564019</v>
          </cell>
          <cell r="K38">
            <v>0.99783421228206048</v>
          </cell>
          <cell r="L38">
            <v>0.99975874925530417</v>
          </cell>
          <cell r="M38">
            <v>1.0004002615797187</v>
          </cell>
          <cell r="N38">
            <v>1.0005976499872309</v>
          </cell>
          <cell r="O38">
            <v>1.0006540466750915</v>
          </cell>
          <cell r="P38">
            <v>1.0006690857918545</v>
          </cell>
          <cell r="Q38">
            <v>1.000672845571045</v>
          </cell>
          <cell r="R38">
            <v>1.0006737302249724</v>
          </cell>
          <cell r="S38">
            <v>1.0006739268147338</v>
          </cell>
          <cell r="T38">
            <v>1.0006739682020522</v>
          </cell>
          <cell r="U38">
            <v>1.0006739764795158</v>
          </cell>
          <cell r="V38">
            <v>1.0006739780561755</v>
          </cell>
          <cell r="W38">
            <v>1.0006739783428409</v>
          </cell>
        </row>
        <row r="39">
          <cell r="A39" t="str">
            <v>HVAC</v>
          </cell>
          <cell r="B39" t="str">
            <v>Commercial EM-New</v>
          </cell>
          <cell r="C39" t="str">
            <v>LO1Slow</v>
          </cell>
          <cell r="D39">
            <v>2.5643970768378654E-3</v>
          </cell>
          <cell r="E39">
            <v>7.6904586297764643E-3</v>
          </cell>
          <cell r="F39">
            <v>1.6792013047419844E-2</v>
          </cell>
          <cell r="G39">
            <v>3.15969387774655E-2</v>
          </cell>
          <cell r="H39">
            <v>5.406874819795171E-2</v>
          </cell>
          <cell r="I39">
            <v>8.6253181011834101E-2</v>
          </cell>
          <cell r="J39">
            <v>0.1300328481838382</v>
          </cell>
          <cell r="K39">
            <v>0.18678710893858319</v>
          </cell>
          <cell r="L39">
            <v>0.2569823480072907</v>
          </cell>
          <cell r="M39">
            <v>0.33975920985004748</v>
          </cell>
          <cell r="N39">
            <v>0.43262946935754232</v>
          </cell>
          <cell r="O39">
            <v>0.53142594003645804</v>
          </cell>
          <cell r="P39">
            <v>0.63063487292644704</v>
          </cell>
          <cell r="Q39">
            <v>0.7241560234206913</v>
          </cell>
          <cell r="R39">
            <v>0.80638203131755359</v>
          </cell>
          <cell r="S39">
            <v>0.87331559734491926</v>
          </cell>
          <cell r="T39">
            <v>0.92334516248836807</v>
          </cell>
          <cell r="U39">
            <v>0.95737002770730018</v>
          </cell>
          <cell r="V39">
            <v>0.97821608704807483</v>
          </cell>
          <cell r="W39">
            <v>0.98821608704807484</v>
          </cell>
        </row>
        <row r="40">
          <cell r="A40" t="str">
            <v>HVAC</v>
          </cell>
          <cell r="B40" t="str">
            <v>Commercial EM-NR</v>
          </cell>
          <cell r="C40" t="str">
            <v>LO12Med</v>
          </cell>
          <cell r="D40">
            <v>0.10937459468255628</v>
          </cell>
          <cell r="E40">
            <v>0.21874918936511256</v>
          </cell>
          <cell r="F40">
            <v>0.32812378404766884</v>
          </cell>
          <cell r="G40">
            <v>0.43749837873022512</v>
          </cell>
          <cell r="H40">
            <v>0.5468729734127814</v>
          </cell>
          <cell r="I40">
            <v>0.64531010862708205</v>
          </cell>
          <cell r="J40">
            <v>0.7240598167985226</v>
          </cell>
          <cell r="K40">
            <v>0.78705958333567505</v>
          </cell>
          <cell r="L40">
            <v>0.83745939656539703</v>
          </cell>
          <cell r="M40">
            <v>0.87777924714917455</v>
          </cell>
          <cell r="N40">
            <v>0.91003512761619654</v>
          </cell>
          <cell r="O40">
            <v>0.93583983198981413</v>
          </cell>
          <cell r="P40">
            <v>0.9564835954887082</v>
          </cell>
          <cell r="Q40">
            <v>0.97299860628782353</v>
          </cell>
          <cell r="R40">
            <v>0.9862106149271157</v>
          </cell>
          <cell r="S40">
            <v>0.99678022183854953</v>
          </cell>
          <cell r="T40">
            <v>0.99685231466234414</v>
          </cell>
          <cell r="U40">
            <v>0.99687806209941365</v>
          </cell>
          <cell r="V40">
            <v>0.99688683963477831</v>
          </cell>
          <cell r="W40">
            <v>0.99688970187457115</v>
          </cell>
        </row>
        <row r="41">
          <cell r="A41" t="str">
            <v>HVAC</v>
          </cell>
          <cell r="B41" t="str">
            <v>Commercial EM-Retro</v>
          </cell>
          <cell r="C41" t="str">
            <v>Retro12Med</v>
          </cell>
          <cell r="D41">
            <v>0.10937459468255628</v>
          </cell>
          <cell r="E41">
            <v>0.10937459468255628</v>
          </cell>
          <cell r="F41">
            <v>0.10937459468255628</v>
          </cell>
          <cell r="G41">
            <v>0.10937459468255628</v>
          </cell>
          <cell r="H41">
            <v>0.10937459468255628</v>
          </cell>
          <cell r="I41">
            <v>9.8437135214300656E-2</v>
          </cell>
          <cell r="J41">
            <v>7.874970817144053E-2</v>
          </cell>
          <cell r="K41">
            <v>6.2999766537152418E-2</v>
          </cell>
          <cell r="L41">
            <v>5.0399813229721938E-2</v>
          </cell>
          <cell r="M41">
            <v>4.0319850583777551E-2</v>
          </cell>
          <cell r="N41">
            <v>3.225588046702204E-2</v>
          </cell>
          <cell r="O41">
            <v>2.5804704373617631E-2</v>
          </cell>
          <cell r="P41">
            <v>2.0643763498894106E-2</v>
          </cell>
          <cell r="Q41">
            <v>1.6515010799115284E-2</v>
          </cell>
          <cell r="R41">
            <v>1.3212008639292228E-2</v>
          </cell>
          <cell r="S41">
            <v>1.0569606911433781E-2</v>
          </cell>
          <cell r="T41">
            <v>7.2092823794611682E-5</v>
          </cell>
          <cell r="U41">
            <v>2.5747437069512102E-5</v>
          </cell>
          <cell r="V41">
            <v>8.7775353646568632E-6</v>
          </cell>
          <cell r="W41">
            <v>2.8622397928446119E-6</v>
          </cell>
        </row>
        <row r="42">
          <cell r="A42" t="str">
            <v>HVAC</v>
          </cell>
          <cell r="B42" t="str">
            <v>Evaporative Assist Cooling-New</v>
          </cell>
          <cell r="C42" t="str">
            <v>LO1Slow</v>
          </cell>
          <cell r="D42">
            <v>2.5643970768378654E-3</v>
          </cell>
          <cell r="E42">
            <v>7.6904586297764643E-3</v>
          </cell>
          <cell r="F42">
            <v>1.6792013047419844E-2</v>
          </cell>
          <cell r="G42">
            <v>3.15969387774655E-2</v>
          </cell>
          <cell r="H42">
            <v>5.406874819795171E-2</v>
          </cell>
          <cell r="I42">
            <v>8.6253181011834101E-2</v>
          </cell>
          <cell r="J42">
            <v>0.1300328481838382</v>
          </cell>
          <cell r="K42">
            <v>0.18678710893858319</v>
          </cell>
          <cell r="L42">
            <v>0.2569823480072907</v>
          </cell>
          <cell r="M42">
            <v>0.33975920985004748</v>
          </cell>
          <cell r="N42">
            <v>0.43262946935754232</v>
          </cell>
          <cell r="O42">
            <v>0.53142594003645804</v>
          </cell>
          <cell r="P42">
            <v>0.63063487292644704</v>
          </cell>
          <cell r="Q42">
            <v>0.7241560234206913</v>
          </cell>
          <cell r="R42">
            <v>0.80638203131755359</v>
          </cell>
          <cell r="S42">
            <v>0.87331559734491926</v>
          </cell>
          <cell r="T42">
            <v>0.92334516248836807</v>
          </cell>
          <cell r="U42">
            <v>0.95737002770730018</v>
          </cell>
          <cell r="V42">
            <v>0.97821608704807483</v>
          </cell>
          <cell r="W42">
            <v>0.98821608704807484</v>
          </cell>
        </row>
        <row r="43">
          <cell r="A43" t="str">
            <v>HVAC</v>
          </cell>
          <cell r="B43" t="str">
            <v>Evaporative Assist Cooling-NR</v>
          </cell>
          <cell r="C43" t="str">
            <v>LO1Slow</v>
          </cell>
          <cell r="D43">
            <v>2.5643970768378654E-3</v>
          </cell>
          <cell r="E43">
            <v>7.6904586297764643E-3</v>
          </cell>
          <cell r="F43">
            <v>1.6792013047419844E-2</v>
          </cell>
          <cell r="G43">
            <v>3.15969387774655E-2</v>
          </cell>
          <cell r="H43">
            <v>5.406874819795171E-2</v>
          </cell>
          <cell r="I43">
            <v>8.6253181011834101E-2</v>
          </cell>
          <cell r="J43">
            <v>0.1300328481838382</v>
          </cell>
          <cell r="K43">
            <v>0.18678710893858319</v>
          </cell>
          <cell r="L43">
            <v>0.2569823480072907</v>
          </cell>
          <cell r="M43">
            <v>0.33975920985004748</v>
          </cell>
          <cell r="N43">
            <v>0.43262946935754232</v>
          </cell>
          <cell r="O43">
            <v>0.53142594003645804</v>
          </cell>
          <cell r="P43">
            <v>0.63063487292644704</v>
          </cell>
          <cell r="Q43">
            <v>0.7241560234206913</v>
          </cell>
          <cell r="R43">
            <v>0.80638203131755359</v>
          </cell>
          <cell r="S43">
            <v>0.87331559734491926</v>
          </cell>
          <cell r="T43">
            <v>0.92334516248836807</v>
          </cell>
          <cell r="U43">
            <v>0.95737002770730018</v>
          </cell>
          <cell r="V43">
            <v>0.97821608704807483</v>
          </cell>
          <cell r="W43">
            <v>0.98821608704807484</v>
          </cell>
        </row>
        <row r="44">
          <cell r="A44" t="str">
            <v>HVAC</v>
          </cell>
          <cell r="B44" t="str">
            <v>Economizer-Retro</v>
          </cell>
          <cell r="C44" t="str">
            <v>Retro12Med</v>
          </cell>
          <cell r="D44">
            <v>0.10937459468255628</v>
          </cell>
          <cell r="E44">
            <v>0.10937459468255628</v>
          </cell>
          <cell r="F44">
            <v>0.10937459468255628</v>
          </cell>
          <cell r="G44">
            <v>0.10937459468255628</v>
          </cell>
          <cell r="H44">
            <v>0.10937459468255628</v>
          </cell>
          <cell r="I44">
            <v>9.8437135214300656E-2</v>
          </cell>
          <cell r="J44">
            <v>7.874970817144053E-2</v>
          </cell>
          <cell r="K44">
            <v>6.2999766537152418E-2</v>
          </cell>
          <cell r="L44">
            <v>5.0399813229721938E-2</v>
          </cell>
          <cell r="M44">
            <v>4.0319850583777551E-2</v>
          </cell>
          <cell r="N44">
            <v>3.225588046702204E-2</v>
          </cell>
          <cell r="O44">
            <v>2.5804704373617631E-2</v>
          </cell>
          <cell r="P44">
            <v>2.0643763498894106E-2</v>
          </cell>
          <cell r="Q44">
            <v>1.6515010799115284E-2</v>
          </cell>
          <cell r="R44">
            <v>1.3212008639292228E-2</v>
          </cell>
          <cell r="S44">
            <v>1.0569606911433781E-2</v>
          </cell>
          <cell r="T44">
            <v>7.2092823794611682E-5</v>
          </cell>
          <cell r="U44">
            <v>2.5747437069512102E-5</v>
          </cell>
          <cell r="V44">
            <v>8.7775353646568632E-6</v>
          </cell>
          <cell r="W44">
            <v>2.8622397928446119E-6</v>
          </cell>
        </row>
        <row r="45">
          <cell r="A45" t="str">
            <v>HVAC</v>
          </cell>
          <cell r="B45" t="str">
            <v>Demand Control Ventilation-New</v>
          </cell>
          <cell r="C45" t="str">
            <v>LOEven20</v>
          </cell>
          <cell r="D45">
            <v>0.05</v>
          </cell>
          <cell r="E45">
            <v>0.1</v>
          </cell>
          <cell r="F45">
            <v>0.15000000000000002</v>
          </cell>
          <cell r="G45">
            <v>0.2</v>
          </cell>
          <cell r="H45">
            <v>0.25</v>
          </cell>
          <cell r="I45">
            <v>0.3</v>
          </cell>
          <cell r="J45">
            <v>0.35</v>
          </cell>
          <cell r="K45">
            <v>0.39999999999999997</v>
          </cell>
          <cell r="L45">
            <v>0.44999999999999996</v>
          </cell>
          <cell r="M45">
            <v>0.49999999999999994</v>
          </cell>
          <cell r="N45">
            <v>0.54999999999999993</v>
          </cell>
          <cell r="O45">
            <v>0.6</v>
          </cell>
          <cell r="P45">
            <v>0.65</v>
          </cell>
          <cell r="Q45">
            <v>0.70000000000000007</v>
          </cell>
          <cell r="R45">
            <v>0.75000000000000011</v>
          </cell>
          <cell r="S45">
            <v>0.80000000000000016</v>
          </cell>
          <cell r="T45">
            <v>0.8500000000000002</v>
          </cell>
          <cell r="U45">
            <v>0.90000000000000024</v>
          </cell>
          <cell r="V45">
            <v>0.95000000000000029</v>
          </cell>
          <cell r="W45">
            <v>1.0000000000000002</v>
          </cell>
        </row>
        <row r="46">
          <cell r="A46" t="str">
            <v>HVAC</v>
          </cell>
          <cell r="B46" t="str">
            <v>Demand Control Ventilation-NR</v>
          </cell>
          <cell r="C46" t="str">
            <v>LOEven20</v>
          </cell>
          <cell r="D46">
            <v>0.05</v>
          </cell>
          <cell r="E46">
            <v>0.1</v>
          </cell>
          <cell r="F46">
            <v>0.15000000000000002</v>
          </cell>
          <cell r="G46">
            <v>0.2</v>
          </cell>
          <cell r="H46">
            <v>0.25</v>
          </cell>
          <cell r="I46">
            <v>0.3</v>
          </cell>
          <cell r="J46">
            <v>0.35</v>
          </cell>
          <cell r="K46">
            <v>0.39999999999999997</v>
          </cell>
          <cell r="L46">
            <v>0.44999999999999996</v>
          </cell>
          <cell r="M46">
            <v>0.49999999999999994</v>
          </cell>
          <cell r="N46">
            <v>0.54999999999999993</v>
          </cell>
          <cell r="O46">
            <v>0.6</v>
          </cell>
          <cell r="P46">
            <v>0.65</v>
          </cell>
          <cell r="Q46">
            <v>0.70000000000000007</v>
          </cell>
          <cell r="R46">
            <v>0.75000000000000011</v>
          </cell>
          <cell r="S46">
            <v>0.80000000000000016</v>
          </cell>
          <cell r="T46">
            <v>0.8500000000000002</v>
          </cell>
          <cell r="U46">
            <v>0.90000000000000024</v>
          </cell>
          <cell r="V46">
            <v>0.95000000000000029</v>
          </cell>
          <cell r="W46">
            <v>1.0000000000000002</v>
          </cell>
        </row>
        <row r="47">
          <cell r="A47" t="str">
            <v>HVAC</v>
          </cell>
          <cell r="B47" t="str">
            <v>Demand Control Ventilation-Retro</v>
          </cell>
          <cell r="C47" t="str">
            <v>Retro12Med</v>
          </cell>
          <cell r="D47">
            <v>0.10937459468255628</v>
          </cell>
          <cell r="E47">
            <v>0.10937459468255628</v>
          </cell>
          <cell r="F47">
            <v>0.10937459468255628</v>
          </cell>
          <cell r="G47">
            <v>0.10937459468255628</v>
          </cell>
          <cell r="H47">
            <v>0.10937459468255628</v>
          </cell>
          <cell r="I47">
            <v>9.8437135214300656E-2</v>
          </cell>
          <cell r="J47">
            <v>7.874970817144053E-2</v>
          </cell>
          <cell r="K47">
            <v>6.2999766537152418E-2</v>
          </cell>
          <cell r="L47">
            <v>5.0399813229721938E-2</v>
          </cell>
          <cell r="M47">
            <v>4.0319850583777551E-2</v>
          </cell>
          <cell r="N47">
            <v>3.225588046702204E-2</v>
          </cell>
          <cell r="O47">
            <v>2.5804704373617631E-2</v>
          </cell>
          <cell r="P47">
            <v>2.0643763498894106E-2</v>
          </cell>
          <cell r="Q47">
            <v>1.6515010799115284E-2</v>
          </cell>
          <cell r="R47">
            <v>1.3212008639292228E-2</v>
          </cell>
          <cell r="S47">
            <v>1.0569606911433781E-2</v>
          </cell>
          <cell r="T47">
            <v>7.2092823794611682E-5</v>
          </cell>
          <cell r="U47">
            <v>2.5747437069512102E-5</v>
          </cell>
          <cell r="V47">
            <v>8.7775353646568632E-6</v>
          </cell>
          <cell r="W47">
            <v>2.8622397928446119E-6</v>
          </cell>
        </row>
        <row r="48">
          <cell r="A48" t="str">
            <v>HVAC</v>
          </cell>
          <cell r="B48" t="str">
            <v>Premium Fume Hood-NR</v>
          </cell>
          <cell r="C48" t="str">
            <v>LOEven20</v>
          </cell>
          <cell r="D48">
            <v>0.05</v>
          </cell>
          <cell r="E48">
            <v>0.1</v>
          </cell>
          <cell r="F48">
            <v>0.15000000000000002</v>
          </cell>
          <cell r="G48">
            <v>0.2</v>
          </cell>
          <cell r="H48">
            <v>0.25</v>
          </cell>
          <cell r="I48">
            <v>0.3</v>
          </cell>
          <cell r="J48">
            <v>0.35</v>
          </cell>
          <cell r="K48">
            <v>0.39999999999999997</v>
          </cell>
          <cell r="L48">
            <v>0.44999999999999996</v>
          </cell>
          <cell r="M48">
            <v>0.49999999999999994</v>
          </cell>
          <cell r="N48">
            <v>0.54999999999999993</v>
          </cell>
          <cell r="O48">
            <v>0.6</v>
          </cell>
          <cell r="P48">
            <v>0.65</v>
          </cell>
          <cell r="Q48">
            <v>0.70000000000000007</v>
          </cell>
          <cell r="R48">
            <v>0.75000000000000011</v>
          </cell>
          <cell r="S48">
            <v>0.80000000000000016</v>
          </cell>
          <cell r="T48">
            <v>0.8500000000000002</v>
          </cell>
          <cell r="U48">
            <v>0.90000000000000024</v>
          </cell>
          <cell r="V48">
            <v>0.95000000000000029</v>
          </cell>
          <cell r="W48">
            <v>1.0000000000000002</v>
          </cell>
        </row>
        <row r="49">
          <cell r="A49" t="str">
            <v>HVAC</v>
          </cell>
          <cell r="B49" t="str">
            <v>DCV Restaurant Hood-Retro</v>
          </cell>
          <cell r="C49" t="str">
            <v>Retro20Fast</v>
          </cell>
          <cell r="D49">
            <v>0.22119921692859512</v>
          </cell>
          <cell r="E49">
            <v>0.15504311102289431</v>
          </cell>
          <cell r="F49">
            <v>0.10733128557729499</v>
          </cell>
          <cell r="G49">
            <v>8.3589689255657879E-2</v>
          </cell>
          <cell r="H49">
            <v>7.3237179880126971E-2</v>
          </cell>
          <cell r="I49">
            <v>6.3374636711760357E-2</v>
          </cell>
          <cell r="J49">
            <v>5.4291838367783084E-2</v>
          </cell>
          <cell r="K49">
            <v>4.612639225659896E-2</v>
          </cell>
          <cell r="L49">
            <v>3.8916876277172864E-2</v>
          </cell>
          <cell r="M49">
            <v>3.2639916313151704E-2</v>
          </cell>
          <cell r="N49">
            <v>2.7235706125786907E-2</v>
          </cell>
          <cell r="O49">
            <v>2.1211189258265428E-2</v>
          </cell>
          <cell r="P49">
            <v>1.6519290804212883E-2</v>
          </cell>
          <cell r="Q49">
            <v>1.2865236614105324E-2</v>
          </cell>
          <cell r="R49">
            <v>1.0019456349464106E-2</v>
          </cell>
          <cell r="S49">
            <v>7.8031604509122832E-3</v>
          </cell>
          <cell r="T49">
            <v>6.077107469602494E-3</v>
          </cell>
          <cell r="U49">
            <v>4.7328560561354371E-3</v>
          </cell>
          <cell r="V49">
            <v>3.6859520026825132E-3</v>
          </cell>
          <cell r="W49">
            <v>2.8706223060526725E-3</v>
          </cell>
        </row>
        <row r="50">
          <cell r="A50" t="str">
            <v>HVAC</v>
          </cell>
          <cell r="B50" t="str">
            <v>DCV Parking Garage-Retro</v>
          </cell>
          <cell r="C50" t="str">
            <v>Retro12Med</v>
          </cell>
          <cell r="D50">
            <v>0.10937459468255628</v>
          </cell>
          <cell r="E50">
            <v>0.10937459468255628</v>
          </cell>
          <cell r="F50">
            <v>0.10937459468255628</v>
          </cell>
          <cell r="G50">
            <v>0.10937459468255628</v>
          </cell>
          <cell r="H50">
            <v>0.10937459468255628</v>
          </cell>
          <cell r="I50">
            <v>9.8437135214300656E-2</v>
          </cell>
          <cell r="J50">
            <v>7.874970817144053E-2</v>
          </cell>
          <cell r="K50">
            <v>6.2999766537152418E-2</v>
          </cell>
          <cell r="L50">
            <v>5.0399813229721938E-2</v>
          </cell>
          <cell r="M50">
            <v>4.0319850583777551E-2</v>
          </cell>
          <cell r="N50">
            <v>3.225588046702204E-2</v>
          </cell>
          <cell r="O50">
            <v>2.5804704373617631E-2</v>
          </cell>
          <cell r="P50">
            <v>2.0643763498894106E-2</v>
          </cell>
          <cell r="Q50">
            <v>1.6515010799115284E-2</v>
          </cell>
          <cell r="R50">
            <v>1.3212008639292228E-2</v>
          </cell>
          <cell r="S50">
            <v>1.0569606911433781E-2</v>
          </cell>
          <cell r="T50">
            <v>7.2092823794611682E-5</v>
          </cell>
          <cell r="U50">
            <v>2.5747437069512102E-5</v>
          </cell>
          <cell r="V50">
            <v>8.7775353646568632E-6</v>
          </cell>
          <cell r="W50">
            <v>2.8622397928446119E-6</v>
          </cell>
        </row>
        <row r="51">
          <cell r="A51" t="str">
            <v>HVAC</v>
          </cell>
          <cell r="B51" t="str">
            <v>Weatherization - School-Retro</v>
          </cell>
          <cell r="C51" t="str">
            <v>RetroEven20</v>
          </cell>
          <cell r="D51">
            <v>0.05</v>
          </cell>
          <cell r="E51">
            <v>0.05</v>
          </cell>
          <cell r="F51">
            <v>0.05</v>
          </cell>
          <cell r="G51">
            <v>0.05</v>
          </cell>
          <cell r="H51">
            <v>0.05</v>
          </cell>
          <cell r="I51">
            <v>0.05</v>
          </cell>
          <cell r="J51">
            <v>0.05</v>
          </cell>
          <cell r="K51">
            <v>0.05</v>
          </cell>
          <cell r="L51">
            <v>0.05</v>
          </cell>
          <cell r="M51">
            <v>0.05</v>
          </cell>
          <cell r="N51">
            <v>0.05</v>
          </cell>
          <cell r="O51">
            <v>0.05</v>
          </cell>
          <cell r="P51">
            <v>0.05</v>
          </cell>
          <cell r="Q51">
            <v>0.05</v>
          </cell>
          <cell r="R51">
            <v>0.05</v>
          </cell>
          <cell r="S51">
            <v>0.05</v>
          </cell>
          <cell r="T51">
            <v>0.05</v>
          </cell>
          <cell r="U51">
            <v>0.05</v>
          </cell>
          <cell r="V51">
            <v>0.05</v>
          </cell>
          <cell r="W51">
            <v>0.05</v>
          </cell>
        </row>
        <row r="52">
          <cell r="A52" t="str">
            <v>HVAC</v>
          </cell>
          <cell r="B52" t="str">
            <v>Energy Recovery Ventilator-NR</v>
          </cell>
          <cell r="C52" t="str">
            <v>LO5Med</v>
          </cell>
          <cell r="D52">
            <v>4.2999999999999997E-2</v>
          </cell>
          <cell r="E52">
            <v>9.5797142280278316E-2</v>
          </cell>
          <cell r="F52">
            <v>0.16040539374775648</v>
          </cell>
          <cell r="G52">
            <v>0.23540539374775649</v>
          </cell>
          <cell r="H52">
            <v>0.32095239121809005</v>
          </cell>
          <cell r="I52">
            <v>0.42096711425629652</v>
          </cell>
          <cell r="J52">
            <v>0.53068481860864725</v>
          </cell>
          <cell r="K52">
            <v>0.642769203728351</v>
          </cell>
          <cell r="L52">
            <v>0.74839528535557953</v>
          </cell>
          <cell r="M52">
            <v>0.83918984935345187</v>
          </cell>
          <cell r="N52">
            <v>0.90945051634530116</v>
          </cell>
          <cell r="O52">
            <v>0.9576688767502457</v>
          </cell>
          <cell r="P52">
            <v>0.9865231113648858</v>
          </cell>
          <cell r="Q52">
            <v>1.0012970762896924</v>
          </cell>
          <cell r="R52">
            <v>1.0076356106578106</v>
          </cell>
          <cell r="S52">
            <v>1.0098624683774413</v>
          </cell>
          <cell r="T52">
            <v>1.0104871783970797</v>
          </cell>
          <cell r="U52">
            <v>1.010623336815976</v>
          </cell>
          <cell r="V52">
            <v>1.0106457174525985</v>
          </cell>
          <cell r="W52">
            <v>1.0106484038909742</v>
          </cell>
        </row>
        <row r="53">
          <cell r="A53" t="str">
            <v>HVAC</v>
          </cell>
          <cell r="B53" t="str">
            <v>AC Heat Recovery for Water Heating-NR</v>
          </cell>
          <cell r="C53" t="str">
            <v>LO5Med</v>
          </cell>
          <cell r="D53">
            <v>4.2999999999999997E-2</v>
          </cell>
          <cell r="E53">
            <v>9.5797142280278316E-2</v>
          </cell>
          <cell r="F53">
            <v>0.16040539374775648</v>
          </cell>
          <cell r="G53">
            <v>0.23540539374775649</v>
          </cell>
          <cell r="H53">
            <v>0.32095239121809005</v>
          </cell>
          <cell r="I53">
            <v>0.42096711425629652</v>
          </cell>
          <cell r="J53">
            <v>0.53068481860864725</v>
          </cell>
          <cell r="K53">
            <v>0.642769203728351</v>
          </cell>
          <cell r="L53">
            <v>0.74839528535557953</v>
          </cell>
          <cell r="M53">
            <v>0.83918984935345187</v>
          </cell>
          <cell r="N53">
            <v>0.90945051634530116</v>
          </cell>
          <cell r="O53">
            <v>0.9576688767502457</v>
          </cell>
          <cell r="P53">
            <v>0.9865231113648858</v>
          </cell>
          <cell r="Q53">
            <v>1.0012970762896924</v>
          </cell>
          <cell r="R53">
            <v>1.0076356106578106</v>
          </cell>
          <cell r="S53">
            <v>1.0098624683774413</v>
          </cell>
          <cell r="T53">
            <v>1.0104871783970797</v>
          </cell>
          <cell r="U53">
            <v>1.010623336815976</v>
          </cell>
          <cell r="V53">
            <v>1.0106457174525985</v>
          </cell>
          <cell r="W53">
            <v>1.0106484038909742</v>
          </cell>
        </row>
        <row r="54">
          <cell r="A54" t="str">
            <v>HVAC</v>
          </cell>
          <cell r="B54" t="str">
            <v>Room Occupancy Sensors in Lodging-Retro</v>
          </cell>
          <cell r="C54" t="str">
            <v>LO5Med</v>
          </cell>
          <cell r="D54">
            <v>4.2999999999999997E-2</v>
          </cell>
          <cell r="E54">
            <v>9.5797142280278316E-2</v>
          </cell>
          <cell r="F54">
            <v>0.16040539374775648</v>
          </cell>
          <cell r="G54">
            <v>0.23540539374775649</v>
          </cell>
          <cell r="H54">
            <v>0.32095239121809005</v>
          </cell>
          <cell r="I54">
            <v>0.42096711425629652</v>
          </cell>
          <cell r="J54">
            <v>0.53068481860864725</v>
          </cell>
          <cell r="K54">
            <v>0.642769203728351</v>
          </cell>
          <cell r="L54">
            <v>0.74839528535557953</v>
          </cell>
          <cell r="M54">
            <v>0.83918984935345187</v>
          </cell>
          <cell r="N54">
            <v>0.90945051634530116</v>
          </cell>
          <cell r="O54">
            <v>0.9576688767502457</v>
          </cell>
          <cell r="P54">
            <v>0.9865231113648858</v>
          </cell>
          <cell r="Q54">
            <v>1.0012970762896924</v>
          </cell>
          <cell r="R54">
            <v>1.0076356106578106</v>
          </cell>
          <cell r="S54">
            <v>1.0098624683774413</v>
          </cell>
          <cell r="T54">
            <v>1.0104871783970797</v>
          </cell>
          <cell r="U54">
            <v>1.010623336815976</v>
          </cell>
          <cell r="V54">
            <v>1.0106457174525985</v>
          </cell>
          <cell r="W54">
            <v>1.0106484038909742</v>
          </cell>
        </row>
        <row r="55">
          <cell r="A55" t="str">
            <v>HVAC</v>
          </cell>
          <cell r="B55" t="str">
            <v>Chiller - chilled water retrofit-Retro</v>
          </cell>
          <cell r="C55" t="str">
            <v>Retro12Med</v>
          </cell>
          <cell r="D55">
            <v>0.10937459468255628</v>
          </cell>
          <cell r="E55">
            <v>0.10937459468255628</v>
          </cell>
          <cell r="F55">
            <v>0.10937459468255628</v>
          </cell>
          <cell r="G55">
            <v>0.10937459468255628</v>
          </cell>
          <cell r="H55">
            <v>0.10937459468255628</v>
          </cell>
          <cell r="I55">
            <v>9.8437135214300656E-2</v>
          </cell>
          <cell r="J55">
            <v>7.874970817144053E-2</v>
          </cell>
          <cell r="K55">
            <v>6.2999766537152418E-2</v>
          </cell>
          <cell r="L55">
            <v>5.0399813229721938E-2</v>
          </cell>
          <cell r="M55">
            <v>4.0319850583777551E-2</v>
          </cell>
          <cell r="N55">
            <v>3.225588046702204E-2</v>
          </cell>
          <cell r="O55">
            <v>2.5804704373617631E-2</v>
          </cell>
          <cell r="P55">
            <v>2.0643763498894106E-2</v>
          </cell>
          <cell r="Q55">
            <v>1.6515010799115284E-2</v>
          </cell>
          <cell r="R55">
            <v>1.3212008639292228E-2</v>
          </cell>
          <cell r="S55">
            <v>1.0569606911433781E-2</v>
          </cell>
          <cell r="T55">
            <v>7.2092823794611682E-5</v>
          </cell>
          <cell r="U55">
            <v>2.5747437069512102E-5</v>
          </cell>
          <cell r="V55">
            <v>8.7775353646568632E-6</v>
          </cell>
          <cell r="W55">
            <v>2.8622397928446119E-6</v>
          </cell>
        </row>
        <row r="56">
          <cell r="A56" t="str">
            <v>HVAC</v>
          </cell>
          <cell r="B56" t="str">
            <v>Chiller - equip retrofits-Retro</v>
          </cell>
          <cell r="C56" t="str">
            <v>Retro12Med</v>
          </cell>
          <cell r="D56">
            <v>0.10937459468255628</v>
          </cell>
          <cell r="E56">
            <v>0.10937459468255628</v>
          </cell>
          <cell r="F56">
            <v>0.10937459468255628</v>
          </cell>
          <cell r="G56">
            <v>0.10937459468255628</v>
          </cell>
          <cell r="H56">
            <v>0.10937459468255628</v>
          </cell>
          <cell r="I56">
            <v>9.8437135214300656E-2</v>
          </cell>
          <cell r="J56">
            <v>7.874970817144053E-2</v>
          </cell>
          <cell r="K56">
            <v>6.2999766537152418E-2</v>
          </cell>
          <cell r="L56">
            <v>5.0399813229721938E-2</v>
          </cell>
          <cell r="M56">
            <v>4.0319850583777551E-2</v>
          </cell>
          <cell r="N56">
            <v>3.225588046702204E-2</v>
          </cell>
          <cell r="O56">
            <v>2.5804704373617631E-2</v>
          </cell>
          <cell r="P56">
            <v>2.0643763498894106E-2</v>
          </cell>
          <cell r="Q56">
            <v>1.6515010799115284E-2</v>
          </cell>
          <cell r="R56">
            <v>1.3212008639292228E-2</v>
          </cell>
          <cell r="S56">
            <v>1.0569606911433781E-2</v>
          </cell>
          <cell r="T56">
            <v>7.2092823794611682E-5</v>
          </cell>
          <cell r="U56">
            <v>2.5747437069512102E-5</v>
          </cell>
          <cell r="V56">
            <v>8.7775353646568632E-6</v>
          </cell>
          <cell r="W56">
            <v>2.8622397928446119E-6</v>
          </cell>
        </row>
        <row r="57">
          <cell r="A57" t="str">
            <v>HVAC</v>
          </cell>
          <cell r="B57" t="str">
            <v>Pool Blankets-Retro</v>
          </cell>
          <cell r="C57" t="str">
            <v>Retro20Fast</v>
          </cell>
          <cell r="D57">
            <v>0.22119921692859512</v>
          </cell>
          <cell r="E57">
            <v>0.15504311102289431</v>
          </cell>
          <cell r="F57">
            <v>0.10733128557729499</v>
          </cell>
          <cell r="G57">
            <v>8.3589689255657879E-2</v>
          </cell>
          <cell r="H57">
            <v>7.3237179880126971E-2</v>
          </cell>
          <cell r="I57">
            <v>6.3374636711760357E-2</v>
          </cell>
          <cell r="J57">
            <v>5.4291838367783084E-2</v>
          </cell>
          <cell r="K57">
            <v>4.612639225659896E-2</v>
          </cell>
          <cell r="L57">
            <v>3.8916876277172864E-2</v>
          </cell>
          <cell r="M57">
            <v>3.2639916313151704E-2</v>
          </cell>
          <cell r="N57">
            <v>2.7235706125786907E-2</v>
          </cell>
          <cell r="O57">
            <v>2.1211189258265428E-2</v>
          </cell>
          <cell r="P57">
            <v>1.6519290804212883E-2</v>
          </cell>
          <cell r="Q57">
            <v>1.2865236614105324E-2</v>
          </cell>
          <cell r="R57">
            <v>1.0019456349464106E-2</v>
          </cell>
          <cell r="S57">
            <v>7.8031604509122832E-3</v>
          </cell>
          <cell r="T57">
            <v>6.077107469602494E-3</v>
          </cell>
          <cell r="U57">
            <v>4.7328560561354371E-3</v>
          </cell>
          <cell r="V57">
            <v>3.6859520026825132E-3</v>
          </cell>
          <cell r="W57">
            <v>2.8706223060526725E-3</v>
          </cell>
        </row>
        <row r="58">
          <cell r="A58" t="str">
            <v>HVAC</v>
          </cell>
          <cell r="B58" t="str">
            <v>Web-Enabled Thermostats-Retro</v>
          </cell>
          <cell r="C58" t="str">
            <v>Retro20Fast</v>
          </cell>
          <cell r="D58">
            <v>0.22119921692859512</v>
          </cell>
          <cell r="E58">
            <v>0.15504311102289431</v>
          </cell>
          <cell r="F58">
            <v>0.10733128557729499</v>
          </cell>
          <cell r="G58">
            <v>8.3589689255657879E-2</v>
          </cell>
          <cell r="H58">
            <v>7.3237179880126971E-2</v>
          </cell>
          <cell r="I58">
            <v>6.3374636711760357E-2</v>
          </cell>
          <cell r="J58">
            <v>5.4291838367783084E-2</v>
          </cell>
          <cell r="K58">
            <v>4.612639225659896E-2</v>
          </cell>
          <cell r="L58">
            <v>3.8916876277172864E-2</v>
          </cell>
          <cell r="M58">
            <v>3.2639916313151704E-2</v>
          </cell>
          <cell r="N58">
            <v>2.7235706125786907E-2</v>
          </cell>
          <cell r="O58">
            <v>2.1211189258265428E-2</v>
          </cell>
          <cell r="P58">
            <v>1.6519290804212883E-2</v>
          </cell>
          <cell r="Q58">
            <v>1.2865236614105324E-2</v>
          </cell>
          <cell r="R58">
            <v>1.0019456349464106E-2</v>
          </cell>
          <cell r="S58">
            <v>7.8031604509122832E-3</v>
          </cell>
          <cell r="T58">
            <v>6.077107469602494E-3</v>
          </cell>
          <cell r="U58">
            <v>4.7328560561354371E-3</v>
          </cell>
          <cell r="V58">
            <v>3.6859520026825132E-3</v>
          </cell>
          <cell r="W58">
            <v>2.8706223060526725E-3</v>
          </cell>
        </row>
        <row r="59">
          <cell r="A59" t="str">
            <v>HVAC</v>
          </cell>
          <cell r="B59" t="str">
            <v>Garage CO2 ventilation-Retro</v>
          </cell>
          <cell r="C59" t="str">
            <v>Retro20Fast</v>
          </cell>
          <cell r="D59">
            <v>0.22119921692859512</v>
          </cell>
          <cell r="E59">
            <v>0.15504311102289431</v>
          </cell>
          <cell r="F59">
            <v>0.10733128557729499</v>
          </cell>
          <cell r="G59">
            <v>8.3589689255657879E-2</v>
          </cell>
          <cell r="H59">
            <v>7.3237179880126971E-2</v>
          </cell>
          <cell r="I59">
            <v>6.3374636711760357E-2</v>
          </cell>
          <cell r="J59">
            <v>5.4291838367783084E-2</v>
          </cell>
          <cell r="K59">
            <v>4.612639225659896E-2</v>
          </cell>
          <cell r="L59">
            <v>3.8916876277172864E-2</v>
          </cell>
          <cell r="M59">
            <v>3.2639916313151704E-2</v>
          </cell>
          <cell r="N59">
            <v>2.7235706125786907E-2</v>
          </cell>
          <cell r="O59">
            <v>2.1211189258265428E-2</v>
          </cell>
          <cell r="P59">
            <v>1.6519290804212883E-2</v>
          </cell>
          <cell r="Q59">
            <v>1.2865236614105324E-2</v>
          </cell>
          <cell r="R59">
            <v>1.0019456349464106E-2</v>
          </cell>
          <cell r="S59">
            <v>7.8031604509122832E-3</v>
          </cell>
          <cell r="T59">
            <v>6.077107469602494E-3</v>
          </cell>
          <cell r="U59">
            <v>4.7328560561354371E-3</v>
          </cell>
          <cell r="V59">
            <v>3.6859520026825132E-3</v>
          </cell>
          <cell r="W59">
            <v>2.8706223060526725E-3</v>
          </cell>
        </row>
        <row r="60">
          <cell r="A60" t="str">
            <v>HVAC</v>
          </cell>
          <cell r="B60" t="str">
            <v>Circ Pump ECM and drive-Retro</v>
          </cell>
          <cell r="C60" t="str">
            <v>Retro20Fast</v>
          </cell>
          <cell r="D60">
            <v>0.22119921692859512</v>
          </cell>
          <cell r="E60">
            <v>0.15504311102289431</v>
          </cell>
          <cell r="F60">
            <v>0.10733128557729499</v>
          </cell>
          <cell r="G60">
            <v>8.3589689255657879E-2</v>
          </cell>
          <cell r="H60">
            <v>7.3237179880126971E-2</v>
          </cell>
          <cell r="I60">
            <v>6.3374636711760357E-2</v>
          </cell>
          <cell r="J60">
            <v>5.4291838367783084E-2</v>
          </cell>
          <cell r="K60">
            <v>4.612639225659896E-2</v>
          </cell>
          <cell r="L60">
            <v>3.8916876277172864E-2</v>
          </cell>
          <cell r="M60">
            <v>3.2639916313151704E-2</v>
          </cell>
          <cell r="N60">
            <v>2.7235706125786907E-2</v>
          </cell>
          <cell r="O60">
            <v>2.1211189258265428E-2</v>
          </cell>
          <cell r="P60">
            <v>1.6519290804212883E-2</v>
          </cell>
          <cell r="Q60">
            <v>1.2865236614105324E-2</v>
          </cell>
          <cell r="R60">
            <v>1.0019456349464106E-2</v>
          </cell>
          <cell r="S60">
            <v>7.8031604509122832E-3</v>
          </cell>
          <cell r="T60">
            <v>6.077107469602494E-3</v>
          </cell>
          <cell r="U60">
            <v>4.7328560561354371E-3</v>
          </cell>
          <cell r="V60">
            <v>3.6859520026825132E-3</v>
          </cell>
          <cell r="W60">
            <v>2.8706223060526725E-3</v>
          </cell>
        </row>
        <row r="61">
          <cell r="A61" t="str">
            <v>HVAC</v>
          </cell>
          <cell r="B61" t="str">
            <v>VRF-New</v>
          </cell>
          <cell r="C61" t="str">
            <v>LO1Slow</v>
          </cell>
          <cell r="D61">
            <v>2.5643970768378654E-3</v>
          </cell>
          <cell r="E61">
            <v>7.6904586297764643E-3</v>
          </cell>
          <cell r="F61">
            <v>1.6792013047419844E-2</v>
          </cell>
          <cell r="G61">
            <v>3.15969387774655E-2</v>
          </cell>
          <cell r="H61">
            <v>5.406874819795171E-2</v>
          </cell>
          <cell r="I61">
            <v>8.6253181011834101E-2</v>
          </cell>
          <cell r="J61">
            <v>0.1300328481838382</v>
          </cell>
          <cell r="K61">
            <v>0.18678710893858319</v>
          </cell>
          <cell r="L61">
            <v>0.2569823480072907</v>
          </cell>
          <cell r="M61">
            <v>0.33975920985004748</v>
          </cell>
          <cell r="N61">
            <v>0.43262946935754232</v>
          </cell>
          <cell r="O61">
            <v>0.53142594003645804</v>
          </cell>
          <cell r="P61">
            <v>0.63063487292644704</v>
          </cell>
          <cell r="Q61">
            <v>0.7241560234206913</v>
          </cell>
          <cell r="R61">
            <v>0.80638203131755359</v>
          </cell>
          <cell r="S61">
            <v>0.87331559734491926</v>
          </cell>
          <cell r="T61">
            <v>0.92334516248836807</v>
          </cell>
          <cell r="U61">
            <v>0.95737002770730018</v>
          </cell>
          <cell r="V61">
            <v>0.97821608704807483</v>
          </cell>
          <cell r="W61">
            <v>0.98821608704807484</v>
          </cell>
        </row>
        <row r="62">
          <cell r="A62" t="str">
            <v>HVAC</v>
          </cell>
          <cell r="B62" t="str">
            <v>VRF-Retro</v>
          </cell>
          <cell r="C62" t="str">
            <v>Retro3Slow</v>
          </cell>
          <cell r="D62">
            <v>5.5320496977002724E-3</v>
          </cell>
          <cell r="E62">
            <v>8.6958686465615706E-3</v>
          </cell>
          <cell r="F62">
            <v>1.7391737293123145E-2</v>
          </cell>
          <cell r="G62">
            <v>3.0435540262965514E-2</v>
          </cell>
          <cell r="H62">
            <v>4.7344173742390784E-2</v>
          </cell>
          <cell r="I62">
            <v>6.6281843239347063E-2</v>
          </cell>
          <cell r="J62">
            <v>8.4358709577350838E-2</v>
          </cell>
          <cell r="K62">
            <v>9.8418494506909315E-2</v>
          </cell>
          <cell r="L62">
            <v>0.10598914793051767</v>
          </cell>
          <cell r="M62">
            <v>0.10598914793051767</v>
          </cell>
          <cell r="N62">
            <v>9.8923204735149928E-2</v>
          </cell>
          <cell r="O62">
            <v>8.655780414325609E-2</v>
          </cell>
          <cell r="P62">
            <v>7.1282897529740263E-2</v>
          </cell>
          <cell r="Q62">
            <v>5.5442253634242489E-2</v>
          </cell>
          <cell r="R62">
            <v>4.0852186888389319E-2</v>
          </cell>
          <cell r="S62">
            <v>2.8596530821872412E-2</v>
          </cell>
          <cell r="T62">
            <v>1.9064353881248275E-2</v>
          </cell>
          <cell r="U62">
            <v>1.2131861560794377E-2</v>
          </cell>
          <cell r="V62">
            <v>7.3846113848314854E-3</v>
          </cell>
          <cell r="W62">
            <v>4.3076899744848296E-3</v>
          </cell>
        </row>
        <row r="63">
          <cell r="A63" t="str">
            <v>HVAC</v>
          </cell>
          <cell r="B63" t="str">
            <v>Evaporator Roof Top HVAC-Retro</v>
          </cell>
          <cell r="C63" t="str">
            <v>RetroEven20</v>
          </cell>
          <cell r="D63">
            <v>0.05</v>
          </cell>
          <cell r="E63">
            <v>0.05</v>
          </cell>
          <cell r="F63">
            <v>0.05</v>
          </cell>
          <cell r="G63">
            <v>0.05</v>
          </cell>
          <cell r="H63">
            <v>0.05</v>
          </cell>
          <cell r="I63">
            <v>0.05</v>
          </cell>
          <cell r="J63">
            <v>0.05</v>
          </cell>
          <cell r="K63">
            <v>0.05</v>
          </cell>
          <cell r="L63">
            <v>0.05</v>
          </cell>
          <cell r="M63">
            <v>0.05</v>
          </cell>
          <cell r="N63">
            <v>0.05</v>
          </cell>
          <cell r="O63">
            <v>0.05</v>
          </cell>
          <cell r="P63">
            <v>0.05</v>
          </cell>
          <cell r="Q63">
            <v>0.05</v>
          </cell>
          <cell r="R63">
            <v>0.05</v>
          </cell>
          <cell r="S63">
            <v>0.05</v>
          </cell>
          <cell r="T63">
            <v>0.05</v>
          </cell>
          <cell r="U63">
            <v>0.05</v>
          </cell>
          <cell r="V63">
            <v>0.05</v>
          </cell>
          <cell r="W63">
            <v>0.05</v>
          </cell>
        </row>
        <row r="64">
          <cell r="A64" t="str">
            <v>HVAC</v>
          </cell>
          <cell r="B64" t="str">
            <v>Secondary Glazing Systems-Retro</v>
          </cell>
          <cell r="C64" t="str">
            <v>Retro1Slow</v>
          </cell>
          <cell r="D64">
            <v>2.5643970768378654E-3</v>
          </cell>
          <cell r="E64">
            <v>5.1260615529385989E-3</v>
          </cell>
          <cell r="F64">
            <v>9.1015544176433795E-3</v>
          </cell>
          <cell r="G64">
            <v>1.4804925730045659E-2</v>
          </cell>
          <cell r="H64">
            <v>2.2471809420486211E-2</v>
          </cell>
          <cell r="I64">
            <v>3.2184432813882391E-2</v>
          </cell>
          <cell r="J64">
            <v>4.3779667172004086E-2</v>
          </cell>
          <cell r="K64">
            <v>5.675426075474499E-2</v>
          </cell>
          <cell r="L64">
            <v>7.0195239068707532E-2</v>
          </cell>
          <cell r="M64">
            <v>8.2776861842756788E-2</v>
          </cell>
          <cell r="N64">
            <v>9.2870259507494834E-2</v>
          </cell>
          <cell r="O64">
            <v>9.8796470678915727E-2</v>
          </cell>
          <cell r="P64">
            <v>9.9208932889988999E-2</v>
          </cell>
          <cell r="Q64">
            <v>9.3521150494244254E-2</v>
          </cell>
          <cell r="R64">
            <v>8.2226007896862296E-2</v>
          </cell>
          <cell r="S64">
            <v>6.6933566027365665E-2</v>
          </cell>
          <cell r="T64">
            <v>5.0029565143448806E-2</v>
          </cell>
          <cell r="U64">
            <v>3.402486521893211E-2</v>
          </cell>
          <cell r="V64">
            <v>2.0846059340774659E-2</v>
          </cell>
          <cell r="W64">
            <v>0.01</v>
          </cell>
        </row>
        <row r="65">
          <cell r="A65" t="str">
            <v>Lighting</v>
          </cell>
          <cell r="B65" t="str">
            <v>LPD Package-New</v>
          </cell>
          <cell r="C65" t="str">
            <v>LO20Fast</v>
          </cell>
          <cell r="D65">
            <v>0.22119921692859512</v>
          </cell>
          <cell r="E65">
            <v>0.37624232795148943</v>
          </cell>
          <cell r="F65">
            <v>0.48357361352878442</v>
          </cell>
          <cell r="G65">
            <v>0.56716330278444227</v>
          </cell>
          <cell r="H65">
            <v>0.64040048266456928</v>
          </cell>
          <cell r="I65">
            <v>0.70377511937632964</v>
          </cell>
          <cell r="J65">
            <v>0.7580669577441127</v>
          </cell>
          <cell r="K65">
            <v>0.80419335000071168</v>
          </cell>
          <cell r="L65">
            <v>0.84311022627788457</v>
          </cell>
          <cell r="M65">
            <v>0.87575014259103623</v>
          </cell>
          <cell r="N65">
            <v>0.90298584871682319</v>
          </cell>
          <cell r="O65">
            <v>0.92419703797508856</v>
          </cell>
          <cell r="P65">
            <v>0.94071632877930145</v>
          </cell>
          <cell r="Q65">
            <v>0.95358156539340677</v>
          </cell>
          <cell r="R65">
            <v>0.96360102174287088</v>
          </cell>
          <cell r="S65">
            <v>0.97140418219378311</v>
          </cell>
          <cell r="T65">
            <v>0.97748128966338554</v>
          </cell>
          <cell r="U65">
            <v>0.98221414571952104</v>
          </cell>
          <cell r="V65">
            <v>0.98590009772220355</v>
          </cell>
          <cell r="W65">
            <v>0.98877072002825628</v>
          </cell>
        </row>
        <row r="66">
          <cell r="A66" t="str">
            <v>Lighting</v>
          </cell>
          <cell r="B66" t="str">
            <v>LPD Package-NR</v>
          </cell>
          <cell r="C66" t="str">
            <v>LO20Fast</v>
          </cell>
          <cell r="D66">
            <v>0.22119921692859512</v>
          </cell>
          <cell r="E66">
            <v>0.37624232795148943</v>
          </cell>
          <cell r="F66">
            <v>0.48357361352878442</v>
          </cell>
          <cell r="G66">
            <v>0.56716330278444227</v>
          </cell>
          <cell r="H66">
            <v>0.64040048266456928</v>
          </cell>
          <cell r="I66">
            <v>0.70377511937632964</v>
          </cell>
          <cell r="J66">
            <v>0.7580669577441127</v>
          </cell>
          <cell r="K66">
            <v>0.80419335000071168</v>
          </cell>
          <cell r="L66">
            <v>0.84311022627788457</v>
          </cell>
          <cell r="M66">
            <v>0.87575014259103623</v>
          </cell>
          <cell r="N66">
            <v>0.90298584871682319</v>
          </cell>
          <cell r="O66">
            <v>0.92419703797508856</v>
          </cell>
          <cell r="P66">
            <v>0.94071632877930145</v>
          </cell>
          <cell r="Q66">
            <v>0.95358156539340677</v>
          </cell>
          <cell r="R66">
            <v>0.96360102174287088</v>
          </cell>
          <cell r="S66">
            <v>0.97140418219378311</v>
          </cell>
          <cell r="T66">
            <v>0.97748128966338554</v>
          </cell>
          <cell r="U66">
            <v>0.98221414571952104</v>
          </cell>
          <cell r="V66">
            <v>0.98590009772220355</v>
          </cell>
          <cell r="W66">
            <v>0.98877072002825628</v>
          </cell>
        </row>
        <row r="67">
          <cell r="A67" t="str">
            <v>Lighting</v>
          </cell>
          <cell r="B67" t="str">
            <v>LPD Package-Retro</v>
          </cell>
          <cell r="C67" t="str">
            <v>Retro12Med</v>
          </cell>
          <cell r="D67">
            <v>0.10937459468255628</v>
          </cell>
          <cell r="E67">
            <v>0.10937459468255628</v>
          </cell>
          <cell r="F67">
            <v>0.10937459468255628</v>
          </cell>
          <cell r="G67">
            <v>0.10937459468255628</v>
          </cell>
          <cell r="H67">
            <v>0.10937459468255628</v>
          </cell>
          <cell r="I67">
            <v>9.8437135214300656E-2</v>
          </cell>
          <cell r="J67">
            <v>7.874970817144053E-2</v>
          </cell>
          <cell r="K67">
            <v>6.2999766537152418E-2</v>
          </cell>
          <cell r="L67">
            <v>5.0399813229721938E-2</v>
          </cell>
          <cell r="M67">
            <v>4.0319850583777551E-2</v>
          </cell>
          <cell r="N67">
            <v>3.225588046702204E-2</v>
          </cell>
          <cell r="O67">
            <v>2.5804704373617631E-2</v>
          </cell>
          <cell r="P67">
            <v>2.0643763498894106E-2</v>
          </cell>
          <cell r="Q67">
            <v>1.6515010799115284E-2</v>
          </cell>
          <cell r="R67">
            <v>1.3212008639292228E-2</v>
          </cell>
          <cell r="S67">
            <v>1.0569606911433781E-2</v>
          </cell>
          <cell r="T67">
            <v>7.2092823794611682E-5</v>
          </cell>
          <cell r="U67">
            <v>2.5747437069512102E-5</v>
          </cell>
          <cell r="V67">
            <v>8.7775353646568632E-6</v>
          </cell>
          <cell r="W67">
            <v>2.8622397928446119E-6</v>
          </cell>
        </row>
        <row r="68">
          <cell r="A68" t="str">
            <v>Lighting</v>
          </cell>
          <cell r="B68" t="str">
            <v>Top Daylighting-New</v>
          </cell>
          <cell r="C68" t="str">
            <v>LO12Med</v>
          </cell>
          <cell r="D68">
            <v>0.10937459468255628</v>
          </cell>
          <cell r="E68">
            <v>0.21874918936511256</v>
          </cell>
          <cell r="F68">
            <v>0.32812378404766884</v>
          </cell>
          <cell r="G68">
            <v>0.43749837873022512</v>
          </cell>
          <cell r="H68">
            <v>0.5468729734127814</v>
          </cell>
          <cell r="I68">
            <v>0.64531010862708205</v>
          </cell>
          <cell r="J68">
            <v>0.7240598167985226</v>
          </cell>
          <cell r="K68">
            <v>0.78705958333567505</v>
          </cell>
          <cell r="L68">
            <v>0.83745939656539703</v>
          </cell>
          <cell r="M68">
            <v>0.87777924714917455</v>
          </cell>
          <cell r="N68">
            <v>0.91003512761619654</v>
          </cell>
          <cell r="O68">
            <v>0.93583983198981413</v>
          </cell>
          <cell r="P68">
            <v>0.9564835954887082</v>
          </cell>
          <cell r="Q68">
            <v>0.97299860628782353</v>
          </cell>
          <cell r="R68">
            <v>0.9862106149271157</v>
          </cell>
          <cell r="S68">
            <v>0.99678022183854953</v>
          </cell>
          <cell r="T68">
            <v>0.99685231466234414</v>
          </cell>
          <cell r="U68">
            <v>0.99687806209941365</v>
          </cell>
          <cell r="V68">
            <v>0.99688683963477831</v>
          </cell>
          <cell r="W68">
            <v>0.99688970187457115</v>
          </cell>
        </row>
        <row r="69">
          <cell r="A69" t="str">
            <v>Lighting</v>
          </cell>
          <cell r="B69" t="str">
            <v>Perimeter Daylighting Controls Advanced-New</v>
          </cell>
          <cell r="C69" t="str">
            <v>LO5Med</v>
          </cell>
          <cell r="D69">
            <v>4.2999999999999997E-2</v>
          </cell>
          <cell r="E69">
            <v>9.5797142280278316E-2</v>
          </cell>
          <cell r="F69">
            <v>0.16040539374775648</v>
          </cell>
          <cell r="G69">
            <v>0.23540539374775649</v>
          </cell>
          <cell r="H69">
            <v>0.32095239121809005</v>
          </cell>
          <cell r="I69">
            <v>0.42096711425629652</v>
          </cell>
          <cell r="J69">
            <v>0.53068481860864725</v>
          </cell>
          <cell r="K69">
            <v>0.642769203728351</v>
          </cell>
          <cell r="L69">
            <v>0.74839528535557953</v>
          </cell>
          <cell r="M69">
            <v>0.83918984935345187</v>
          </cell>
          <cell r="N69">
            <v>0.90945051634530116</v>
          </cell>
          <cell r="O69">
            <v>0.9576688767502457</v>
          </cell>
          <cell r="P69">
            <v>0.9865231113648858</v>
          </cell>
          <cell r="Q69">
            <v>1.0012970762896924</v>
          </cell>
          <cell r="R69">
            <v>1.0076356106578106</v>
          </cell>
          <cell r="S69">
            <v>1.0098624683774413</v>
          </cell>
          <cell r="T69">
            <v>1.0104871783970797</v>
          </cell>
          <cell r="U69">
            <v>1.010623336815976</v>
          </cell>
          <cell r="V69">
            <v>1.0106457174525985</v>
          </cell>
          <cell r="W69">
            <v>1.0106484038909742</v>
          </cell>
        </row>
        <row r="70">
          <cell r="A70" t="str">
            <v>Lighting</v>
          </cell>
          <cell r="B70" t="str">
            <v>Perimeter Daylighting Controls Advanced-NR</v>
          </cell>
          <cell r="C70" t="str">
            <v>LO5Med</v>
          </cell>
          <cell r="D70">
            <v>4.2999999999999997E-2</v>
          </cell>
          <cell r="E70">
            <v>9.5797142280278316E-2</v>
          </cell>
          <cell r="F70">
            <v>0.16040539374775648</v>
          </cell>
          <cell r="G70">
            <v>0.23540539374775649</v>
          </cell>
          <cell r="H70">
            <v>0.32095239121809005</v>
          </cell>
          <cell r="I70">
            <v>0.42096711425629652</v>
          </cell>
          <cell r="J70">
            <v>0.53068481860864725</v>
          </cell>
          <cell r="K70">
            <v>0.642769203728351</v>
          </cell>
          <cell r="L70">
            <v>0.74839528535557953</v>
          </cell>
          <cell r="M70">
            <v>0.83918984935345187</v>
          </cell>
          <cell r="N70">
            <v>0.90945051634530116</v>
          </cell>
          <cell r="O70">
            <v>0.9576688767502457</v>
          </cell>
          <cell r="P70">
            <v>0.9865231113648858</v>
          </cell>
          <cell r="Q70">
            <v>1.0012970762896924</v>
          </cell>
          <cell r="R70">
            <v>1.0076356106578106</v>
          </cell>
          <cell r="S70">
            <v>1.0098624683774413</v>
          </cell>
          <cell r="T70">
            <v>1.0104871783970797</v>
          </cell>
          <cell r="U70">
            <v>1.010623336815976</v>
          </cell>
          <cell r="V70">
            <v>1.0106457174525985</v>
          </cell>
          <cell r="W70">
            <v>1.0106484038909742</v>
          </cell>
        </row>
        <row r="71">
          <cell r="A71" t="str">
            <v>Lighting</v>
          </cell>
          <cell r="B71" t="str">
            <v>Lighting Controls Interior-New</v>
          </cell>
          <cell r="C71" t="str">
            <v>LO20Fast</v>
          </cell>
          <cell r="D71">
            <v>0.22119921692859512</v>
          </cell>
          <cell r="E71">
            <v>0.37624232795148943</v>
          </cell>
          <cell r="F71">
            <v>0.48357361352878442</v>
          </cell>
          <cell r="G71">
            <v>0.56716330278444227</v>
          </cell>
          <cell r="H71">
            <v>0.64040048266456928</v>
          </cell>
          <cell r="I71">
            <v>0.70377511937632964</v>
          </cell>
          <cell r="J71">
            <v>0.7580669577441127</v>
          </cell>
          <cell r="K71">
            <v>0.80419335000071168</v>
          </cell>
          <cell r="L71">
            <v>0.84311022627788457</v>
          </cell>
          <cell r="M71">
            <v>0.87575014259103623</v>
          </cell>
          <cell r="N71">
            <v>0.90298584871682319</v>
          </cell>
          <cell r="O71">
            <v>0.92419703797508856</v>
          </cell>
          <cell r="P71">
            <v>0.94071632877930145</v>
          </cell>
          <cell r="Q71">
            <v>0.95358156539340677</v>
          </cell>
          <cell r="R71">
            <v>0.96360102174287088</v>
          </cell>
          <cell r="S71">
            <v>0.97140418219378311</v>
          </cell>
          <cell r="T71">
            <v>0.97748128966338554</v>
          </cell>
          <cell r="U71">
            <v>0.98221414571952104</v>
          </cell>
          <cell r="V71">
            <v>0.98590009772220355</v>
          </cell>
          <cell r="W71">
            <v>0.98877072002825628</v>
          </cell>
        </row>
        <row r="72">
          <cell r="A72" t="str">
            <v>Lighting</v>
          </cell>
          <cell r="B72" t="str">
            <v>Lighting Controls Interior-NR</v>
          </cell>
          <cell r="C72" t="str">
            <v>LO20Fast</v>
          </cell>
          <cell r="D72">
            <v>0.22119921692859512</v>
          </cell>
          <cell r="E72">
            <v>0.37624232795148943</v>
          </cell>
          <cell r="F72">
            <v>0.48357361352878442</v>
          </cell>
          <cell r="G72">
            <v>0.56716330278444227</v>
          </cell>
          <cell r="H72">
            <v>0.64040048266456928</v>
          </cell>
          <cell r="I72">
            <v>0.70377511937632964</v>
          </cell>
          <cell r="J72">
            <v>0.7580669577441127</v>
          </cell>
          <cell r="K72">
            <v>0.80419335000071168</v>
          </cell>
          <cell r="L72">
            <v>0.84311022627788457</v>
          </cell>
          <cell r="M72">
            <v>0.87575014259103623</v>
          </cell>
          <cell r="N72">
            <v>0.90298584871682319</v>
          </cell>
          <cell r="O72">
            <v>0.92419703797508856</v>
          </cell>
          <cell r="P72">
            <v>0.94071632877930145</v>
          </cell>
          <cell r="Q72">
            <v>0.95358156539340677</v>
          </cell>
          <cell r="R72">
            <v>0.96360102174287088</v>
          </cell>
          <cell r="S72">
            <v>0.97140418219378311</v>
          </cell>
          <cell r="T72">
            <v>0.97748128966338554</v>
          </cell>
          <cell r="U72">
            <v>0.98221414571952104</v>
          </cell>
          <cell r="V72">
            <v>0.98590009772220355</v>
          </cell>
          <cell r="W72">
            <v>0.98877072002825628</v>
          </cell>
        </row>
        <row r="73">
          <cell r="A73" t="str">
            <v>Lighting</v>
          </cell>
          <cell r="B73" t="str">
            <v>Exterior Building Lighting-New</v>
          </cell>
          <cell r="C73" t="str">
            <v>LO20Fast</v>
          </cell>
          <cell r="D73">
            <v>0.22119921692859512</v>
          </cell>
          <cell r="E73">
            <v>0.37624232795148943</v>
          </cell>
          <cell r="F73">
            <v>0.48357361352878442</v>
          </cell>
          <cell r="G73">
            <v>0.56716330278444227</v>
          </cell>
          <cell r="H73">
            <v>0.64040048266456928</v>
          </cell>
          <cell r="I73">
            <v>0.70377511937632964</v>
          </cell>
          <cell r="J73">
            <v>0.7580669577441127</v>
          </cell>
          <cell r="K73">
            <v>0.80419335000071168</v>
          </cell>
          <cell r="L73">
            <v>0.84311022627788457</v>
          </cell>
          <cell r="M73">
            <v>0.87575014259103623</v>
          </cell>
          <cell r="N73">
            <v>0.90298584871682319</v>
          </cell>
          <cell r="O73">
            <v>0.92419703797508856</v>
          </cell>
          <cell r="P73">
            <v>0.94071632877930145</v>
          </cell>
          <cell r="Q73">
            <v>0.95358156539340677</v>
          </cell>
          <cell r="R73">
            <v>0.96360102174287088</v>
          </cell>
          <cell r="S73">
            <v>0.97140418219378311</v>
          </cell>
          <cell r="T73">
            <v>0.97748128966338554</v>
          </cell>
          <cell r="U73">
            <v>0.98221414571952104</v>
          </cell>
          <cell r="V73">
            <v>0.98590009772220355</v>
          </cell>
          <cell r="W73">
            <v>0.98877072002825628</v>
          </cell>
        </row>
        <row r="74">
          <cell r="A74" t="str">
            <v>Lighting</v>
          </cell>
          <cell r="B74" t="str">
            <v>Exterior Building Lighting-NR</v>
          </cell>
          <cell r="C74" t="str">
            <v>LO20Fast</v>
          </cell>
          <cell r="D74">
            <v>0.22119921692859512</v>
          </cell>
          <cell r="E74">
            <v>0.37624232795148943</v>
          </cell>
          <cell r="F74">
            <v>0.48357361352878442</v>
          </cell>
          <cell r="G74">
            <v>0.56716330278444227</v>
          </cell>
          <cell r="H74">
            <v>0.64040048266456928</v>
          </cell>
          <cell r="I74">
            <v>0.70377511937632964</v>
          </cell>
          <cell r="J74">
            <v>0.7580669577441127</v>
          </cell>
          <cell r="K74">
            <v>0.80419335000071168</v>
          </cell>
          <cell r="L74">
            <v>0.84311022627788457</v>
          </cell>
          <cell r="M74">
            <v>0.87575014259103623</v>
          </cell>
          <cell r="N74">
            <v>0.90298584871682319</v>
          </cell>
          <cell r="O74">
            <v>0.92419703797508856</v>
          </cell>
          <cell r="P74">
            <v>0.94071632877930145</v>
          </cell>
          <cell r="Q74">
            <v>0.95358156539340677</v>
          </cell>
          <cell r="R74">
            <v>0.96360102174287088</v>
          </cell>
          <cell r="S74">
            <v>0.97140418219378311</v>
          </cell>
          <cell r="T74">
            <v>0.97748128966338554</v>
          </cell>
          <cell r="U74">
            <v>0.98221414571952104</v>
          </cell>
          <cell r="V74">
            <v>0.98590009772220355</v>
          </cell>
          <cell r="W74">
            <v>0.98877072002825628</v>
          </cell>
        </row>
        <row r="75">
          <cell r="A75" t="str">
            <v>Lighting</v>
          </cell>
          <cell r="B75" t="str">
            <v>Street and Roadway Lighting-New</v>
          </cell>
          <cell r="C75" t="str">
            <v>LO50Fast</v>
          </cell>
          <cell r="D75">
            <v>0.45</v>
          </cell>
          <cell r="E75">
            <v>0.66</v>
          </cell>
          <cell r="F75">
            <v>0.8</v>
          </cell>
          <cell r="G75">
            <v>0.89</v>
          </cell>
          <cell r="H75">
            <v>0.94954036260972652</v>
          </cell>
          <cell r="I75">
            <v>0.97931054391458994</v>
          </cell>
          <cell r="J75">
            <v>0.99254173560564019</v>
          </cell>
          <cell r="K75">
            <v>0.99783421228206048</v>
          </cell>
          <cell r="L75">
            <v>0.99975874925530417</v>
          </cell>
          <cell r="M75">
            <v>1.0004002615797187</v>
          </cell>
          <cell r="N75">
            <v>1.0005976499872309</v>
          </cell>
          <cell r="O75">
            <v>1.0006540466750915</v>
          </cell>
          <cell r="P75">
            <v>1.0006690857918545</v>
          </cell>
          <cell r="Q75">
            <v>1.000672845571045</v>
          </cell>
          <cell r="R75">
            <v>1.0006737302249724</v>
          </cell>
          <cell r="S75">
            <v>1.0006739268147338</v>
          </cell>
          <cell r="T75">
            <v>1.0006739682020522</v>
          </cell>
          <cell r="U75">
            <v>1.0006739764795158</v>
          </cell>
          <cell r="V75">
            <v>1.0006739780561755</v>
          </cell>
          <cell r="W75">
            <v>1.0006739783428409</v>
          </cell>
        </row>
        <row r="76">
          <cell r="A76" t="str">
            <v>Lighting</v>
          </cell>
          <cell r="B76" t="str">
            <v>Street and Roadway Lighting-NR</v>
          </cell>
          <cell r="C76" t="str">
            <v>LO50Fast</v>
          </cell>
          <cell r="D76">
            <v>0.45</v>
          </cell>
          <cell r="E76">
            <v>0.66</v>
          </cell>
          <cell r="F76">
            <v>0.8</v>
          </cell>
          <cell r="G76">
            <v>0.89</v>
          </cell>
          <cell r="H76">
            <v>0.94954036260972652</v>
          </cell>
          <cell r="I76">
            <v>0.97931054391458994</v>
          </cell>
          <cell r="J76">
            <v>0.99254173560564019</v>
          </cell>
          <cell r="K76">
            <v>0.99783421228206048</v>
          </cell>
          <cell r="L76">
            <v>0.99975874925530417</v>
          </cell>
          <cell r="M76">
            <v>1.0004002615797187</v>
          </cell>
          <cell r="N76">
            <v>1.0005976499872309</v>
          </cell>
          <cell r="O76">
            <v>1.0006540466750915</v>
          </cell>
          <cell r="P76">
            <v>1.0006690857918545</v>
          </cell>
          <cell r="Q76">
            <v>1.000672845571045</v>
          </cell>
          <cell r="R76">
            <v>1.0006737302249724</v>
          </cell>
          <cell r="S76">
            <v>1.0006739268147338</v>
          </cell>
          <cell r="T76">
            <v>1.0006739682020522</v>
          </cell>
          <cell r="U76">
            <v>1.0006739764795158</v>
          </cell>
          <cell r="V76">
            <v>1.0006739780561755</v>
          </cell>
          <cell r="W76">
            <v>1.0006739783428409</v>
          </cell>
        </row>
        <row r="77">
          <cell r="A77" t="str">
            <v>Lighting</v>
          </cell>
          <cell r="B77" t="str">
            <v>Parking Lighting-New</v>
          </cell>
          <cell r="C77" t="str">
            <v>LO50Fast</v>
          </cell>
          <cell r="D77">
            <v>0.45</v>
          </cell>
          <cell r="E77">
            <v>0.66</v>
          </cell>
          <cell r="F77">
            <v>0.8</v>
          </cell>
          <cell r="G77">
            <v>0.89</v>
          </cell>
          <cell r="H77">
            <v>0.94954036260972652</v>
          </cell>
          <cell r="I77">
            <v>0.97931054391458994</v>
          </cell>
          <cell r="J77">
            <v>0.99254173560564019</v>
          </cell>
          <cell r="K77">
            <v>0.99783421228206048</v>
          </cell>
          <cell r="L77">
            <v>0.99975874925530417</v>
          </cell>
          <cell r="M77">
            <v>1.0004002615797187</v>
          </cell>
          <cell r="N77">
            <v>1.0005976499872309</v>
          </cell>
          <cell r="O77">
            <v>1.0006540466750915</v>
          </cell>
          <cell r="P77">
            <v>1.0006690857918545</v>
          </cell>
          <cell r="Q77">
            <v>1.000672845571045</v>
          </cell>
          <cell r="R77">
            <v>1.0006737302249724</v>
          </cell>
          <cell r="S77">
            <v>1.0006739268147338</v>
          </cell>
          <cell r="T77">
            <v>1.0006739682020522</v>
          </cell>
          <cell r="U77">
            <v>1.0006739764795158</v>
          </cell>
          <cell r="V77">
            <v>1.0006739780561755</v>
          </cell>
          <cell r="W77">
            <v>1.0006739783428409</v>
          </cell>
        </row>
        <row r="78">
          <cell r="A78" t="str">
            <v>Lighting</v>
          </cell>
          <cell r="B78" t="str">
            <v>Parking Lighting-NR</v>
          </cell>
          <cell r="C78" t="str">
            <v>LO12Med</v>
          </cell>
          <cell r="D78">
            <v>0.10937459468255628</v>
          </cell>
          <cell r="E78">
            <v>0.21874918936511256</v>
          </cell>
          <cell r="F78">
            <v>0.32812378404766884</v>
          </cell>
          <cell r="G78">
            <v>0.43749837873022512</v>
          </cell>
          <cell r="H78">
            <v>0.5468729734127814</v>
          </cell>
          <cell r="I78">
            <v>0.64531010862708205</v>
          </cell>
          <cell r="J78">
            <v>0.7240598167985226</v>
          </cell>
          <cell r="K78">
            <v>0.78705958333567505</v>
          </cell>
          <cell r="L78">
            <v>0.83745939656539703</v>
          </cell>
          <cell r="M78">
            <v>0.87777924714917455</v>
          </cell>
          <cell r="N78">
            <v>0.91003512761619654</v>
          </cell>
          <cell r="O78">
            <v>0.93583983198981413</v>
          </cell>
          <cell r="P78">
            <v>0.9564835954887082</v>
          </cell>
          <cell r="Q78">
            <v>0.97299860628782353</v>
          </cell>
          <cell r="R78">
            <v>0.9862106149271157</v>
          </cell>
          <cell r="S78">
            <v>0.99678022183854953</v>
          </cell>
          <cell r="T78">
            <v>0.99685231466234414</v>
          </cell>
          <cell r="U78">
            <v>0.99687806209941365</v>
          </cell>
          <cell r="V78">
            <v>0.99688683963477831</v>
          </cell>
          <cell r="W78">
            <v>0.99688970187457115</v>
          </cell>
        </row>
        <row r="79">
          <cell r="A79" t="str">
            <v>Lighting</v>
          </cell>
          <cell r="B79" t="str">
            <v>Bi-Level Stairwell Lighting-NR</v>
          </cell>
          <cell r="C79" t="str">
            <v>LO12Med</v>
          </cell>
          <cell r="D79">
            <v>0.10937459468255628</v>
          </cell>
          <cell r="E79">
            <v>0.21874918936511256</v>
          </cell>
          <cell r="F79">
            <v>0.32812378404766884</v>
          </cell>
          <cell r="G79">
            <v>0.43749837873022512</v>
          </cell>
          <cell r="H79">
            <v>0.5468729734127814</v>
          </cell>
          <cell r="I79">
            <v>0.64531010862708205</v>
          </cell>
          <cell r="J79">
            <v>0.7240598167985226</v>
          </cell>
          <cell r="K79">
            <v>0.78705958333567505</v>
          </cell>
          <cell r="L79">
            <v>0.83745939656539703</v>
          </cell>
          <cell r="M79">
            <v>0.87777924714917455</v>
          </cell>
          <cell r="N79">
            <v>0.91003512761619654</v>
          </cell>
          <cell r="O79">
            <v>0.93583983198981413</v>
          </cell>
          <cell r="P79">
            <v>0.9564835954887082</v>
          </cell>
          <cell r="Q79">
            <v>0.97299860628782353</v>
          </cell>
          <cell r="R79">
            <v>0.9862106149271157</v>
          </cell>
          <cell r="S79">
            <v>0.99678022183854953</v>
          </cell>
          <cell r="T79">
            <v>0.99685231466234414</v>
          </cell>
          <cell r="U79">
            <v>0.99687806209941365</v>
          </cell>
          <cell r="V79">
            <v>0.99688683963477831</v>
          </cell>
          <cell r="W79">
            <v>0.99688970187457115</v>
          </cell>
        </row>
        <row r="80">
          <cell r="A80" t="str">
            <v>Motors/Drives</v>
          </cell>
          <cell r="B80" t="str">
            <v>ECM-VAV-New</v>
          </cell>
          <cell r="C80" t="str">
            <v>LO12Med</v>
          </cell>
          <cell r="D80">
            <v>0.10937459468255628</v>
          </cell>
          <cell r="E80">
            <v>0.21874918936511256</v>
          </cell>
          <cell r="F80">
            <v>0.32812378404766884</v>
          </cell>
          <cell r="G80">
            <v>0.43749837873022512</v>
          </cell>
          <cell r="H80">
            <v>0.5468729734127814</v>
          </cell>
          <cell r="I80">
            <v>0.64531010862708205</v>
          </cell>
          <cell r="J80">
            <v>0.7240598167985226</v>
          </cell>
          <cell r="K80">
            <v>0.78705958333567505</v>
          </cell>
          <cell r="L80">
            <v>0.83745939656539703</v>
          </cell>
          <cell r="M80">
            <v>0.87777924714917455</v>
          </cell>
          <cell r="N80">
            <v>0.91003512761619654</v>
          </cell>
          <cell r="O80">
            <v>0.93583983198981413</v>
          </cell>
          <cell r="P80">
            <v>0.9564835954887082</v>
          </cell>
          <cell r="Q80">
            <v>0.97299860628782353</v>
          </cell>
          <cell r="R80">
            <v>0.9862106149271157</v>
          </cell>
          <cell r="S80">
            <v>0.99678022183854953</v>
          </cell>
          <cell r="T80">
            <v>0.99685231466234414</v>
          </cell>
          <cell r="U80">
            <v>0.99687806209941365</v>
          </cell>
          <cell r="V80">
            <v>0.99688683963477831</v>
          </cell>
          <cell r="W80">
            <v>0.99688970187457115</v>
          </cell>
        </row>
        <row r="81">
          <cell r="A81" t="str">
            <v>Motors/Drives</v>
          </cell>
          <cell r="B81" t="str">
            <v>ECM-VAV-NR</v>
          </cell>
          <cell r="C81" t="str">
            <v>LO12Med</v>
          </cell>
          <cell r="D81">
            <v>0.10937459468255628</v>
          </cell>
          <cell r="E81">
            <v>0.21874918936511256</v>
          </cell>
          <cell r="F81">
            <v>0.32812378404766884</v>
          </cell>
          <cell r="G81">
            <v>0.43749837873022512</v>
          </cell>
          <cell r="H81">
            <v>0.5468729734127814</v>
          </cell>
          <cell r="I81">
            <v>0.64531010862708205</v>
          </cell>
          <cell r="J81">
            <v>0.7240598167985226</v>
          </cell>
          <cell r="K81">
            <v>0.78705958333567505</v>
          </cell>
          <cell r="L81">
            <v>0.83745939656539703</v>
          </cell>
          <cell r="M81">
            <v>0.87777924714917455</v>
          </cell>
          <cell r="N81">
            <v>0.91003512761619654</v>
          </cell>
          <cell r="O81">
            <v>0.93583983198981413</v>
          </cell>
          <cell r="P81">
            <v>0.9564835954887082</v>
          </cell>
          <cell r="Q81">
            <v>0.97299860628782353</v>
          </cell>
          <cell r="R81">
            <v>0.9862106149271157</v>
          </cell>
          <cell r="S81">
            <v>0.99678022183854953</v>
          </cell>
          <cell r="T81">
            <v>0.99685231466234414</v>
          </cell>
          <cell r="U81">
            <v>0.99687806209941365</v>
          </cell>
          <cell r="V81">
            <v>0.99688683963477831</v>
          </cell>
          <cell r="W81">
            <v>0.99688970187457115</v>
          </cell>
        </row>
        <row r="82">
          <cell r="A82" t="str">
            <v>Motors/Drives</v>
          </cell>
          <cell r="B82" t="str">
            <v>Pool pumps-Retro</v>
          </cell>
          <cell r="C82" t="str">
            <v>Retro20Fast</v>
          </cell>
          <cell r="D82">
            <v>0.22119921692859512</v>
          </cell>
          <cell r="E82">
            <v>0.15504311102289431</v>
          </cell>
          <cell r="F82">
            <v>0.10733128557729499</v>
          </cell>
          <cell r="G82">
            <v>8.3589689255657879E-2</v>
          </cell>
          <cell r="H82">
            <v>7.3237179880126971E-2</v>
          </cell>
          <cell r="I82">
            <v>6.3374636711760357E-2</v>
          </cell>
          <cell r="J82">
            <v>5.4291838367783084E-2</v>
          </cell>
          <cell r="K82">
            <v>4.612639225659896E-2</v>
          </cell>
          <cell r="L82">
            <v>3.8916876277172864E-2</v>
          </cell>
          <cell r="M82">
            <v>3.2639916313151704E-2</v>
          </cell>
          <cell r="N82">
            <v>2.7235706125786907E-2</v>
          </cell>
          <cell r="O82">
            <v>2.1211189258265428E-2</v>
          </cell>
          <cell r="P82">
            <v>1.6519290804212883E-2</v>
          </cell>
          <cell r="Q82">
            <v>1.2865236614105324E-2</v>
          </cell>
          <cell r="R82">
            <v>1.0019456349464106E-2</v>
          </cell>
          <cell r="S82">
            <v>7.8031604509122832E-3</v>
          </cell>
          <cell r="T82">
            <v>6.077107469602494E-3</v>
          </cell>
          <cell r="U82">
            <v>4.7328560561354371E-3</v>
          </cell>
          <cell r="V82">
            <v>3.6859520026825132E-3</v>
          </cell>
          <cell r="W82">
            <v>2.8706223060526725E-3</v>
          </cell>
        </row>
        <row r="83">
          <cell r="A83" t="str">
            <v>Motors/Drives</v>
          </cell>
          <cell r="B83" t="str">
            <v>MotorsRewind-New</v>
          </cell>
          <cell r="C83" t="str">
            <v>LO12Med</v>
          </cell>
          <cell r="D83">
            <v>0.10937459468255628</v>
          </cell>
          <cell r="E83">
            <v>0.21874918936511256</v>
          </cell>
          <cell r="F83">
            <v>0.32812378404766884</v>
          </cell>
          <cell r="G83">
            <v>0.43749837873022512</v>
          </cell>
          <cell r="H83">
            <v>0.5468729734127814</v>
          </cell>
          <cell r="I83">
            <v>0.64531010862708205</v>
          </cell>
          <cell r="J83">
            <v>0.7240598167985226</v>
          </cell>
          <cell r="K83">
            <v>0.78705958333567505</v>
          </cell>
          <cell r="L83">
            <v>0.83745939656539703</v>
          </cell>
          <cell r="M83">
            <v>0.87777924714917455</v>
          </cell>
          <cell r="N83">
            <v>0.91003512761619654</v>
          </cell>
          <cell r="O83">
            <v>0.93583983198981413</v>
          </cell>
          <cell r="P83">
            <v>0.9564835954887082</v>
          </cell>
          <cell r="Q83">
            <v>0.97299860628782353</v>
          </cell>
          <cell r="R83">
            <v>0.9862106149271157</v>
          </cell>
          <cell r="S83">
            <v>0.99678022183854953</v>
          </cell>
          <cell r="T83">
            <v>0.99685231466234414</v>
          </cell>
          <cell r="U83">
            <v>0.99687806209941365</v>
          </cell>
          <cell r="V83">
            <v>0.99688683963477831</v>
          </cell>
          <cell r="W83">
            <v>0.99688970187457115</v>
          </cell>
        </row>
        <row r="84">
          <cell r="A84" t="str">
            <v>Motors/Drives</v>
          </cell>
          <cell r="B84" t="str">
            <v>MotorsRewind-NR</v>
          </cell>
          <cell r="C84" t="str">
            <v>LO12Med</v>
          </cell>
          <cell r="D84">
            <v>0.10937459468255628</v>
          </cell>
          <cell r="E84">
            <v>0.21874918936511256</v>
          </cell>
          <cell r="F84">
            <v>0.32812378404766884</v>
          </cell>
          <cell r="G84">
            <v>0.43749837873022512</v>
          </cell>
          <cell r="H84">
            <v>0.5468729734127814</v>
          </cell>
          <cell r="I84">
            <v>0.64531010862708205</v>
          </cell>
          <cell r="J84">
            <v>0.7240598167985226</v>
          </cell>
          <cell r="K84">
            <v>0.78705958333567505</v>
          </cell>
          <cell r="L84">
            <v>0.83745939656539703</v>
          </cell>
          <cell r="M84">
            <v>0.87777924714917455</v>
          </cell>
          <cell r="N84">
            <v>0.91003512761619654</v>
          </cell>
          <cell r="O84">
            <v>0.93583983198981413</v>
          </cell>
          <cell r="P84">
            <v>0.9564835954887082</v>
          </cell>
          <cell r="Q84">
            <v>0.97299860628782353</v>
          </cell>
          <cell r="R84">
            <v>0.9862106149271157</v>
          </cell>
          <cell r="S84">
            <v>0.99678022183854953</v>
          </cell>
          <cell r="T84">
            <v>0.99685231466234414</v>
          </cell>
          <cell r="U84">
            <v>0.99687806209941365</v>
          </cell>
          <cell r="V84">
            <v>0.99688683963477831</v>
          </cell>
          <cell r="W84">
            <v>0.99688970187457115</v>
          </cell>
        </row>
        <row r="85">
          <cell r="A85" t="str">
            <v>Process Loads</v>
          </cell>
          <cell r="B85" t="str">
            <v>Municipal Sewage Treatment-Retro</v>
          </cell>
          <cell r="C85" t="str">
            <v>Retro5Med</v>
          </cell>
          <cell r="D85">
            <v>4.2999999999999997E-2</v>
          </cell>
          <cell r="E85">
            <v>5.279714228027832E-2</v>
          </cell>
          <cell r="F85">
            <v>6.4608251467478173E-2</v>
          </cell>
          <cell r="G85">
            <v>7.4999999999999997E-2</v>
          </cell>
          <cell r="H85">
            <v>8.5546997470333563E-2</v>
          </cell>
          <cell r="I85">
            <v>0.10001472303820647</v>
          </cell>
          <cell r="J85">
            <v>0.10971770435235073</v>
          </cell>
          <cell r="K85">
            <v>0.11208438511970376</v>
          </cell>
          <cell r="L85">
            <v>0.10562608162722853</v>
          </cell>
          <cell r="M85">
            <v>9.0794563997872335E-2</v>
          </cell>
          <cell r="N85">
            <v>7.0260666991849297E-2</v>
          </cell>
          <cell r="O85">
            <v>4.8218360404944538E-2</v>
          </cell>
          <cell r="P85">
            <v>2.8854234614640095E-2</v>
          </cell>
          <cell r="Q85">
            <v>1.4773964924806759E-2</v>
          </cell>
          <cell r="R85">
            <v>6.3385343681182649E-3</v>
          </cell>
          <cell r="S85">
            <v>2.2268577196306039E-3</v>
          </cell>
          <cell r="T85">
            <v>6.2471001963848583E-4</v>
          </cell>
          <cell r="U85">
            <v>1.3615841889635938E-4</v>
          </cell>
          <cell r="V85">
            <v>2.2380636622298944E-5</v>
          </cell>
          <cell r="W85">
            <v>2.68643837586513E-6</v>
          </cell>
        </row>
        <row r="86">
          <cell r="A86" t="str">
            <v>Process Loads</v>
          </cell>
          <cell r="B86" t="str">
            <v>Municipal Water Supply-Retro</v>
          </cell>
          <cell r="C86" t="str">
            <v>Retro5Med</v>
          </cell>
          <cell r="D86">
            <v>4.2999999999999997E-2</v>
          </cell>
          <cell r="E86">
            <v>5.279714228027832E-2</v>
          </cell>
          <cell r="F86">
            <v>6.4608251467478173E-2</v>
          </cell>
          <cell r="G86">
            <v>7.4999999999999997E-2</v>
          </cell>
          <cell r="H86">
            <v>8.5546997470333563E-2</v>
          </cell>
          <cell r="I86">
            <v>0.10001472303820647</v>
          </cell>
          <cell r="J86">
            <v>0.10971770435235073</v>
          </cell>
          <cell r="K86">
            <v>0.11208438511970376</v>
          </cell>
          <cell r="L86">
            <v>0.10562608162722853</v>
          </cell>
          <cell r="M86">
            <v>9.0794563997872335E-2</v>
          </cell>
          <cell r="N86">
            <v>7.0260666991849297E-2</v>
          </cell>
          <cell r="O86">
            <v>4.8218360404944538E-2</v>
          </cell>
          <cell r="P86">
            <v>2.8854234614640095E-2</v>
          </cell>
          <cell r="Q86">
            <v>1.4773964924806759E-2</v>
          </cell>
          <cell r="R86">
            <v>6.3385343681182649E-3</v>
          </cell>
          <cell r="S86">
            <v>2.2268577196306039E-3</v>
          </cell>
          <cell r="T86">
            <v>6.2471001963848583E-4</v>
          </cell>
          <cell r="U86">
            <v>1.3615841889635938E-4</v>
          </cell>
          <cell r="V86">
            <v>2.2380636622298944E-5</v>
          </cell>
          <cell r="W86">
            <v>2.68643837586513E-6</v>
          </cell>
        </row>
        <row r="87">
          <cell r="A87" t="str">
            <v>Process Loads</v>
          </cell>
          <cell r="B87" t="str">
            <v>Engine Generator Block Heaters-Retro</v>
          </cell>
          <cell r="C87" t="str">
            <v>Retro20Fast</v>
          </cell>
          <cell r="D87">
            <v>0.22119921692859512</v>
          </cell>
          <cell r="E87">
            <v>0.15504311102289431</v>
          </cell>
          <cell r="F87">
            <v>0.10733128557729499</v>
          </cell>
          <cell r="G87">
            <v>8.3589689255657879E-2</v>
          </cell>
          <cell r="H87">
            <v>7.3237179880126971E-2</v>
          </cell>
          <cell r="I87">
            <v>6.3374636711760357E-2</v>
          </cell>
          <cell r="J87">
            <v>5.4291838367783084E-2</v>
          </cell>
          <cell r="K87">
            <v>4.612639225659896E-2</v>
          </cell>
          <cell r="L87">
            <v>3.8916876277172864E-2</v>
          </cell>
          <cell r="M87">
            <v>3.2639916313151704E-2</v>
          </cell>
          <cell r="N87">
            <v>2.7235706125786907E-2</v>
          </cell>
          <cell r="O87">
            <v>2.1211189258265428E-2</v>
          </cell>
          <cell r="P87">
            <v>1.6519290804212883E-2</v>
          </cell>
          <cell r="Q87">
            <v>1.2865236614105324E-2</v>
          </cell>
          <cell r="R87">
            <v>1.0019456349464106E-2</v>
          </cell>
          <cell r="S87">
            <v>7.8031604509122832E-3</v>
          </cell>
          <cell r="T87">
            <v>6.077107469602494E-3</v>
          </cell>
          <cell r="U87">
            <v>4.7328560561354371E-3</v>
          </cell>
          <cell r="V87">
            <v>3.6859520026825132E-3</v>
          </cell>
          <cell r="W87">
            <v>2.8706223060526725E-3</v>
          </cell>
        </row>
        <row r="88">
          <cell r="A88" t="str">
            <v>Refrigeration</v>
          </cell>
          <cell r="B88" t="str">
            <v>Grocery Refrigeration Bundle-Retro</v>
          </cell>
          <cell r="C88" t="str">
            <v>Retro12Med</v>
          </cell>
          <cell r="D88">
            <v>0.10937459468255628</v>
          </cell>
          <cell r="E88">
            <v>0.10937459468255628</v>
          </cell>
          <cell r="F88">
            <v>0.10937459468255628</v>
          </cell>
          <cell r="G88">
            <v>0.10937459468255628</v>
          </cell>
          <cell r="H88">
            <v>0.10937459468255628</v>
          </cell>
          <cell r="I88">
            <v>9.8437135214300656E-2</v>
          </cell>
          <cell r="J88">
            <v>7.874970817144053E-2</v>
          </cell>
          <cell r="K88">
            <v>6.2999766537152418E-2</v>
          </cell>
          <cell r="L88">
            <v>5.0399813229721938E-2</v>
          </cell>
          <cell r="M88">
            <v>4.0319850583777551E-2</v>
          </cell>
          <cell r="N88">
            <v>3.225588046702204E-2</v>
          </cell>
          <cell r="O88">
            <v>2.5804704373617631E-2</v>
          </cell>
          <cell r="P88">
            <v>2.0643763498894106E-2</v>
          </cell>
          <cell r="Q88">
            <v>1.6515010799115284E-2</v>
          </cell>
          <cell r="R88">
            <v>1.3212008639292228E-2</v>
          </cell>
          <cell r="S88">
            <v>1.0569606911433781E-2</v>
          </cell>
          <cell r="T88">
            <v>7.2092823794611682E-5</v>
          </cell>
          <cell r="U88">
            <v>2.5747437069512102E-5</v>
          </cell>
          <cell r="V88">
            <v>8.7775353646568632E-6</v>
          </cell>
          <cell r="W88">
            <v>2.8622397928446119E-6</v>
          </cell>
        </row>
        <row r="89">
          <cell r="A89" t="str">
            <v>Refrigeration</v>
          </cell>
          <cell r="B89" t="str">
            <v>Packaged Refrigeration Equipment-New</v>
          </cell>
          <cell r="C89" t="str">
            <v>LOEven20</v>
          </cell>
          <cell r="D89">
            <v>0.05</v>
          </cell>
          <cell r="E89">
            <v>0.1</v>
          </cell>
          <cell r="F89">
            <v>0.15000000000000002</v>
          </cell>
          <cell r="G89">
            <v>0.2</v>
          </cell>
          <cell r="H89">
            <v>0.25</v>
          </cell>
          <cell r="I89">
            <v>0.3</v>
          </cell>
          <cell r="J89">
            <v>0.35</v>
          </cell>
          <cell r="K89">
            <v>0.39999999999999997</v>
          </cell>
          <cell r="L89">
            <v>0.44999999999999996</v>
          </cell>
          <cell r="M89">
            <v>0.49999999999999994</v>
          </cell>
          <cell r="N89">
            <v>0.54999999999999993</v>
          </cell>
          <cell r="O89">
            <v>0.6</v>
          </cell>
          <cell r="P89">
            <v>0.65</v>
          </cell>
          <cell r="Q89">
            <v>0.70000000000000007</v>
          </cell>
          <cell r="R89">
            <v>0.75000000000000011</v>
          </cell>
          <cell r="S89">
            <v>0.80000000000000016</v>
          </cell>
          <cell r="T89">
            <v>0.8500000000000002</v>
          </cell>
          <cell r="U89">
            <v>0.90000000000000024</v>
          </cell>
          <cell r="V89">
            <v>0.95000000000000029</v>
          </cell>
          <cell r="W89">
            <v>1.0000000000000002</v>
          </cell>
        </row>
        <row r="90">
          <cell r="A90" t="str">
            <v>Refrigeration</v>
          </cell>
          <cell r="B90" t="str">
            <v>Appliances - Freezers-NR</v>
          </cell>
          <cell r="C90" t="str">
            <v>LO5Med</v>
          </cell>
          <cell r="D90">
            <v>4.2999999999999997E-2</v>
          </cell>
          <cell r="E90">
            <v>9.5797142280278316E-2</v>
          </cell>
          <cell r="F90">
            <v>0.16040539374775648</v>
          </cell>
          <cell r="G90">
            <v>0.23540539374775649</v>
          </cell>
          <cell r="H90">
            <v>0.32095239121809005</v>
          </cell>
          <cell r="I90">
            <v>0.42096711425629652</v>
          </cell>
          <cell r="J90">
            <v>0.53068481860864725</v>
          </cell>
          <cell r="K90">
            <v>0.642769203728351</v>
          </cell>
          <cell r="L90">
            <v>0.74839528535557953</v>
          </cell>
          <cell r="M90">
            <v>0.83918984935345187</v>
          </cell>
          <cell r="N90">
            <v>0.90945051634530116</v>
          </cell>
          <cell r="O90">
            <v>0.9576688767502457</v>
          </cell>
          <cell r="P90">
            <v>0.9865231113648858</v>
          </cell>
          <cell r="Q90">
            <v>1.0012970762896924</v>
          </cell>
          <cell r="R90">
            <v>1.0076356106578106</v>
          </cell>
          <cell r="S90">
            <v>1.0098624683774413</v>
          </cell>
          <cell r="T90">
            <v>1.0104871783970797</v>
          </cell>
          <cell r="U90">
            <v>1.010623336815976</v>
          </cell>
          <cell r="V90">
            <v>1.0106457174525985</v>
          </cell>
          <cell r="W90">
            <v>1.0106484038909742</v>
          </cell>
        </row>
        <row r="91">
          <cell r="A91" t="str">
            <v>Refrigeration</v>
          </cell>
          <cell r="B91" t="str">
            <v>Appliances - Refrigerators-NR</v>
          </cell>
          <cell r="C91" t="str">
            <v>LO5Med</v>
          </cell>
          <cell r="D91">
            <v>4.2999999999999997E-2</v>
          </cell>
          <cell r="E91">
            <v>9.5797142280278316E-2</v>
          </cell>
          <cell r="F91">
            <v>0.16040539374775648</v>
          </cell>
          <cell r="G91">
            <v>0.23540539374775649</v>
          </cell>
          <cell r="H91">
            <v>0.32095239121809005</v>
          </cell>
          <cell r="I91">
            <v>0.42096711425629652</v>
          </cell>
          <cell r="J91">
            <v>0.53068481860864725</v>
          </cell>
          <cell r="K91">
            <v>0.642769203728351</v>
          </cell>
          <cell r="L91">
            <v>0.74839528535557953</v>
          </cell>
          <cell r="M91">
            <v>0.83918984935345187</v>
          </cell>
          <cell r="N91">
            <v>0.90945051634530116</v>
          </cell>
          <cell r="O91">
            <v>0.9576688767502457</v>
          </cell>
          <cell r="P91">
            <v>0.9865231113648858</v>
          </cell>
          <cell r="Q91">
            <v>1.0012970762896924</v>
          </cell>
          <cell r="R91">
            <v>1.0076356106578106</v>
          </cell>
          <cell r="S91">
            <v>1.0098624683774413</v>
          </cell>
          <cell r="T91">
            <v>1.0104871783970797</v>
          </cell>
          <cell r="U91">
            <v>1.010623336815976</v>
          </cell>
          <cell r="V91">
            <v>1.0106457174525985</v>
          </cell>
          <cell r="W91">
            <v>1.0106484038909742</v>
          </cell>
        </row>
        <row r="92">
          <cell r="A92" t="str">
            <v>Refrigeration</v>
          </cell>
          <cell r="B92" t="str">
            <v>Water Cooler Controls-NR</v>
          </cell>
          <cell r="C92" t="str">
            <v>LO5Med</v>
          </cell>
          <cell r="D92">
            <v>4.2999999999999997E-2</v>
          </cell>
          <cell r="E92">
            <v>9.5797142280278316E-2</v>
          </cell>
          <cell r="F92">
            <v>0.16040539374775648</v>
          </cell>
          <cell r="G92">
            <v>0.23540539374775649</v>
          </cell>
          <cell r="H92">
            <v>0.32095239121809005</v>
          </cell>
          <cell r="I92">
            <v>0.42096711425629652</v>
          </cell>
          <cell r="J92">
            <v>0.53068481860864725</v>
          </cell>
          <cell r="K92">
            <v>0.642769203728351</v>
          </cell>
          <cell r="L92">
            <v>0.74839528535557953</v>
          </cell>
          <cell r="M92">
            <v>0.83918984935345187</v>
          </cell>
          <cell r="N92">
            <v>0.90945051634530116</v>
          </cell>
          <cell r="O92">
            <v>0.9576688767502457</v>
          </cell>
          <cell r="P92">
            <v>0.9865231113648858</v>
          </cell>
          <cell r="Q92">
            <v>1.0012970762896924</v>
          </cell>
          <cell r="R92">
            <v>1.0076356106578106</v>
          </cell>
          <cell r="S92">
            <v>1.0098624683774413</v>
          </cell>
          <cell r="T92">
            <v>1.0104871783970797</v>
          </cell>
          <cell r="U92">
            <v>1.010623336815976</v>
          </cell>
          <cell r="V92">
            <v>1.0106457174525985</v>
          </cell>
          <cell r="W92">
            <v>1.0106484038909742</v>
          </cell>
        </row>
        <row r="93">
          <cell r="A93" t="str">
            <v>Water Heating</v>
          </cell>
          <cell r="B93" t="str">
            <v>WHTanks-New</v>
          </cell>
          <cell r="C93" t="str">
            <v>LO12Med</v>
          </cell>
          <cell r="D93">
            <v>0.10937459468255628</v>
          </cell>
          <cell r="E93">
            <v>0.21874918936511256</v>
          </cell>
          <cell r="F93">
            <v>0.32812378404766884</v>
          </cell>
          <cell r="G93">
            <v>0.43749837873022512</v>
          </cell>
          <cell r="H93">
            <v>0.5468729734127814</v>
          </cell>
          <cell r="I93">
            <v>0.64531010862708205</v>
          </cell>
          <cell r="J93">
            <v>0.7240598167985226</v>
          </cell>
          <cell r="K93">
            <v>0.78705958333567505</v>
          </cell>
          <cell r="L93">
            <v>0.83745939656539703</v>
          </cell>
          <cell r="M93">
            <v>0.87777924714917455</v>
          </cell>
          <cell r="N93">
            <v>0.91003512761619654</v>
          </cell>
          <cell r="O93">
            <v>0.93583983198981413</v>
          </cell>
          <cell r="P93">
            <v>0.9564835954887082</v>
          </cell>
          <cell r="Q93">
            <v>0.97299860628782353</v>
          </cell>
          <cell r="R93">
            <v>0.9862106149271157</v>
          </cell>
          <cell r="S93">
            <v>0.99678022183854953</v>
          </cell>
          <cell r="T93">
            <v>0.99685231466234414</v>
          </cell>
          <cell r="U93">
            <v>0.99687806209941365</v>
          </cell>
          <cell r="V93">
            <v>0.99688683963477831</v>
          </cell>
          <cell r="W93">
            <v>0.99688970187457115</v>
          </cell>
        </row>
        <row r="94">
          <cell r="A94" t="str">
            <v>Water Heating</v>
          </cell>
          <cell r="B94" t="str">
            <v>WHTanks-NR</v>
          </cell>
          <cell r="C94" t="str">
            <v>LO12Med</v>
          </cell>
          <cell r="D94">
            <v>0.10937459468255628</v>
          </cell>
          <cell r="E94">
            <v>0.21874918936511256</v>
          </cell>
          <cell r="F94">
            <v>0.32812378404766884</v>
          </cell>
          <cell r="G94">
            <v>0.43749837873022512</v>
          </cell>
          <cell r="H94">
            <v>0.5468729734127814</v>
          </cell>
          <cell r="I94">
            <v>0.64531010862708205</v>
          </cell>
          <cell r="J94">
            <v>0.7240598167985226</v>
          </cell>
          <cell r="K94">
            <v>0.78705958333567505</v>
          </cell>
          <cell r="L94">
            <v>0.83745939656539703</v>
          </cell>
          <cell r="M94">
            <v>0.87777924714917455</v>
          </cell>
          <cell r="N94">
            <v>0.91003512761619654</v>
          </cell>
          <cell r="O94">
            <v>0.93583983198981413</v>
          </cell>
          <cell r="P94">
            <v>0.9564835954887082</v>
          </cell>
          <cell r="Q94">
            <v>0.97299860628782353</v>
          </cell>
          <cell r="R94">
            <v>0.9862106149271157</v>
          </cell>
          <cell r="S94">
            <v>0.99678022183854953</v>
          </cell>
          <cell r="T94">
            <v>0.99685231466234414</v>
          </cell>
          <cell r="U94">
            <v>0.99687806209941365</v>
          </cell>
          <cell r="V94">
            <v>0.99688683963477831</v>
          </cell>
          <cell r="W94">
            <v>0.99688970187457115</v>
          </cell>
        </row>
        <row r="95">
          <cell r="A95" t="str">
            <v>Water Heating</v>
          </cell>
          <cell r="B95" t="str">
            <v>Appliances - Clothes Washers-NR</v>
          </cell>
          <cell r="C95" t="str">
            <v>Retro20Fast</v>
          </cell>
          <cell r="D95">
            <v>0.22119921692859512</v>
          </cell>
          <cell r="E95">
            <v>0.15504311102289431</v>
          </cell>
          <cell r="F95">
            <v>0.10733128557729499</v>
          </cell>
          <cell r="G95">
            <v>8.3589689255657879E-2</v>
          </cell>
          <cell r="H95">
            <v>7.3237179880126971E-2</v>
          </cell>
          <cell r="I95">
            <v>6.3374636711760357E-2</v>
          </cell>
          <cell r="J95">
            <v>5.4291838367783084E-2</v>
          </cell>
          <cell r="K95">
            <v>4.612639225659896E-2</v>
          </cell>
          <cell r="L95">
            <v>3.8916876277172864E-2</v>
          </cell>
          <cell r="M95">
            <v>3.2639916313151704E-2</v>
          </cell>
          <cell r="N95">
            <v>2.7235706125786907E-2</v>
          </cell>
          <cell r="O95">
            <v>2.1211189258265428E-2</v>
          </cell>
          <cell r="P95">
            <v>1.6519290804212883E-2</v>
          </cell>
          <cell r="Q95">
            <v>1.2865236614105324E-2</v>
          </cell>
          <cell r="R95">
            <v>1.0019456349464106E-2</v>
          </cell>
          <cell r="S95">
            <v>7.8031604509122832E-3</v>
          </cell>
          <cell r="T95">
            <v>6.077107469602494E-3</v>
          </cell>
          <cell r="U95">
            <v>4.7328560561354371E-3</v>
          </cell>
          <cell r="V95">
            <v>3.6859520026825132E-3</v>
          </cell>
          <cell r="W95">
            <v>2.8706223060526725E-3</v>
          </cell>
        </row>
        <row r="96">
          <cell r="A96" t="str">
            <v>Water Heating</v>
          </cell>
          <cell r="B96" t="str">
            <v>Showerheads-Retro</v>
          </cell>
          <cell r="C96" t="str">
            <v>Retro20Fast</v>
          </cell>
          <cell r="D96">
            <v>0.22119921692859512</v>
          </cell>
          <cell r="E96">
            <v>0.15504311102289431</v>
          </cell>
          <cell r="F96">
            <v>0.10733128557729499</v>
          </cell>
          <cell r="G96">
            <v>8.3589689255657879E-2</v>
          </cell>
          <cell r="H96">
            <v>7.3237179880126971E-2</v>
          </cell>
          <cell r="I96">
            <v>6.3374636711760357E-2</v>
          </cell>
          <cell r="J96">
            <v>5.4291838367783084E-2</v>
          </cell>
          <cell r="K96">
            <v>4.612639225659896E-2</v>
          </cell>
          <cell r="L96">
            <v>3.8916876277172864E-2</v>
          </cell>
          <cell r="M96">
            <v>3.2639916313151704E-2</v>
          </cell>
          <cell r="N96">
            <v>2.7235706125786907E-2</v>
          </cell>
          <cell r="O96">
            <v>2.1211189258265428E-2</v>
          </cell>
          <cell r="P96">
            <v>1.6519290804212883E-2</v>
          </cell>
          <cell r="Q96">
            <v>1.2865236614105324E-2</v>
          </cell>
          <cell r="R96">
            <v>1.0019456349464106E-2</v>
          </cell>
          <cell r="S96">
            <v>7.8031604509122832E-3</v>
          </cell>
          <cell r="T96">
            <v>6.077107469602494E-3</v>
          </cell>
          <cell r="U96">
            <v>4.7328560561354371E-3</v>
          </cell>
          <cell r="V96">
            <v>3.6859520026825132E-3</v>
          </cell>
          <cell r="W96">
            <v>2.8706223060526725E-3</v>
          </cell>
        </row>
        <row r="97">
          <cell r="A97" t="str">
            <v>Water Heating</v>
          </cell>
          <cell r="B97" t="str">
            <v>Water Heating - GFHX-New</v>
          </cell>
          <cell r="C97" t="str">
            <v>Retro20Fast</v>
          </cell>
          <cell r="D97">
            <v>0.22119921692859512</v>
          </cell>
          <cell r="E97">
            <v>0.15504311102289431</v>
          </cell>
          <cell r="F97">
            <v>0.10733128557729499</v>
          </cell>
          <cell r="G97">
            <v>8.3589689255657879E-2</v>
          </cell>
          <cell r="H97">
            <v>7.3237179880126971E-2</v>
          </cell>
          <cell r="I97">
            <v>6.3374636711760357E-2</v>
          </cell>
          <cell r="J97">
            <v>5.4291838367783084E-2</v>
          </cell>
          <cell r="K97">
            <v>4.612639225659896E-2</v>
          </cell>
          <cell r="L97">
            <v>3.8916876277172864E-2</v>
          </cell>
          <cell r="M97">
            <v>3.2639916313151704E-2</v>
          </cell>
          <cell r="N97">
            <v>2.7235706125786907E-2</v>
          </cell>
          <cell r="O97">
            <v>2.1211189258265428E-2</v>
          </cell>
          <cell r="P97">
            <v>1.6519290804212883E-2</v>
          </cell>
          <cell r="Q97">
            <v>1.2865236614105324E-2</v>
          </cell>
          <cell r="R97">
            <v>1.0019456349464106E-2</v>
          </cell>
          <cell r="S97">
            <v>7.8031604509122832E-3</v>
          </cell>
          <cell r="T97">
            <v>6.077107469602494E-3</v>
          </cell>
          <cell r="U97">
            <v>4.7328560561354371E-3</v>
          </cell>
          <cell r="V97">
            <v>3.6859520026825132E-3</v>
          </cell>
          <cell r="W97">
            <v>2.8706223060526725E-3</v>
          </cell>
        </row>
        <row r="98">
          <cell r="A98" t="str">
            <v>Water Heating</v>
          </cell>
          <cell r="B98" t="str">
            <v>Demand Control Circulating system DHW-Retro</v>
          </cell>
          <cell r="C98" t="str">
            <v>RetroEven20</v>
          </cell>
          <cell r="D98">
            <v>0.05</v>
          </cell>
          <cell r="E98">
            <v>0.05</v>
          </cell>
          <cell r="F98">
            <v>0.05</v>
          </cell>
          <cell r="G98">
            <v>0.05</v>
          </cell>
          <cell r="H98">
            <v>0.05</v>
          </cell>
          <cell r="I98">
            <v>0.05</v>
          </cell>
          <cell r="J98">
            <v>0.05</v>
          </cell>
          <cell r="K98">
            <v>0.05</v>
          </cell>
          <cell r="L98">
            <v>0.05</v>
          </cell>
          <cell r="M98">
            <v>0.05</v>
          </cell>
          <cell r="N98">
            <v>0.05</v>
          </cell>
          <cell r="O98">
            <v>0.05</v>
          </cell>
          <cell r="P98">
            <v>0.05</v>
          </cell>
          <cell r="Q98">
            <v>0.05</v>
          </cell>
          <cell r="R98">
            <v>0.05</v>
          </cell>
          <cell r="S98">
            <v>0.05</v>
          </cell>
          <cell r="T98">
            <v>0.05</v>
          </cell>
          <cell r="U98">
            <v>0.05</v>
          </cell>
          <cell r="V98">
            <v>0.05</v>
          </cell>
          <cell r="W98">
            <v>0.05</v>
          </cell>
        </row>
        <row r="99">
          <cell r="A99" t="str">
            <v>Water Heating</v>
          </cell>
          <cell r="B99" t="str">
            <v>Central HPWH MF-Retro</v>
          </cell>
          <cell r="C99" t="str">
            <v>Retro20Fast</v>
          </cell>
          <cell r="D99">
            <v>0.22119921692859512</v>
          </cell>
          <cell r="E99">
            <v>0.15504311102289431</v>
          </cell>
          <cell r="F99">
            <v>0.10733128557729499</v>
          </cell>
          <cell r="G99">
            <v>8.3589689255657879E-2</v>
          </cell>
          <cell r="H99">
            <v>7.3237179880126971E-2</v>
          </cell>
          <cell r="I99">
            <v>6.3374636711760357E-2</v>
          </cell>
          <cell r="J99">
            <v>5.4291838367783084E-2</v>
          </cell>
          <cell r="K99">
            <v>4.612639225659896E-2</v>
          </cell>
          <cell r="L99">
            <v>3.8916876277172864E-2</v>
          </cell>
          <cell r="M99">
            <v>3.2639916313151704E-2</v>
          </cell>
          <cell r="N99">
            <v>2.7235706125786907E-2</v>
          </cell>
          <cell r="O99">
            <v>2.1211189258265428E-2</v>
          </cell>
          <cell r="P99">
            <v>1.6519290804212883E-2</v>
          </cell>
          <cell r="Q99">
            <v>1.2865236614105324E-2</v>
          </cell>
          <cell r="R99">
            <v>1.0019456349464106E-2</v>
          </cell>
          <cell r="S99">
            <v>7.8031604509122832E-3</v>
          </cell>
          <cell r="T99">
            <v>6.077107469602494E-3</v>
          </cell>
          <cell r="U99">
            <v>4.7328560561354371E-3</v>
          </cell>
          <cell r="V99">
            <v>3.6859520026825132E-3</v>
          </cell>
          <cell r="W99">
            <v>2.8706223060526725E-3</v>
          </cell>
        </row>
        <row r="100">
          <cell r="A100" t="str">
            <v>Whole Bldg/Meter Level</v>
          </cell>
          <cell r="B100" t="str">
            <v>Ultra Low Energy Building-New</v>
          </cell>
          <cell r="C100" t="str">
            <v>LO1Slow</v>
          </cell>
          <cell r="D100">
            <v>2.5643970768378654E-3</v>
          </cell>
          <cell r="E100">
            <v>7.6904586297764643E-3</v>
          </cell>
          <cell r="F100">
            <v>1.6792013047419844E-2</v>
          </cell>
          <cell r="G100">
            <v>3.15969387774655E-2</v>
          </cell>
          <cell r="H100">
            <v>5.406874819795171E-2</v>
          </cell>
          <cell r="I100">
            <v>8.6253181011834101E-2</v>
          </cell>
          <cell r="J100">
            <v>0.1300328481838382</v>
          </cell>
          <cell r="K100">
            <v>0.18678710893858319</v>
          </cell>
          <cell r="L100">
            <v>0.2569823480072907</v>
          </cell>
          <cell r="M100">
            <v>0.33975920985004748</v>
          </cell>
          <cell r="N100">
            <v>0.43262946935754232</v>
          </cell>
          <cell r="O100">
            <v>0.53142594003645804</v>
          </cell>
          <cell r="P100">
            <v>0.63063487292644704</v>
          </cell>
          <cell r="Q100">
            <v>0.7241560234206913</v>
          </cell>
          <cell r="R100">
            <v>0.80638203131755359</v>
          </cell>
          <cell r="S100">
            <v>0.87331559734491926</v>
          </cell>
          <cell r="T100">
            <v>0.92334516248836807</v>
          </cell>
          <cell r="U100">
            <v>0.95737002770730018</v>
          </cell>
          <cell r="V100">
            <v>0.97821608704807483</v>
          </cell>
          <cell r="W100">
            <v>0.98821608704807484</v>
          </cell>
        </row>
        <row r="101">
          <cell r="A101" t="str">
            <v>Lighting</v>
          </cell>
          <cell r="B101" t="str">
            <v>Low Power LF Lamps-NR</v>
          </cell>
          <cell r="C101" t="str">
            <v>LO20Fast</v>
          </cell>
          <cell r="D101">
            <v>0.22119921692859512</v>
          </cell>
          <cell r="E101">
            <v>0.37624232795148943</v>
          </cell>
          <cell r="F101">
            <v>0.48357361352878442</v>
          </cell>
          <cell r="G101">
            <v>0.56716330278444227</v>
          </cell>
          <cell r="H101">
            <v>0.64040048266456928</v>
          </cell>
          <cell r="I101">
            <v>0.70377511937632964</v>
          </cell>
          <cell r="J101">
            <v>0.7580669577441127</v>
          </cell>
          <cell r="K101">
            <v>0.80419335000071168</v>
          </cell>
          <cell r="L101">
            <v>0.84311022627788457</v>
          </cell>
          <cell r="M101">
            <v>0.87575014259103623</v>
          </cell>
          <cell r="N101">
            <v>0.90298584871682319</v>
          </cell>
          <cell r="O101">
            <v>0.92419703797508856</v>
          </cell>
          <cell r="P101">
            <v>0.94071632877930145</v>
          </cell>
          <cell r="Q101">
            <v>0.95358156539340677</v>
          </cell>
          <cell r="R101">
            <v>0.96360102174287088</v>
          </cell>
          <cell r="S101">
            <v>0.97140418219378311</v>
          </cell>
          <cell r="T101">
            <v>0.97748128966338554</v>
          </cell>
          <cell r="U101">
            <v>0.98221414571952104</v>
          </cell>
          <cell r="V101">
            <v>0.98590009772220355</v>
          </cell>
          <cell r="W101">
            <v>0.98877072002825628</v>
          </cell>
        </row>
        <row r="102">
          <cell r="D102" t="str">
            <v/>
          </cell>
          <cell r="E102" t="str">
            <v/>
          </cell>
          <cell r="F102" t="str">
            <v/>
          </cell>
          <cell r="G102" t="str">
            <v/>
          </cell>
          <cell r="H102" t="str">
            <v/>
          </cell>
          <cell r="I102" t="str">
            <v/>
          </cell>
          <cell r="J102" t="str">
            <v/>
          </cell>
          <cell r="K102" t="str">
            <v/>
          </cell>
          <cell r="L102" t="str">
            <v/>
          </cell>
          <cell r="M102" t="str">
            <v/>
          </cell>
          <cell r="N102" t="str">
            <v/>
          </cell>
          <cell r="O102" t="str">
            <v/>
          </cell>
          <cell r="P102" t="str">
            <v/>
          </cell>
          <cell r="Q102" t="str">
            <v/>
          </cell>
          <cell r="R102" t="str">
            <v/>
          </cell>
          <cell r="S102" t="str">
            <v/>
          </cell>
          <cell r="T102" t="str">
            <v/>
          </cell>
          <cell r="U102" t="str">
            <v/>
          </cell>
          <cell r="V102" t="str">
            <v/>
          </cell>
          <cell r="W102" t="str">
            <v/>
          </cell>
        </row>
        <row r="103">
          <cell r="D103" t="str">
            <v/>
          </cell>
          <cell r="E103" t="str">
            <v/>
          </cell>
          <cell r="F103" t="str">
            <v/>
          </cell>
          <cell r="G103" t="str">
            <v/>
          </cell>
          <cell r="H103" t="str">
            <v/>
          </cell>
          <cell r="I103" t="str">
            <v/>
          </cell>
          <cell r="J103" t="str">
            <v/>
          </cell>
          <cell r="K103" t="str">
            <v/>
          </cell>
          <cell r="L103" t="str">
            <v/>
          </cell>
          <cell r="M103" t="str">
            <v/>
          </cell>
          <cell r="N103" t="str">
            <v/>
          </cell>
          <cell r="O103" t="str">
            <v/>
          </cell>
          <cell r="P103" t="str">
            <v/>
          </cell>
          <cell r="Q103" t="str">
            <v/>
          </cell>
          <cell r="R103" t="str">
            <v/>
          </cell>
          <cell r="S103" t="str">
            <v/>
          </cell>
          <cell r="T103" t="str">
            <v/>
          </cell>
          <cell r="U103" t="str">
            <v/>
          </cell>
          <cell r="V103" t="str">
            <v/>
          </cell>
          <cell r="W103" t="str">
            <v/>
          </cell>
        </row>
        <row r="104">
          <cell r="D104" t="str">
            <v/>
          </cell>
          <cell r="E104" t="str">
            <v/>
          </cell>
          <cell r="F104" t="str">
            <v/>
          </cell>
          <cell r="G104" t="str">
            <v/>
          </cell>
          <cell r="H104" t="str">
            <v/>
          </cell>
          <cell r="I104" t="str">
            <v/>
          </cell>
          <cell r="J104" t="str">
            <v/>
          </cell>
          <cell r="K104" t="str">
            <v/>
          </cell>
          <cell r="L104" t="str">
            <v/>
          </cell>
          <cell r="M104" t="str">
            <v/>
          </cell>
          <cell r="N104" t="str">
            <v/>
          </cell>
          <cell r="O104" t="str">
            <v/>
          </cell>
          <cell r="P104" t="str">
            <v/>
          </cell>
          <cell r="Q104" t="str">
            <v/>
          </cell>
          <cell r="R104" t="str">
            <v/>
          </cell>
          <cell r="S104" t="str">
            <v/>
          </cell>
          <cell r="T104" t="str">
            <v/>
          </cell>
          <cell r="U104" t="str">
            <v/>
          </cell>
          <cell r="V104" t="str">
            <v/>
          </cell>
          <cell r="W104" t="str">
            <v/>
          </cell>
        </row>
        <row r="105">
          <cell r="D105" t="str">
            <v/>
          </cell>
          <cell r="E105" t="str">
            <v/>
          </cell>
          <cell r="F105" t="str">
            <v/>
          </cell>
          <cell r="G105" t="str">
            <v/>
          </cell>
          <cell r="H105" t="str">
            <v/>
          </cell>
          <cell r="I105" t="str">
            <v/>
          </cell>
          <cell r="J105" t="str">
            <v/>
          </cell>
          <cell r="K105" t="str">
            <v/>
          </cell>
          <cell r="L105" t="str">
            <v/>
          </cell>
          <cell r="M105" t="str">
            <v/>
          </cell>
          <cell r="N105" t="str">
            <v/>
          </cell>
          <cell r="O105" t="str">
            <v/>
          </cell>
          <cell r="P105" t="str">
            <v/>
          </cell>
          <cell r="Q105" t="str">
            <v/>
          </cell>
          <cell r="R105" t="str">
            <v/>
          </cell>
          <cell r="S105" t="str">
            <v/>
          </cell>
          <cell r="T105" t="str">
            <v/>
          </cell>
          <cell r="U105" t="str">
            <v/>
          </cell>
          <cell r="V105" t="str">
            <v/>
          </cell>
          <cell r="W105" t="str">
            <v/>
          </cell>
        </row>
        <row r="106">
          <cell r="D106" t="str">
            <v/>
          </cell>
          <cell r="E106" t="str">
            <v/>
          </cell>
          <cell r="F106" t="str">
            <v/>
          </cell>
          <cell r="G106" t="str">
            <v/>
          </cell>
          <cell r="H106" t="str">
            <v/>
          </cell>
          <cell r="I106" t="str">
            <v/>
          </cell>
          <cell r="J106" t="str">
            <v/>
          </cell>
          <cell r="K106" t="str">
            <v/>
          </cell>
          <cell r="L106" t="str">
            <v/>
          </cell>
          <cell r="M106" t="str">
            <v/>
          </cell>
          <cell r="N106" t="str">
            <v/>
          </cell>
          <cell r="O106" t="str">
            <v/>
          </cell>
          <cell r="P106" t="str">
            <v/>
          </cell>
          <cell r="Q106" t="str">
            <v/>
          </cell>
          <cell r="R106" t="str">
            <v/>
          </cell>
          <cell r="S106" t="str">
            <v/>
          </cell>
          <cell r="T106" t="str">
            <v/>
          </cell>
          <cell r="U106" t="str">
            <v/>
          </cell>
          <cell r="V106" t="str">
            <v/>
          </cell>
          <cell r="W106" t="str">
            <v/>
          </cell>
        </row>
        <row r="107">
          <cell r="D107" t="str">
            <v/>
          </cell>
          <cell r="E107" t="str">
            <v/>
          </cell>
          <cell r="F107" t="str">
            <v/>
          </cell>
          <cell r="G107" t="str">
            <v/>
          </cell>
          <cell r="H107" t="str">
            <v/>
          </cell>
          <cell r="I107" t="str">
            <v/>
          </cell>
          <cell r="J107" t="str">
            <v/>
          </cell>
          <cell r="K107" t="str">
            <v/>
          </cell>
          <cell r="L107" t="str">
            <v/>
          </cell>
          <cell r="M107" t="str">
            <v/>
          </cell>
          <cell r="N107" t="str">
            <v/>
          </cell>
          <cell r="O107" t="str">
            <v/>
          </cell>
          <cell r="P107" t="str">
            <v/>
          </cell>
          <cell r="Q107" t="str">
            <v/>
          </cell>
          <cell r="R107" t="str">
            <v/>
          </cell>
          <cell r="S107" t="str">
            <v/>
          </cell>
          <cell r="T107" t="str">
            <v/>
          </cell>
          <cell r="U107" t="str">
            <v/>
          </cell>
          <cell r="V107" t="str">
            <v/>
          </cell>
          <cell r="W107" t="str">
            <v/>
          </cell>
        </row>
        <row r="108">
          <cell r="D108" t="str">
            <v/>
          </cell>
          <cell r="E108" t="str">
            <v/>
          </cell>
          <cell r="F108" t="str">
            <v/>
          </cell>
          <cell r="G108" t="str">
            <v/>
          </cell>
          <cell r="H108" t="str">
            <v/>
          </cell>
          <cell r="I108" t="str">
            <v/>
          </cell>
          <cell r="J108" t="str">
            <v/>
          </cell>
          <cell r="K108" t="str">
            <v/>
          </cell>
          <cell r="L108" t="str">
            <v/>
          </cell>
          <cell r="M108" t="str">
            <v/>
          </cell>
          <cell r="N108" t="str">
            <v/>
          </cell>
          <cell r="O108" t="str">
            <v/>
          </cell>
          <cell r="P108" t="str">
            <v/>
          </cell>
          <cell r="Q108" t="str">
            <v/>
          </cell>
          <cell r="R108" t="str">
            <v/>
          </cell>
          <cell r="S108" t="str">
            <v/>
          </cell>
          <cell r="T108" t="str">
            <v/>
          </cell>
          <cell r="U108" t="str">
            <v/>
          </cell>
          <cell r="V108" t="str">
            <v/>
          </cell>
          <cell r="W108" t="str">
            <v/>
          </cell>
        </row>
        <row r="109">
          <cell r="D109" t="str">
            <v/>
          </cell>
          <cell r="E109" t="str">
            <v/>
          </cell>
          <cell r="F109" t="str">
            <v/>
          </cell>
          <cell r="G109" t="str">
            <v/>
          </cell>
          <cell r="H109" t="str">
            <v/>
          </cell>
          <cell r="I109" t="str">
            <v/>
          </cell>
          <cell r="J109" t="str">
            <v/>
          </cell>
          <cell r="K109" t="str">
            <v/>
          </cell>
          <cell r="L109" t="str">
            <v/>
          </cell>
          <cell r="M109" t="str">
            <v/>
          </cell>
          <cell r="N109" t="str">
            <v/>
          </cell>
          <cell r="O109" t="str">
            <v/>
          </cell>
          <cell r="P109" t="str">
            <v/>
          </cell>
          <cell r="Q109" t="str">
            <v/>
          </cell>
          <cell r="R109" t="str">
            <v/>
          </cell>
          <cell r="S109" t="str">
            <v/>
          </cell>
          <cell r="T109" t="str">
            <v/>
          </cell>
          <cell r="U109" t="str">
            <v/>
          </cell>
          <cell r="V109" t="str">
            <v/>
          </cell>
          <cell r="W109" t="str">
            <v/>
          </cell>
        </row>
        <row r="110">
          <cell r="D110" t="str">
            <v/>
          </cell>
          <cell r="E110" t="str">
            <v/>
          </cell>
          <cell r="F110" t="str">
            <v/>
          </cell>
          <cell r="G110" t="str">
            <v/>
          </cell>
          <cell r="H110" t="str">
            <v/>
          </cell>
          <cell r="I110" t="str">
            <v/>
          </cell>
          <cell r="J110" t="str">
            <v/>
          </cell>
          <cell r="K110" t="str">
            <v/>
          </cell>
          <cell r="L110" t="str">
            <v/>
          </cell>
          <cell r="M110" t="str">
            <v/>
          </cell>
          <cell r="N110" t="str">
            <v/>
          </cell>
          <cell r="O110" t="str">
            <v/>
          </cell>
          <cell r="P110" t="str">
            <v/>
          </cell>
          <cell r="Q110" t="str">
            <v/>
          </cell>
          <cell r="R110" t="str">
            <v/>
          </cell>
          <cell r="S110" t="str">
            <v/>
          </cell>
          <cell r="T110" t="str">
            <v/>
          </cell>
          <cell r="U110" t="str">
            <v/>
          </cell>
          <cell r="V110" t="str">
            <v/>
          </cell>
          <cell r="W110" t="str">
            <v/>
          </cell>
        </row>
        <row r="111">
          <cell r="D111" t="str">
            <v/>
          </cell>
          <cell r="E111" t="str">
            <v/>
          </cell>
          <cell r="F111" t="str">
            <v/>
          </cell>
          <cell r="G111" t="str">
            <v/>
          </cell>
          <cell r="H111" t="str">
            <v/>
          </cell>
          <cell r="I111" t="str">
            <v/>
          </cell>
          <cell r="J111" t="str">
            <v/>
          </cell>
          <cell r="K111" t="str">
            <v/>
          </cell>
          <cell r="L111" t="str">
            <v/>
          </cell>
          <cell r="M111" t="str">
            <v/>
          </cell>
          <cell r="N111" t="str">
            <v/>
          </cell>
          <cell r="O111" t="str">
            <v/>
          </cell>
          <cell r="P111" t="str">
            <v/>
          </cell>
          <cell r="Q111" t="str">
            <v/>
          </cell>
          <cell r="R111" t="str">
            <v/>
          </cell>
          <cell r="S111" t="str">
            <v/>
          </cell>
          <cell r="T111" t="str">
            <v/>
          </cell>
          <cell r="U111" t="str">
            <v/>
          </cell>
          <cell r="V111" t="str">
            <v/>
          </cell>
          <cell r="W111" t="str">
            <v/>
          </cell>
        </row>
        <row r="112">
          <cell r="D112" t="str">
            <v/>
          </cell>
          <cell r="E112" t="str">
            <v/>
          </cell>
          <cell r="F112" t="str">
            <v/>
          </cell>
          <cell r="G112" t="str">
            <v/>
          </cell>
          <cell r="H112" t="str">
            <v/>
          </cell>
          <cell r="I112" t="str">
            <v/>
          </cell>
          <cell r="J112" t="str">
            <v/>
          </cell>
          <cell r="K112" t="str">
            <v/>
          </cell>
          <cell r="L112" t="str">
            <v/>
          </cell>
          <cell r="M112" t="str">
            <v/>
          </cell>
          <cell r="N112" t="str">
            <v/>
          </cell>
          <cell r="O112" t="str">
            <v/>
          </cell>
          <cell r="P112" t="str">
            <v/>
          </cell>
          <cell r="Q112" t="str">
            <v/>
          </cell>
          <cell r="R112" t="str">
            <v/>
          </cell>
          <cell r="S112" t="str">
            <v/>
          </cell>
          <cell r="T112" t="str">
            <v/>
          </cell>
          <cell r="U112" t="str">
            <v/>
          </cell>
          <cell r="V112" t="str">
            <v/>
          </cell>
          <cell r="W112" t="str">
            <v/>
          </cell>
        </row>
        <row r="113">
          <cell r="D113" t="str">
            <v/>
          </cell>
          <cell r="E113" t="str">
            <v/>
          </cell>
          <cell r="F113" t="str">
            <v/>
          </cell>
          <cell r="G113" t="str">
            <v/>
          </cell>
          <cell r="H113" t="str">
            <v/>
          </cell>
          <cell r="I113" t="str">
            <v/>
          </cell>
          <cell r="J113" t="str">
            <v/>
          </cell>
          <cell r="K113" t="str">
            <v/>
          </cell>
          <cell r="L113" t="str">
            <v/>
          </cell>
          <cell r="M113" t="str">
            <v/>
          </cell>
          <cell r="N113" t="str">
            <v/>
          </cell>
          <cell r="O113" t="str">
            <v/>
          </cell>
          <cell r="P113" t="str">
            <v/>
          </cell>
          <cell r="Q113" t="str">
            <v/>
          </cell>
          <cell r="R113" t="str">
            <v/>
          </cell>
          <cell r="S113" t="str">
            <v/>
          </cell>
          <cell r="T113" t="str">
            <v/>
          </cell>
          <cell r="U113" t="str">
            <v/>
          </cell>
          <cell r="V113" t="str">
            <v/>
          </cell>
          <cell r="W113" t="str">
            <v/>
          </cell>
        </row>
        <row r="114">
          <cell r="D114" t="str">
            <v/>
          </cell>
          <cell r="E114" t="str">
            <v/>
          </cell>
          <cell r="F114" t="str">
            <v/>
          </cell>
          <cell r="G114" t="str">
            <v/>
          </cell>
          <cell r="H114" t="str">
            <v/>
          </cell>
          <cell r="I114" t="str">
            <v/>
          </cell>
          <cell r="J114" t="str">
            <v/>
          </cell>
          <cell r="K114" t="str">
            <v/>
          </cell>
          <cell r="L114" t="str">
            <v/>
          </cell>
          <cell r="M114" t="str">
            <v/>
          </cell>
          <cell r="N114" t="str">
            <v/>
          </cell>
          <cell r="O114" t="str">
            <v/>
          </cell>
          <cell r="P114" t="str">
            <v/>
          </cell>
          <cell r="Q114" t="str">
            <v/>
          </cell>
          <cell r="R114" t="str">
            <v/>
          </cell>
          <cell r="S114" t="str">
            <v/>
          </cell>
          <cell r="T114" t="str">
            <v/>
          </cell>
          <cell r="U114" t="str">
            <v/>
          </cell>
          <cell r="V114" t="str">
            <v/>
          </cell>
          <cell r="W114" t="str">
            <v/>
          </cell>
        </row>
        <row r="115">
          <cell r="D115" t="str">
            <v/>
          </cell>
          <cell r="E115" t="str">
            <v/>
          </cell>
          <cell r="F115" t="str">
            <v/>
          </cell>
          <cell r="G115" t="str">
            <v/>
          </cell>
          <cell r="H115" t="str">
            <v/>
          </cell>
          <cell r="I115" t="str">
            <v/>
          </cell>
          <cell r="J115" t="str">
            <v/>
          </cell>
          <cell r="K115" t="str">
            <v/>
          </cell>
          <cell r="L115" t="str">
            <v/>
          </cell>
          <cell r="M115" t="str">
            <v/>
          </cell>
          <cell r="N115" t="str">
            <v/>
          </cell>
          <cell r="O115" t="str">
            <v/>
          </cell>
          <cell r="P115" t="str">
            <v/>
          </cell>
          <cell r="Q115" t="str">
            <v/>
          </cell>
          <cell r="R115" t="str">
            <v/>
          </cell>
          <cell r="S115" t="str">
            <v/>
          </cell>
          <cell r="T115" t="str">
            <v/>
          </cell>
          <cell r="U115" t="str">
            <v/>
          </cell>
          <cell r="V115" t="str">
            <v/>
          </cell>
          <cell r="W115" t="str">
            <v/>
          </cell>
        </row>
        <row r="116">
          <cell r="D116" t="str">
            <v/>
          </cell>
          <cell r="E116" t="str">
            <v/>
          </cell>
          <cell r="F116" t="str">
            <v/>
          </cell>
          <cell r="G116" t="str">
            <v/>
          </cell>
          <cell r="H116" t="str">
            <v/>
          </cell>
          <cell r="I116" t="str">
            <v/>
          </cell>
          <cell r="J116" t="str">
            <v/>
          </cell>
          <cell r="K116" t="str">
            <v/>
          </cell>
          <cell r="L116" t="str">
            <v/>
          </cell>
          <cell r="M116" t="str">
            <v/>
          </cell>
          <cell r="N116" t="str">
            <v/>
          </cell>
          <cell r="O116" t="str">
            <v/>
          </cell>
          <cell r="P116" t="str">
            <v/>
          </cell>
          <cell r="Q116" t="str">
            <v/>
          </cell>
          <cell r="R116" t="str">
            <v/>
          </cell>
          <cell r="S116" t="str">
            <v/>
          </cell>
          <cell r="T116" t="str">
            <v/>
          </cell>
          <cell r="U116" t="str">
            <v/>
          </cell>
          <cell r="V116" t="str">
            <v/>
          </cell>
          <cell r="W116" t="str">
            <v/>
          </cell>
        </row>
      </sheetData>
      <sheetData sheetId="8">
        <row r="11">
          <cell r="B11" t="str">
            <v>Measure Index Name</v>
          </cell>
          <cell r="C11" t="str">
            <v>Large Off</v>
          </cell>
          <cell r="D11" t="str">
            <v>Medium Off</v>
          </cell>
          <cell r="E11" t="str">
            <v>Small Off</v>
          </cell>
          <cell r="F11" t="str">
            <v>Xlarge Ret</v>
          </cell>
          <cell r="G11" t="str">
            <v>Large Ret</v>
          </cell>
          <cell r="H11" t="str">
            <v>Medium Ret</v>
          </cell>
          <cell r="I11" t="str">
            <v>Small Ret</v>
          </cell>
          <cell r="J11" t="str">
            <v>School K-12</v>
          </cell>
          <cell r="K11" t="str">
            <v>University</v>
          </cell>
          <cell r="L11" t="str">
            <v>Warehouse</v>
          </cell>
          <cell r="M11" t="str">
            <v>Supermarket</v>
          </cell>
          <cell r="N11" t="str">
            <v>MiniMart</v>
          </cell>
          <cell r="O11" t="str">
            <v>Restaurant</v>
          </cell>
          <cell r="P11" t="str">
            <v>Lodging</v>
          </cell>
          <cell r="Q11" t="str">
            <v>Hospital</v>
          </cell>
          <cell r="R11" t="str">
            <v>Residential Care</v>
          </cell>
          <cell r="S11" t="str">
            <v>Assembly</v>
          </cell>
          <cell r="T11" t="str">
            <v>Other</v>
          </cell>
          <cell r="U11" t="str">
            <v>Non-Building Stock</v>
          </cell>
        </row>
        <row r="12">
          <cell r="B12" t="str">
            <v>Compressed Air-Retro</v>
          </cell>
        </row>
        <row r="13">
          <cell r="B13" t="str">
            <v>Compressed Air-NR</v>
          </cell>
        </row>
        <row r="14">
          <cell r="B14" t="str">
            <v>Network PC Power Management-Retro</v>
          </cell>
        </row>
        <row r="15">
          <cell r="B15" t="str">
            <v>Laptop-NR</v>
          </cell>
        </row>
        <row r="16">
          <cell r="B16" t="str">
            <v>Smart Plug Power Strips-Retro</v>
          </cell>
        </row>
        <row r="17">
          <cell r="B17" t="str">
            <v>Data Centers-NR</v>
          </cell>
        </row>
        <row r="18">
          <cell r="B18" t="str">
            <v>Monitor-NR</v>
          </cell>
        </row>
        <row r="19">
          <cell r="B19" t="str">
            <v>Desktop-NR</v>
          </cell>
        </row>
        <row r="20">
          <cell r="B20" t="str">
            <v>Pre-Rinse Spray Valve-Retro</v>
          </cell>
        </row>
        <row r="21">
          <cell r="B21" t="str">
            <v>Cooking Equipment-NR</v>
          </cell>
        </row>
        <row r="22">
          <cell r="B22" t="str">
            <v>Premium HVAC Equipment-New</v>
          </cell>
        </row>
        <row r="23">
          <cell r="B23" t="str">
            <v>Premium HVAC Equipment-NR</v>
          </cell>
        </row>
        <row r="24">
          <cell r="B24" t="str">
            <v>Glass-New</v>
          </cell>
        </row>
        <row r="25">
          <cell r="B25" t="str">
            <v>Glass-NR</v>
          </cell>
        </row>
        <row r="26">
          <cell r="B26" t="str">
            <v>Glass-Retro</v>
          </cell>
        </row>
        <row r="27">
          <cell r="B27" t="str">
            <v>Advanced Rooftop Controller-New</v>
          </cell>
        </row>
        <row r="28">
          <cell r="B28" t="str">
            <v>Advanced Rooftop Controller-NR</v>
          </cell>
        </row>
        <row r="29">
          <cell r="B29" t="str">
            <v>Advanced Rooftop Controller-Retro</v>
          </cell>
        </row>
        <row r="30">
          <cell r="B30" t="str">
            <v>Variable Speed Chiller-New</v>
          </cell>
        </row>
        <row r="31">
          <cell r="B31" t="str">
            <v>Variable Speed Chiller-NR</v>
          </cell>
        </row>
        <row r="32">
          <cell r="B32" t="str">
            <v>Commercial EM-New</v>
          </cell>
        </row>
        <row r="33">
          <cell r="B33" t="str">
            <v>Commercial EM-NR</v>
          </cell>
        </row>
        <row r="34">
          <cell r="B34" t="str">
            <v>Commercial EM-Retro</v>
          </cell>
        </row>
        <row r="35">
          <cell r="B35" t="str">
            <v>Evaporative Assist Cooling-New</v>
          </cell>
        </row>
        <row r="36">
          <cell r="B36" t="str">
            <v>Evaporative Assist Cooling-NR</v>
          </cell>
        </row>
        <row r="37">
          <cell r="B37" t="str">
            <v>Economizer-Retro</v>
          </cell>
        </row>
        <row r="38">
          <cell r="B38" t="str">
            <v>Demand Control Ventilation-New</v>
          </cell>
        </row>
        <row r="39">
          <cell r="B39" t="str">
            <v>Demand Control Ventilation-NR</v>
          </cell>
        </row>
        <row r="40">
          <cell r="B40" t="str">
            <v>Demand Control Ventilation-Retro</v>
          </cell>
        </row>
        <row r="41">
          <cell r="B41" t="str">
            <v>Premium Fume Hood-NR</v>
          </cell>
        </row>
        <row r="42">
          <cell r="B42" t="str">
            <v>DCV Restaurant Hood-Retro</v>
          </cell>
        </row>
        <row r="43">
          <cell r="B43" t="str">
            <v>DCV Parking Garage-Retro</v>
          </cell>
        </row>
        <row r="44">
          <cell r="B44" t="str">
            <v>Weatherization - School-Retro</v>
          </cell>
        </row>
        <row r="45">
          <cell r="B45" t="str">
            <v>Energy Recovery Ventilator-NR</v>
          </cell>
        </row>
        <row r="46">
          <cell r="B46" t="str">
            <v>AC Heat Recovery for Water Heating-NR</v>
          </cell>
        </row>
        <row r="47">
          <cell r="B47" t="str">
            <v>Room Occupancy Sensors in Lodging-Retro</v>
          </cell>
        </row>
        <row r="48">
          <cell r="B48" t="str">
            <v>Chiller - chilled water retrofit-Retro</v>
          </cell>
        </row>
        <row r="49">
          <cell r="B49" t="str">
            <v>Chiller - equip retrofits-Retro</v>
          </cell>
        </row>
        <row r="50">
          <cell r="B50" t="str">
            <v>Pool Blankets-Retro</v>
          </cell>
        </row>
        <row r="51">
          <cell r="B51" t="str">
            <v>Web-Enabled Thermostats-Retro</v>
          </cell>
        </row>
        <row r="52">
          <cell r="B52" t="str">
            <v>Garage CO2 ventilation-Retro</v>
          </cell>
        </row>
        <row r="53">
          <cell r="B53" t="str">
            <v>Circ Pump ECM and drive-Retro</v>
          </cell>
        </row>
        <row r="54">
          <cell r="B54" t="str">
            <v>VRF-New</v>
          </cell>
          <cell r="C54">
            <v>0.05</v>
          </cell>
          <cell r="D54">
            <v>0.8</v>
          </cell>
          <cell r="E54">
            <v>0.8</v>
          </cell>
          <cell r="F54">
            <v>0.25</v>
          </cell>
          <cell r="G54">
            <v>0.25</v>
          </cell>
          <cell r="H54">
            <v>0.25</v>
          </cell>
          <cell r="I54">
            <v>0.25</v>
          </cell>
          <cell r="J54">
            <v>0.8</v>
          </cell>
          <cell r="K54">
            <v>0.8</v>
          </cell>
          <cell r="L54">
            <v>0.01</v>
          </cell>
          <cell r="M54">
            <v>0.05</v>
          </cell>
          <cell r="N54">
            <v>0.05</v>
          </cell>
          <cell r="O54">
            <v>0.25</v>
          </cell>
          <cell r="P54">
            <v>0.7</v>
          </cell>
          <cell r="Q54">
            <v>0.05</v>
          </cell>
          <cell r="R54">
            <v>0.8</v>
          </cell>
          <cell r="S54">
            <v>0.25</v>
          </cell>
          <cell r="T54">
            <v>0.8</v>
          </cell>
        </row>
        <row r="55">
          <cell r="B55" t="str">
            <v>VRF-Retro</v>
          </cell>
          <cell r="C55">
            <v>4.9500000000000004E-3</v>
          </cell>
          <cell r="D55">
            <v>6.93E-2</v>
          </cell>
          <cell r="E55">
            <v>6.93E-2</v>
          </cell>
          <cell r="F55">
            <v>2.4750000000000001E-2</v>
          </cell>
          <cell r="G55">
            <v>2.4750000000000001E-2</v>
          </cell>
          <cell r="H55">
            <v>2.4750000000000001E-2</v>
          </cell>
          <cell r="I55">
            <v>2.4750000000000001E-2</v>
          </cell>
          <cell r="J55">
            <v>6.93E-2</v>
          </cell>
          <cell r="K55">
            <v>6.93E-2</v>
          </cell>
          <cell r="L55">
            <v>9.8999999999999999E-4</v>
          </cell>
          <cell r="M55">
            <v>4.9500000000000004E-3</v>
          </cell>
          <cell r="N55">
            <v>4.9500000000000004E-3</v>
          </cell>
          <cell r="O55">
            <v>2.4750000000000001E-2</v>
          </cell>
          <cell r="P55">
            <v>6.93E-2</v>
          </cell>
          <cell r="Q55">
            <v>4.9500000000000004E-3</v>
          </cell>
          <cell r="R55">
            <v>6.93E-2</v>
          </cell>
          <cell r="S55">
            <v>2.4750000000000001E-2</v>
          </cell>
          <cell r="T55">
            <v>6.93E-2</v>
          </cell>
        </row>
        <row r="56">
          <cell r="B56" t="str">
            <v>Evaporator Roof Top HVAC-Retro</v>
          </cell>
        </row>
        <row r="57">
          <cell r="B57" t="str">
            <v>Secondary Glazing Systems-Retro</v>
          </cell>
        </row>
        <row r="58">
          <cell r="B58" t="str">
            <v>LPD Package-New</v>
          </cell>
          <cell r="V58" t="str">
            <v>Feas in Lighting Workbook due to multiple measures</v>
          </cell>
        </row>
        <row r="59">
          <cell r="B59" t="str">
            <v>LPD Package-NR</v>
          </cell>
          <cell r="V59" t="str">
            <v>Feas in Lighting Workbook due to multiple measures</v>
          </cell>
        </row>
        <row r="60">
          <cell r="B60" t="str">
            <v>LPD Package-Retro</v>
          </cell>
          <cell r="V60" t="str">
            <v>Feas in Lighting Workbook due to multiple measures</v>
          </cell>
        </row>
        <row r="61">
          <cell r="B61" t="str">
            <v>Top Daylighting-New</v>
          </cell>
        </row>
        <row r="62">
          <cell r="B62" t="str">
            <v>Perimeter Daylighting Controls Advanced-New</v>
          </cell>
        </row>
        <row r="63">
          <cell r="B63" t="str">
            <v>Perimeter Daylighting Controls Advanced-NR</v>
          </cell>
        </row>
        <row r="64">
          <cell r="B64" t="str">
            <v>Lighting Controls Interior-New</v>
          </cell>
        </row>
        <row r="65">
          <cell r="B65" t="str">
            <v>Lighting Controls Interior-NR</v>
          </cell>
        </row>
        <row r="66">
          <cell r="B66" t="str">
            <v>Exterior Building Lighting-New</v>
          </cell>
        </row>
        <row r="67">
          <cell r="B67" t="str">
            <v>Exterior Building Lighting-NR</v>
          </cell>
        </row>
        <row r="68">
          <cell r="B68" t="str">
            <v>Street and Roadway Lighting-New</v>
          </cell>
        </row>
        <row r="69">
          <cell r="B69" t="str">
            <v>Street and Roadway Lighting-NR</v>
          </cell>
        </row>
        <row r="70">
          <cell r="B70" t="str">
            <v>Parking Lighting-New</v>
          </cell>
        </row>
        <row r="71">
          <cell r="B71" t="str">
            <v>Parking Lighting-NR</v>
          </cell>
        </row>
        <row r="72">
          <cell r="B72" t="str">
            <v>Bi-Level Stairwell Lighting-NR</v>
          </cell>
        </row>
        <row r="73">
          <cell r="B73" t="str">
            <v>ECM-VAV-New</v>
          </cell>
        </row>
        <row r="74">
          <cell r="B74" t="str">
            <v>ECM-VAV-NR</v>
          </cell>
        </row>
        <row r="75">
          <cell r="B75" t="str">
            <v>Pool pumps-Retro</v>
          </cell>
        </row>
        <row r="76">
          <cell r="B76" t="str">
            <v>MotorsRewind-New</v>
          </cell>
        </row>
        <row r="77">
          <cell r="B77" t="str">
            <v>MotorsRewind-NR</v>
          </cell>
        </row>
        <row r="78">
          <cell r="B78" t="str">
            <v>Municipal Sewage Treatment-Retro</v>
          </cell>
        </row>
        <row r="79">
          <cell r="B79" t="str">
            <v>Municipal Water Supply-Retro</v>
          </cell>
        </row>
        <row r="80">
          <cell r="B80" t="str">
            <v>Engine Generator Block Heaters-Retro</v>
          </cell>
        </row>
        <row r="81">
          <cell r="B81" t="str">
            <v>Grocery Refrigeration Bundle-Retro</v>
          </cell>
        </row>
        <row r="82">
          <cell r="B82" t="str">
            <v>Packaged Refrigeration Equipment-New</v>
          </cell>
        </row>
        <row r="83">
          <cell r="B83" t="str">
            <v>Appliances - Freezers-NR</v>
          </cell>
        </row>
        <row r="84">
          <cell r="B84" t="str">
            <v>Appliances - Refrigerators-NR</v>
          </cell>
        </row>
        <row r="85">
          <cell r="B85" t="str">
            <v>Water Cooler Controls-NR</v>
          </cell>
        </row>
        <row r="86">
          <cell r="B86" t="str">
            <v>WHTanks-New</v>
          </cell>
        </row>
        <row r="87">
          <cell r="B87" t="str">
            <v>WHTanks-NR</v>
          </cell>
        </row>
        <row r="88">
          <cell r="B88" t="str">
            <v>Appliances - Clothes Washers-NR</v>
          </cell>
        </row>
        <row r="89">
          <cell r="B89" t="str">
            <v>Showerheads-Retro</v>
          </cell>
        </row>
        <row r="90">
          <cell r="B90" t="str">
            <v>Water Heating - GFHX-New</v>
          </cell>
        </row>
        <row r="91">
          <cell r="B91" t="str">
            <v>Demand Control Circulating system DHW-Retro</v>
          </cell>
        </row>
        <row r="92">
          <cell r="B92" t="str">
            <v>Central HPWH MF-Retro</v>
          </cell>
        </row>
        <row r="93">
          <cell r="B93" t="str">
            <v>Ultra Low Energy Building-New</v>
          </cell>
          <cell r="C93">
            <v>0.95</v>
          </cell>
          <cell r="D93">
            <v>0.19999999999999996</v>
          </cell>
          <cell r="E93">
            <v>0.19999999999999996</v>
          </cell>
          <cell r="F93">
            <v>0.75</v>
          </cell>
          <cell r="G93">
            <v>0.75</v>
          </cell>
          <cell r="H93">
            <v>0.75</v>
          </cell>
          <cell r="I93">
            <v>0.75</v>
          </cell>
          <cell r="J93">
            <v>0.19999999999999996</v>
          </cell>
          <cell r="K93">
            <v>0.19999999999999996</v>
          </cell>
          <cell r="L93">
            <v>0.99</v>
          </cell>
          <cell r="M93">
            <v>0.95</v>
          </cell>
          <cell r="N93">
            <v>0.95</v>
          </cell>
          <cell r="O93">
            <v>0.75</v>
          </cell>
          <cell r="P93">
            <v>0.30000000000000004</v>
          </cell>
          <cell r="Q93">
            <v>0.95</v>
          </cell>
          <cell r="R93">
            <v>0.19999999999999996</v>
          </cell>
          <cell r="S93">
            <v>0.75</v>
          </cell>
          <cell r="T93">
            <v>0.19999999999999996</v>
          </cell>
        </row>
        <row r="94">
          <cell r="B94" t="str">
            <v>Low Power LF Lamps-NR</v>
          </cell>
        </row>
      </sheetData>
      <sheetData sheetId="9">
        <row r="11">
          <cell r="B11" t="str">
            <v>LO12Med</v>
          </cell>
          <cell r="C11">
            <v>0.10937459468255628</v>
          </cell>
          <cell r="D11">
            <v>0.21874918936511256</v>
          </cell>
          <cell r="E11">
            <v>0.32812378404766884</v>
          </cell>
          <cell r="F11">
            <v>0.43749837873022512</v>
          </cell>
          <cell r="G11">
            <v>0.5468729734127814</v>
          </cell>
          <cell r="H11">
            <v>0.64531010862708205</v>
          </cell>
          <cell r="I11">
            <v>0.7240598167985226</v>
          </cell>
          <cell r="J11">
            <v>0.78705958333567505</v>
          </cell>
          <cell r="K11">
            <v>0.83745939656539703</v>
          </cell>
          <cell r="L11">
            <v>0.87777924714917455</v>
          </cell>
          <cell r="M11">
            <v>0.91003512761619654</v>
          </cell>
          <cell r="N11">
            <v>0.93583983198981413</v>
          </cell>
          <cell r="O11">
            <v>0.9564835954887082</v>
          </cell>
          <cell r="P11">
            <v>0.97299860628782353</v>
          </cell>
          <cell r="Q11">
            <v>0.9862106149271157</v>
          </cell>
          <cell r="R11">
            <v>0.99678022183854953</v>
          </cell>
          <cell r="S11">
            <v>0.99685231466234414</v>
          </cell>
          <cell r="T11">
            <v>0.99687806209941365</v>
          </cell>
          <cell r="U11">
            <v>0.99688683963477831</v>
          </cell>
        </row>
        <row r="12">
          <cell r="B12" t="str">
            <v>LO5Med</v>
          </cell>
          <cell r="C12">
            <v>4.2999999999999997E-2</v>
          </cell>
          <cell r="D12">
            <v>9.5797142280278316E-2</v>
          </cell>
          <cell r="E12">
            <v>0.16040539374775648</v>
          </cell>
          <cell r="F12">
            <v>0.23540539374775649</v>
          </cell>
          <cell r="G12">
            <v>0.32095239121809005</v>
          </cell>
          <cell r="H12">
            <v>0.42096711425629652</v>
          </cell>
          <cell r="I12">
            <v>0.53068481860864725</v>
          </cell>
          <cell r="J12">
            <v>0.642769203728351</v>
          </cell>
          <cell r="K12">
            <v>0.74839528535557953</v>
          </cell>
          <cell r="L12">
            <v>0.83918984935345187</v>
          </cell>
          <cell r="M12">
            <v>0.90945051634530116</v>
          </cell>
          <cell r="N12">
            <v>0.9576688767502457</v>
          </cell>
          <cell r="O12">
            <v>0.9865231113648858</v>
          </cell>
          <cell r="P12">
            <v>1.0012970762896924</v>
          </cell>
          <cell r="Q12">
            <v>1.0076356106578106</v>
          </cell>
          <cell r="R12">
            <v>1.0098624683774413</v>
          </cell>
          <cell r="S12">
            <v>1.0104871783970797</v>
          </cell>
          <cell r="T12">
            <v>1.010623336815976</v>
          </cell>
          <cell r="U12">
            <v>1.0106457174525985</v>
          </cell>
        </row>
        <row r="13">
          <cell r="B13" t="str">
            <v>LO1Slow</v>
          </cell>
          <cell r="C13">
            <v>2.5643970768378654E-3</v>
          </cell>
          <cell r="D13">
            <v>7.6904586297764643E-3</v>
          </cell>
          <cell r="E13">
            <v>1.6792013047419844E-2</v>
          </cell>
          <cell r="F13">
            <v>3.15969387774655E-2</v>
          </cell>
          <cell r="G13">
            <v>5.406874819795171E-2</v>
          </cell>
          <cell r="H13">
            <v>8.6253181011834101E-2</v>
          </cell>
          <cell r="I13">
            <v>0.1300328481838382</v>
          </cell>
          <cell r="J13">
            <v>0.18678710893858319</v>
          </cell>
          <cell r="K13">
            <v>0.2569823480072907</v>
          </cell>
          <cell r="L13">
            <v>0.33975920985004748</v>
          </cell>
          <cell r="M13">
            <v>0.43262946935754232</v>
          </cell>
          <cell r="N13">
            <v>0.53142594003645804</v>
          </cell>
          <cell r="O13">
            <v>0.63063487292644704</v>
          </cell>
          <cell r="P13">
            <v>0.7241560234206913</v>
          </cell>
          <cell r="Q13">
            <v>0.80638203131755359</v>
          </cell>
          <cell r="R13">
            <v>0.87331559734491926</v>
          </cell>
          <cell r="S13">
            <v>0.92334516248836807</v>
          </cell>
          <cell r="T13">
            <v>0.95737002770730018</v>
          </cell>
          <cell r="U13">
            <v>0.97821608704807483</v>
          </cell>
        </row>
        <row r="14">
          <cell r="B14" t="str">
            <v>LO50Fast</v>
          </cell>
          <cell r="C14">
            <v>0.45</v>
          </cell>
          <cell r="D14">
            <v>0.66</v>
          </cell>
          <cell r="E14">
            <v>0.8</v>
          </cell>
          <cell r="F14">
            <v>0.89</v>
          </cell>
          <cell r="G14">
            <v>0.94954036260972652</v>
          </cell>
          <cell r="H14">
            <v>0.97931054391458994</v>
          </cell>
          <cell r="I14">
            <v>0.99254173560564019</v>
          </cell>
          <cell r="J14">
            <v>0.99783421228206048</v>
          </cell>
          <cell r="K14">
            <v>0.99975874925530417</v>
          </cell>
          <cell r="L14">
            <v>1.0004002615797187</v>
          </cell>
          <cell r="M14">
            <v>1.0005976499872309</v>
          </cell>
          <cell r="N14">
            <v>1.0006540466750915</v>
          </cell>
          <cell r="O14">
            <v>1.0006690857918545</v>
          </cell>
          <cell r="P14">
            <v>1.000672845571045</v>
          </cell>
          <cell r="Q14">
            <v>1.0006737302249724</v>
          </cell>
          <cell r="R14">
            <v>1.0006739268147338</v>
          </cell>
          <cell r="S14">
            <v>1.0006739682020522</v>
          </cell>
          <cell r="T14">
            <v>1.0006739764795158</v>
          </cell>
          <cell r="U14">
            <v>1.0006739780561755</v>
          </cell>
        </row>
        <row r="15">
          <cell r="B15" t="str">
            <v>LO20Fast</v>
          </cell>
          <cell r="C15">
            <v>0.22119921692859512</v>
          </cell>
          <cell r="D15">
            <v>0.37624232795148943</v>
          </cell>
          <cell r="E15">
            <v>0.48357361352878442</v>
          </cell>
          <cell r="F15">
            <v>0.56716330278444227</v>
          </cell>
          <cell r="G15">
            <v>0.64040048266456928</v>
          </cell>
          <cell r="H15">
            <v>0.70377511937632964</v>
          </cell>
          <cell r="I15">
            <v>0.7580669577441127</v>
          </cell>
          <cell r="J15">
            <v>0.80419335000071168</v>
          </cell>
          <cell r="K15">
            <v>0.84311022627788457</v>
          </cell>
          <cell r="L15">
            <v>0.87575014259103623</v>
          </cell>
          <cell r="M15">
            <v>0.90298584871682319</v>
          </cell>
          <cell r="N15">
            <v>0.92419703797508856</v>
          </cell>
          <cell r="O15">
            <v>0.94071632877930145</v>
          </cell>
          <cell r="P15">
            <v>0.95358156539340677</v>
          </cell>
          <cell r="Q15">
            <v>0.96360102174287088</v>
          </cell>
          <cell r="R15">
            <v>0.97140418219378311</v>
          </cell>
          <cell r="S15">
            <v>0.97748128966338554</v>
          </cell>
          <cell r="T15">
            <v>0.98221414571952104</v>
          </cell>
          <cell r="U15">
            <v>0.98590009772220355</v>
          </cell>
        </row>
        <row r="16">
          <cell r="B16" t="str">
            <v>LOEven20</v>
          </cell>
          <cell r="C16">
            <v>0.05</v>
          </cell>
          <cell r="D16">
            <v>0.1</v>
          </cell>
          <cell r="E16">
            <v>0.15000000000000002</v>
          </cell>
          <cell r="F16">
            <v>0.2</v>
          </cell>
          <cell r="G16">
            <v>0.25</v>
          </cell>
          <cell r="H16">
            <v>0.3</v>
          </cell>
          <cell r="I16">
            <v>0.35</v>
          </cell>
          <cell r="J16">
            <v>0.39999999999999997</v>
          </cell>
          <cell r="K16">
            <v>0.44999999999999996</v>
          </cell>
          <cell r="L16">
            <v>0.49999999999999994</v>
          </cell>
          <cell r="M16">
            <v>0.54999999999999993</v>
          </cell>
          <cell r="N16">
            <v>0.6</v>
          </cell>
          <cell r="O16">
            <v>0.65</v>
          </cell>
          <cell r="P16">
            <v>0.70000000000000007</v>
          </cell>
          <cell r="Q16">
            <v>0.75000000000000011</v>
          </cell>
          <cell r="R16">
            <v>0.80000000000000016</v>
          </cell>
          <cell r="S16">
            <v>0.8500000000000002</v>
          </cell>
          <cell r="T16">
            <v>0.90000000000000024</v>
          </cell>
          <cell r="U16">
            <v>0.95000000000000029</v>
          </cell>
        </row>
        <row r="17">
          <cell r="B17" t="str">
            <v>LOMax60</v>
          </cell>
          <cell r="C17">
            <v>0.01</v>
          </cell>
          <cell r="D17">
            <v>2.98E-2</v>
          </cell>
          <cell r="E17">
            <v>5.8906E-2</v>
          </cell>
          <cell r="F17">
            <v>9.6549759999999998E-2</v>
          </cell>
          <cell r="G17">
            <v>0.14172227199999998</v>
          </cell>
          <cell r="H17">
            <v>0.19035800991999999</v>
          </cell>
          <cell r="I17">
            <v>0.2362377226912</v>
          </cell>
          <cell r="J17">
            <v>0.279517585072032</v>
          </cell>
          <cell r="K17">
            <v>0.32034492191795017</v>
          </cell>
          <cell r="L17">
            <v>0.35885870967593297</v>
          </cell>
          <cell r="M17">
            <v>0.39519004946096342</v>
          </cell>
          <cell r="N17">
            <v>0.42946261332484215</v>
          </cell>
          <cell r="O17">
            <v>0.46179306523643443</v>
          </cell>
          <cell r="P17">
            <v>0.49229145820636983</v>
          </cell>
          <cell r="Q17">
            <v>0.5210616089080089</v>
          </cell>
          <cell r="R17">
            <v>0.54820145106988838</v>
          </cell>
          <cell r="S17">
            <v>0.57380336884259475</v>
          </cell>
          <cell r="T17">
            <v>0.59795451127484767</v>
          </cell>
          <cell r="U17">
            <v>0.62073708896927293</v>
          </cell>
        </row>
        <row r="18">
          <cell r="B18" t="str">
            <v>LO3Slow</v>
          </cell>
          <cell r="C18">
            <v>5.5320496977002724E-3</v>
          </cell>
          <cell r="D18">
            <v>1.4227918344261844E-2</v>
          </cell>
          <cell r="E18">
            <v>3.1619655637384989E-2</v>
          </cell>
          <cell r="F18">
            <v>6.2055195900350503E-2</v>
          </cell>
          <cell r="G18">
            <v>0.10939936964274129</v>
          </cell>
          <cell r="H18">
            <v>0.17568121288208835</v>
          </cell>
          <cell r="I18">
            <v>0.26003992245943919</v>
          </cell>
          <cell r="J18">
            <v>0.3584584169663485</v>
          </cell>
          <cell r="K18">
            <v>0.46444756489686617</v>
          </cell>
          <cell r="L18">
            <v>0.57043671282738384</v>
          </cell>
          <cell r="M18">
            <v>0.66935991756253377</v>
          </cell>
          <cell r="N18">
            <v>0.75591772170578986</v>
          </cell>
          <cell r="O18">
            <v>0.82720061923553012</v>
          </cell>
          <cell r="P18">
            <v>0.88264287286977261</v>
          </cell>
          <cell r="Q18">
            <v>0.92349505975816193</v>
          </cell>
          <cell r="R18">
            <v>0.95209159058003434</v>
          </cell>
          <cell r="S18">
            <v>0.97115594446128262</v>
          </cell>
          <cell r="T18">
            <v>0.98328780602207699</v>
          </cell>
          <cell r="U18">
            <v>0.99067241740690848</v>
          </cell>
        </row>
      </sheetData>
      <sheetData sheetId="10">
        <row r="11">
          <cell r="B11" t="str">
            <v>Compressed Air-NR</v>
          </cell>
          <cell r="C11" t="str">
            <v>LPD baseline to minimum of code or 1995-2001 practice.</v>
          </cell>
        </row>
        <row r="12">
          <cell r="B12" t="str">
            <v>Network PC Power Management-Retro</v>
          </cell>
          <cell r="C12" t="str">
            <v>LPD baseline to minimum of code or 1995-2001 practice</v>
          </cell>
          <cell r="F12" t="str">
            <v>OR FloorA%REG</v>
          </cell>
          <cell r="G12">
            <v>0.22</v>
          </cell>
          <cell r="H12">
            <v>0.22</v>
          </cell>
          <cell r="I12">
            <v>0.22</v>
          </cell>
          <cell r="J12">
            <v>0.33</v>
          </cell>
          <cell r="K12">
            <v>0.33</v>
          </cell>
          <cell r="L12">
            <v>0.33</v>
          </cell>
          <cell r="M12">
            <v>0.33</v>
          </cell>
          <cell r="N12">
            <v>0.15</v>
          </cell>
          <cell r="O12">
            <v>0.15</v>
          </cell>
          <cell r="P12">
            <v>0.42</v>
          </cell>
          <cell r="Q12">
            <v>0.17</v>
          </cell>
          <cell r="R12">
            <v>0.17</v>
          </cell>
          <cell r="S12">
            <v>0.35</v>
          </cell>
          <cell r="T12">
            <v>0.38</v>
          </cell>
          <cell r="U12">
            <v>0.25</v>
          </cell>
        </row>
        <row r="13">
          <cell r="B13" t="str">
            <v>Laptop-NR</v>
          </cell>
          <cell r="C13" t="str">
            <v>Assume code ballasts in baseline retrofit</v>
          </cell>
          <cell r="F13" t="str">
            <v>Frac Floor w &gt;30% ww ratio</v>
          </cell>
          <cell r="G13">
            <v>0.5</v>
          </cell>
          <cell r="H13">
            <v>0.5</v>
          </cell>
          <cell r="I13">
            <v>0.5</v>
          </cell>
          <cell r="J13">
            <v>0</v>
          </cell>
          <cell r="K13">
            <v>0</v>
          </cell>
          <cell r="L13">
            <v>0.5</v>
          </cell>
          <cell r="M13">
            <v>0</v>
          </cell>
          <cell r="N13">
            <v>0.4</v>
          </cell>
          <cell r="O13">
            <v>0.4</v>
          </cell>
          <cell r="P13">
            <v>0</v>
          </cell>
          <cell r="Q13">
            <v>0.05</v>
          </cell>
          <cell r="R13">
            <v>0</v>
          </cell>
          <cell r="S13">
            <v>0.5</v>
          </cell>
          <cell r="T13">
            <v>0.5</v>
          </cell>
          <cell r="U13">
            <v>0.5</v>
          </cell>
        </row>
        <row r="14">
          <cell r="B14" t="str">
            <v>Smart Plug Power Strips-Retro</v>
          </cell>
          <cell r="F14" t="str">
            <v>OR FloorA Exceed Code</v>
          </cell>
          <cell r="G14">
            <v>0.11</v>
          </cell>
          <cell r="H14">
            <v>0.11</v>
          </cell>
          <cell r="I14">
            <v>0.11</v>
          </cell>
          <cell r="J14">
            <v>0.33</v>
          </cell>
          <cell r="K14">
            <v>0.33</v>
          </cell>
          <cell r="L14">
            <v>0.16500000000000001</v>
          </cell>
          <cell r="M14">
            <v>0.33</v>
          </cell>
          <cell r="N14">
            <v>0.09</v>
          </cell>
          <cell r="O14">
            <v>0.09</v>
          </cell>
          <cell r="P14">
            <v>0.42</v>
          </cell>
          <cell r="Q14">
            <v>0.1615</v>
          </cell>
          <cell r="R14">
            <v>0.17</v>
          </cell>
          <cell r="S14">
            <v>0.17499999999999999</v>
          </cell>
          <cell r="T14">
            <v>0.19</v>
          </cell>
          <cell r="U14">
            <v>0.125</v>
          </cell>
        </row>
        <row r="15">
          <cell r="B15" t="e">
            <v>#REF!</v>
          </cell>
          <cell r="C15" t="str">
            <v>Account for smoke hatch in baseline</v>
          </cell>
        </row>
        <row r="16">
          <cell r="B16" t="e">
            <v>#REF!</v>
          </cell>
          <cell r="F16" t="str">
            <v>WA FloorA%REG</v>
          </cell>
          <cell r="G16">
            <v>0.72</v>
          </cell>
          <cell r="H16">
            <v>0.72</v>
          </cell>
          <cell r="I16">
            <v>0.72</v>
          </cell>
          <cell r="J16">
            <v>0.61</v>
          </cell>
          <cell r="K16">
            <v>0.61</v>
          </cell>
          <cell r="L16">
            <v>0.61</v>
          </cell>
          <cell r="M16">
            <v>0.61</v>
          </cell>
          <cell r="N16">
            <v>0.68</v>
          </cell>
          <cell r="O16">
            <v>0.68</v>
          </cell>
          <cell r="P16">
            <v>0.49</v>
          </cell>
          <cell r="Q16">
            <v>0.62</v>
          </cell>
          <cell r="R16">
            <v>0.62</v>
          </cell>
          <cell r="S16">
            <v>0.56000000000000005</v>
          </cell>
          <cell r="T16">
            <v>0.49</v>
          </cell>
          <cell r="U16">
            <v>0.56000000000000005</v>
          </cell>
        </row>
        <row r="17">
          <cell r="B17" t="str">
            <v>Data Centers-NR</v>
          </cell>
          <cell r="C17" t="str">
            <v>Only fraction beyond switching in code baseline OR</v>
          </cell>
          <cell r="F17" t="str">
            <v>Fraction with ElecHt</v>
          </cell>
          <cell r="G17">
            <v>9.379008321141083E-2</v>
          </cell>
          <cell r="H17">
            <v>5.7141018201974592E-2</v>
          </cell>
          <cell r="I17">
            <v>6.3540893141458221E-2</v>
          </cell>
          <cell r="J17">
            <v>0.52114684573848291</v>
          </cell>
          <cell r="K17">
            <v>0.64094486042254439</v>
          </cell>
          <cell r="L17">
            <v>0.56159710090996928</v>
          </cell>
          <cell r="M17">
            <v>0.19952525247533903</v>
          </cell>
          <cell r="N17">
            <v>0.22286467137317267</v>
          </cell>
          <cell r="O17">
            <v>0.15885643507420852</v>
          </cell>
          <cell r="P17">
            <v>0.52114684573848291</v>
          </cell>
          <cell r="Q17">
            <v>1.5377816133020691E-2</v>
          </cell>
          <cell r="R17">
            <v>0</v>
          </cell>
          <cell r="S17">
            <v>5.5212362541074519E-2</v>
          </cell>
          <cell r="T17">
            <v>0.34342063041492848</v>
          </cell>
          <cell r="U17">
            <v>0.10311447532768504</v>
          </cell>
        </row>
        <row r="18">
          <cell r="B18" t="str">
            <v>Monitor-NR</v>
          </cell>
          <cell r="C18" t="str">
            <v>Only fraction beyond switching in code baseline OR</v>
          </cell>
          <cell r="F18" t="str">
            <v>Frac Meet Elec Ht Code</v>
          </cell>
          <cell r="G18">
            <v>0.5</v>
          </cell>
          <cell r="H18">
            <v>0.5</v>
          </cell>
          <cell r="I18">
            <v>0.5</v>
          </cell>
          <cell r="J18">
            <v>0.9</v>
          </cell>
          <cell r="K18">
            <v>0.9</v>
          </cell>
          <cell r="L18">
            <v>0.9</v>
          </cell>
          <cell r="M18">
            <v>0.5</v>
          </cell>
          <cell r="N18">
            <v>0.5</v>
          </cell>
          <cell r="O18">
            <v>0.5</v>
          </cell>
          <cell r="P18">
            <v>0.9</v>
          </cell>
          <cell r="Q18">
            <v>0.9</v>
          </cell>
          <cell r="R18">
            <v>0.9</v>
          </cell>
          <cell r="S18">
            <v>0.9</v>
          </cell>
          <cell r="T18">
            <v>0.9</v>
          </cell>
          <cell r="U18">
            <v>0.5</v>
          </cell>
        </row>
        <row r="19">
          <cell r="B19" t="e">
            <v>#REF!</v>
          </cell>
          <cell r="F19" t="str">
            <v>WA Floor A Exceed Code</v>
          </cell>
          <cell r="G19">
            <v>3.37644299561079E-2</v>
          </cell>
          <cell r="H19">
            <v>2.0570766552710854E-2</v>
          </cell>
          <cell r="I19">
            <v>2.2874721530924957E-2</v>
          </cell>
          <cell r="J19">
            <v>3.1789957590047449E-2</v>
          </cell>
          <cell r="K19">
            <v>3.9097636485775196E-2</v>
          </cell>
          <cell r="L19">
            <v>3.4257423155508122E-2</v>
          </cell>
          <cell r="M19">
            <v>6.0855202004978404E-2</v>
          </cell>
          <cell r="N19">
            <v>7.5773988266878714E-2</v>
          </cell>
          <cell r="O19">
            <v>5.4011187925230901E-2</v>
          </cell>
          <cell r="P19">
            <v>2.5536195441185655E-2</v>
          </cell>
          <cell r="Q19">
            <v>9.5342460024728268E-4</v>
          </cell>
          <cell r="R19">
            <v>0</v>
          </cell>
          <cell r="S19">
            <v>3.0918923023001725E-3</v>
          </cell>
          <cell r="T19">
            <v>1.6827610890331492E-2</v>
          </cell>
          <cell r="U19">
            <v>2.8872053091751816E-2</v>
          </cell>
          <cell r="V19">
            <v>1.6544666073850544E-3</v>
          </cell>
          <cell r="W19">
            <v>1.6825084142898859E-3</v>
          </cell>
          <cell r="X19">
            <v>1.6100798084913201E-2</v>
          </cell>
        </row>
        <row r="20">
          <cell r="B20" t="str">
            <v>Desktop-NR</v>
          </cell>
        </row>
        <row r="21">
          <cell r="B21" t="str">
            <v>Pre-Rinse Spray Valve-Retro</v>
          </cell>
          <cell r="F21" t="str">
            <v>Region Wide Frac Exceed Target</v>
          </cell>
          <cell r="G21">
            <v>0.05</v>
          </cell>
          <cell r="H21">
            <v>0.05</v>
          </cell>
          <cell r="I21">
            <v>0.05</v>
          </cell>
          <cell r="J21">
            <v>0.05</v>
          </cell>
          <cell r="K21">
            <v>0.05</v>
          </cell>
          <cell r="L21">
            <v>0.05</v>
          </cell>
          <cell r="M21">
            <v>0.05</v>
          </cell>
          <cell r="N21">
            <v>0.05</v>
          </cell>
          <cell r="O21">
            <v>0.05</v>
          </cell>
          <cell r="P21">
            <v>0.05</v>
          </cell>
          <cell r="Q21">
            <v>0.05</v>
          </cell>
          <cell r="R21">
            <v>0.05</v>
          </cell>
          <cell r="S21">
            <v>0.05</v>
          </cell>
          <cell r="T21">
            <v>0.05</v>
          </cell>
          <cell r="U21">
            <v>0.05</v>
          </cell>
          <cell r="V21">
            <v>0.05</v>
          </cell>
          <cell r="W21">
            <v>0.05</v>
          </cell>
          <cell r="X21">
            <v>0.05</v>
          </cell>
        </row>
        <row r="22">
          <cell r="B22" t="e">
            <v>#REF!</v>
          </cell>
        </row>
        <row r="23">
          <cell r="B23" t="str">
            <v>Cooking Equipment-NR</v>
          </cell>
          <cell r="C23" t="str">
            <v>Not applicable in Seattle due to code requirement</v>
          </cell>
        </row>
        <row r="24">
          <cell r="B24" t="str">
            <v>Premium HVAC Equipment-New</v>
          </cell>
          <cell r="C24" t="str">
            <v>Not applicable in Seattle due to code requirement</v>
          </cell>
          <cell r="F24" t="str">
            <v>Baseline Exceed Code New</v>
          </cell>
          <cell r="G24">
            <v>0.19376442995610788</v>
          </cell>
          <cell r="H24">
            <v>0.18057076655271087</v>
          </cell>
          <cell r="I24">
            <v>0.18287472153092493</v>
          </cell>
          <cell r="J24">
            <v>0.41178995759004744</v>
          </cell>
          <cell r="K24">
            <v>0.41909763648577519</v>
          </cell>
          <cell r="L24">
            <v>0.24925742315550814</v>
          </cell>
          <cell r="M24">
            <v>0.44085520200497841</v>
          </cell>
          <cell r="N24">
            <v>0.21577398826687871</v>
          </cell>
          <cell r="O24">
            <v>0.19401118792523092</v>
          </cell>
          <cell r="P24">
            <v>0.4955361954411856</v>
          </cell>
          <cell r="Q24">
            <v>0.2124534246002473</v>
          </cell>
          <cell r="R24">
            <v>0.22000000000000003</v>
          </cell>
          <cell r="S24">
            <v>0.22809189230230015</v>
          </cell>
          <cell r="T24">
            <v>0.25682761089033151</v>
          </cell>
          <cell r="U24">
            <v>0.20387205309175183</v>
          </cell>
          <cell r="V24">
            <v>0.17165446660738504</v>
          </cell>
          <cell r="W24">
            <v>0.17168250841428989</v>
          </cell>
          <cell r="X24">
            <v>0.23410079808491319</v>
          </cell>
        </row>
        <row r="25">
          <cell r="B25" t="e">
            <v>#REF!</v>
          </cell>
        </row>
        <row r="26">
          <cell r="B26" t="str">
            <v>Premium HVAC Equipment-NR</v>
          </cell>
          <cell r="C26" t="str">
            <v>Baseline adjusted to reflect codes</v>
          </cell>
          <cell r="F26" t="str">
            <v>Fract Excced Target CBSA New 2002-2004</v>
          </cell>
          <cell r="G26">
            <v>0.45</v>
          </cell>
          <cell r="H26">
            <v>0.45</v>
          </cell>
          <cell r="I26">
            <v>0.45</v>
          </cell>
          <cell r="J26">
            <v>0.2</v>
          </cell>
          <cell r="K26">
            <v>0.2</v>
          </cell>
          <cell r="L26">
            <v>0.2</v>
          </cell>
          <cell r="M26">
            <v>0.2</v>
          </cell>
          <cell r="N26">
            <v>0.45</v>
          </cell>
          <cell r="O26">
            <v>0.9</v>
          </cell>
          <cell r="P26">
            <v>0.2</v>
          </cell>
          <cell r="Q26">
            <v>0.1</v>
          </cell>
          <cell r="R26">
            <v>0.1</v>
          </cell>
          <cell r="S26">
            <v>0.25</v>
          </cell>
          <cell r="T26">
            <v>0.5</v>
          </cell>
          <cell r="U26">
            <v>0.75</v>
          </cell>
          <cell r="V26">
            <v>0.25</v>
          </cell>
          <cell r="W26">
            <v>0.2</v>
          </cell>
          <cell r="X26">
            <v>0.3</v>
          </cell>
        </row>
        <row r="27">
          <cell r="B27" t="str">
            <v>Glass-New</v>
          </cell>
          <cell r="C27" t="str">
            <v>Baseline adjusted to reflect codes</v>
          </cell>
        </row>
        <row r="28">
          <cell r="B28" t="e">
            <v>#REF!</v>
          </cell>
        </row>
        <row r="29">
          <cell r="B29" t="str">
            <v>Glass-NR</v>
          </cell>
          <cell r="C29" t="str">
            <v>Baseline adjusted to reflect codes.  Measure baseline excludes 50% of WA=ElecHt, OR&gt;30%glass.</v>
          </cell>
        </row>
        <row r="30">
          <cell r="B30" t="str">
            <v>Glass-Retro</v>
          </cell>
          <cell r="C30" t="str">
            <v>Baseline adjusted to reflect codes</v>
          </cell>
        </row>
        <row r="31">
          <cell r="B31" t="str">
            <v>Advanced Rooftop Controller-New</v>
          </cell>
          <cell r="C31" t="str">
            <v>Single Glazed Fraction from CBSA</v>
          </cell>
        </row>
        <row r="32">
          <cell r="B32" t="str">
            <v>Advanced Rooftop Controller-NR</v>
          </cell>
        </row>
        <row r="33">
          <cell r="B33" t="str">
            <v>Advanced Rooftop Controller-Retro</v>
          </cell>
        </row>
        <row r="34">
          <cell r="B34" t="str">
            <v>Variable Speed Chiller-New</v>
          </cell>
          <cell r="C34" t="str">
            <v>Assumes marginally-effective economizer in baseline</v>
          </cell>
        </row>
        <row r="35">
          <cell r="B35" t="str">
            <v>Variable Speed Chiller-NR</v>
          </cell>
          <cell r="C35" t="str">
            <v>Baseline assumes historic mix of chiller types and modular chiller control</v>
          </cell>
        </row>
        <row r="36">
          <cell r="B36" t="str">
            <v>Commercial EM-New</v>
          </cell>
          <cell r="C36" t="str">
            <v>Baseline assumes historic mix of chiller types and modular chiller control</v>
          </cell>
        </row>
        <row r="37">
          <cell r="B37" t="e">
            <v>#REF!</v>
          </cell>
          <cell r="C37" t="str">
            <v>Baseline at code and modular deployment</v>
          </cell>
        </row>
        <row r="38">
          <cell r="B38" t="str">
            <v>Commercial EM-NR</v>
          </cell>
          <cell r="C38" t="str">
            <v>Baseline assume partial penetration of measure</v>
          </cell>
        </row>
        <row r="39">
          <cell r="B39" t="str">
            <v>Commercial EM-Retro</v>
          </cell>
        </row>
        <row r="40">
          <cell r="B40" t="str">
            <v>Evaporative Assist Cooling-New</v>
          </cell>
        </row>
        <row r="41">
          <cell r="B41" t="str">
            <v>Evaporative Assist Cooling-NR</v>
          </cell>
          <cell r="C41" t="str">
            <v>Assumes marginally-effective economizer in baseline</v>
          </cell>
        </row>
        <row r="42">
          <cell r="B42" t="str">
            <v>Economizer-Retro</v>
          </cell>
          <cell r="C42" t="str">
            <v>Assumes marginally-effective economizer in baseline</v>
          </cell>
        </row>
        <row r="43">
          <cell r="B43" t="e">
            <v>#REF!</v>
          </cell>
        </row>
        <row r="44">
          <cell r="B44" t="str">
            <v>Demand Control Ventilation-New</v>
          </cell>
          <cell r="C44" t="str">
            <v>Measure not in any code baseline</v>
          </cell>
        </row>
        <row r="45">
          <cell r="B45" t="e">
            <v>#REF!</v>
          </cell>
          <cell r="C45" t="str">
            <v>Measure not in any code baseline</v>
          </cell>
        </row>
        <row r="46">
          <cell r="B46" t="e">
            <v>#REF!</v>
          </cell>
        </row>
        <row r="47">
          <cell r="B47" t="str">
            <v>Demand Control Ventilation-NR</v>
          </cell>
          <cell r="C47" t="str">
            <v>Measure dropped due to code</v>
          </cell>
        </row>
        <row r="48">
          <cell r="B48" t="str">
            <v>Demand Control Ventilation-Retro</v>
          </cell>
          <cell r="C48" t="str">
            <v>Measure dropped due to code</v>
          </cell>
        </row>
        <row r="49">
          <cell r="B49" t="str">
            <v>Premium Fume Hood-NR</v>
          </cell>
        </row>
        <row r="50">
          <cell r="B50" t="e">
            <v>#REF!</v>
          </cell>
        </row>
        <row r="51">
          <cell r="B51" t="e">
            <v>#REF!</v>
          </cell>
        </row>
        <row r="52">
          <cell r="B52" t="e">
            <v>#REF!</v>
          </cell>
        </row>
        <row r="53">
          <cell r="B53" t="e">
            <v>#REF!</v>
          </cell>
        </row>
        <row r="54">
          <cell r="B54" t="e">
            <v>#REF!</v>
          </cell>
        </row>
        <row r="55">
          <cell r="B55" t="e">
            <v>#REF!</v>
          </cell>
        </row>
        <row r="56">
          <cell r="B56" t="e">
            <v>#REF!</v>
          </cell>
        </row>
        <row r="57">
          <cell r="B57" t="e">
            <v>#REF!</v>
          </cell>
        </row>
        <row r="58">
          <cell r="B58" t="e">
            <v>#REF!</v>
          </cell>
        </row>
        <row r="59">
          <cell r="B59" t="e">
            <v>#REF!</v>
          </cell>
        </row>
        <row r="60">
          <cell r="B60" t="e">
            <v>#REF!</v>
          </cell>
        </row>
        <row r="61">
          <cell r="B61" t="str">
            <v>DCV Restaurant Hood-Retro</v>
          </cell>
        </row>
        <row r="62">
          <cell r="B62" t="e">
            <v>#REF!</v>
          </cell>
        </row>
        <row r="63">
          <cell r="B63" t="e">
            <v>#REF!</v>
          </cell>
        </row>
        <row r="64">
          <cell r="B64" t="e">
            <v>#REF!</v>
          </cell>
        </row>
        <row r="65">
          <cell r="B65" t="e">
            <v>#REF!</v>
          </cell>
        </row>
        <row r="66">
          <cell r="B66" t="e">
            <v>#REF!</v>
          </cell>
        </row>
        <row r="67">
          <cell r="B67" t="e">
            <v>#REF!</v>
          </cell>
        </row>
        <row r="68">
          <cell r="B68" t="e">
            <v>#REF!</v>
          </cell>
        </row>
        <row r="69">
          <cell r="B69" t="e">
            <v>#REF!</v>
          </cell>
        </row>
        <row r="70">
          <cell r="B70" t="e">
            <v>#REF!</v>
          </cell>
        </row>
        <row r="71">
          <cell r="B71" t="e">
            <v>#REF!</v>
          </cell>
        </row>
        <row r="72">
          <cell r="B72" t="str">
            <v>DCV Parking Garage-Retro</v>
          </cell>
        </row>
        <row r="73">
          <cell r="B73" t="str">
            <v>Weatherization - School-Retro</v>
          </cell>
        </row>
        <row r="74">
          <cell r="B74" t="e">
            <v>#REF!</v>
          </cell>
        </row>
        <row r="75">
          <cell r="B75" t="str">
            <v>Energy Recovery Ventilator-NR</v>
          </cell>
        </row>
        <row r="76">
          <cell r="B76" t="str">
            <v>AC Heat Recovery for Water Heating-NR</v>
          </cell>
        </row>
        <row r="77">
          <cell r="B77" t="str">
            <v>Room Occupancy Sensors in Lodging-Retro</v>
          </cell>
        </row>
        <row r="78">
          <cell r="B78" t="str">
            <v>Chiller - chilled water retrofit-Retro</v>
          </cell>
        </row>
        <row r="79">
          <cell r="B79" t="str">
            <v>Office Equipment</v>
          </cell>
          <cell r="C79" t="str">
            <v>New</v>
          </cell>
        </row>
        <row r="80">
          <cell r="B80" t="str">
            <v>Computer Servers and IT</v>
          </cell>
          <cell r="C80" t="str">
            <v>New</v>
          </cell>
        </row>
        <row r="81">
          <cell r="B81" t="e">
            <v>#REF!</v>
          </cell>
        </row>
        <row r="82">
          <cell r="B82" t="str">
            <v>Pool Blankets-Retro</v>
          </cell>
        </row>
        <row r="83">
          <cell r="B83" t="e">
            <v>#REF!</v>
          </cell>
        </row>
        <row r="84">
          <cell r="B84" t="e">
            <v>#REF!</v>
          </cell>
        </row>
        <row r="85">
          <cell r="B85" t="str">
            <v>Web-Enabled Thermostats-Retro</v>
          </cell>
        </row>
        <row r="86">
          <cell r="B86" t="e">
            <v>#REF!</v>
          </cell>
        </row>
        <row r="87">
          <cell r="B87" t="e">
            <v>#REF!</v>
          </cell>
        </row>
        <row r="88">
          <cell r="B88" t="str">
            <v>Garage CO2 ventilation-Retro</v>
          </cell>
        </row>
        <row r="89">
          <cell r="B89" t="e">
            <v>#REF!</v>
          </cell>
        </row>
        <row r="90">
          <cell r="B90" t="e">
            <v>#REF!</v>
          </cell>
        </row>
        <row r="91">
          <cell r="B91" t="e">
            <v>#REF!</v>
          </cell>
        </row>
        <row r="92">
          <cell r="B92" t="e">
            <v>#REF!</v>
          </cell>
        </row>
        <row r="93">
          <cell r="B93" t="e">
            <v>#REF!</v>
          </cell>
        </row>
        <row r="94">
          <cell r="B94" t="str">
            <v>Circ Pump ECM and drive-Retro</v>
          </cell>
        </row>
        <row r="95">
          <cell r="B95" t="str">
            <v>VRF-New</v>
          </cell>
        </row>
        <row r="96">
          <cell r="B96">
            <v>0</v>
          </cell>
        </row>
        <row r="97">
          <cell r="B97">
            <v>0</v>
          </cell>
        </row>
        <row r="98">
          <cell r="B98">
            <v>0</v>
          </cell>
        </row>
        <row r="99">
          <cell r="B99">
            <v>0</v>
          </cell>
        </row>
        <row r="100">
          <cell r="B100">
            <v>0</v>
          </cell>
        </row>
        <row r="101">
          <cell r="B101">
            <v>0</v>
          </cell>
        </row>
        <row r="102">
          <cell r="B102">
            <v>0</v>
          </cell>
        </row>
        <row r="103">
          <cell r="B103">
            <v>0</v>
          </cell>
        </row>
        <row r="104">
          <cell r="B104">
            <v>0</v>
          </cell>
        </row>
        <row r="105">
          <cell r="B105">
            <v>0</v>
          </cell>
        </row>
      </sheetData>
      <sheetData sheetId="11">
        <row r="13">
          <cell r="B13" t="str">
            <v>FORECAST</v>
          </cell>
        </row>
        <row r="14">
          <cell r="B14" t="str">
            <v>POST2013</v>
          </cell>
          <cell r="C14" t="str">
            <v>Office</v>
          </cell>
          <cell r="F14" t="str">
            <v>Retail</v>
          </cell>
          <cell r="J14" t="str">
            <v>School</v>
          </cell>
          <cell r="L14" t="str">
            <v>Warehouse</v>
          </cell>
          <cell r="M14" t="str">
            <v>Grocery</v>
          </cell>
          <cell r="O14" t="str">
            <v>Restaurant</v>
          </cell>
          <cell r="P14" t="str">
            <v>Lodging</v>
          </cell>
          <cell r="Q14" t="str">
            <v>Health</v>
          </cell>
          <cell r="S14" t="str">
            <v>Assembly</v>
          </cell>
          <cell r="T14" t="str">
            <v>Other</v>
          </cell>
        </row>
        <row r="15">
          <cell r="B15" t="str">
            <v>FloorA%ACT</v>
          </cell>
          <cell r="C15">
            <v>0.23374291413554329</v>
          </cell>
          <cell r="F15">
            <v>0.16379453573805774</v>
          </cell>
          <cell r="J15">
            <v>8.8639553331737689E-2</v>
          </cell>
          <cell r="L15">
            <v>9.6266945662747766E-2</v>
          </cell>
          <cell r="M15">
            <v>2.0434554153352484E-2</v>
          </cell>
          <cell r="O15">
            <v>1.255060122823257E-2</v>
          </cell>
          <cell r="P15">
            <v>5.5794347273117245E-2</v>
          </cell>
          <cell r="Q15">
            <v>7.398534349162611E-2</v>
          </cell>
          <cell r="S15">
            <v>0.12949316922883081</v>
          </cell>
          <cell r="T15">
            <v>0.12270755891365608</v>
          </cell>
        </row>
        <row r="16">
          <cell r="B16" t="str">
            <v>POST2013</v>
          </cell>
          <cell r="C16" t="str">
            <v>Large Off</v>
          </cell>
          <cell r="D16" t="str">
            <v>Medium Off</v>
          </cell>
          <cell r="E16" t="str">
            <v>Small Off</v>
          </cell>
          <cell r="F16" t="str">
            <v>Xlarge Ret</v>
          </cell>
          <cell r="G16" t="str">
            <v>Large Ret</v>
          </cell>
          <cell r="H16" t="str">
            <v>Medium Ret</v>
          </cell>
          <cell r="I16" t="str">
            <v>Small Ret</v>
          </cell>
          <cell r="J16" t="str">
            <v>School K-12</v>
          </cell>
          <cell r="K16" t="str">
            <v>University</v>
          </cell>
          <cell r="L16" t="str">
            <v>Warehouse</v>
          </cell>
          <cell r="M16" t="str">
            <v>Supermarket</v>
          </cell>
          <cell r="N16" t="str">
            <v>MiniMart</v>
          </cell>
          <cell r="O16" t="str">
            <v>Restaurant</v>
          </cell>
          <cell r="P16" t="str">
            <v>Lodging</v>
          </cell>
          <cell r="Q16" t="str">
            <v>Hospital</v>
          </cell>
          <cell r="R16" t="str">
            <v>Residential Care</v>
          </cell>
          <cell r="S16" t="str">
            <v>Assembly</v>
          </cell>
          <cell r="T16" t="str">
            <v>Other</v>
          </cell>
        </row>
        <row r="17">
          <cell r="B17" t="str">
            <v>FloorA%TYP</v>
          </cell>
          <cell r="C17">
            <v>0.49844828664156315</v>
          </cell>
          <cell r="D17">
            <v>0.39725857197361958</v>
          </cell>
          <cell r="E17">
            <v>0.10429314138481716</v>
          </cell>
          <cell r="F17">
            <v>0.29289805028089561</v>
          </cell>
          <cell r="G17">
            <v>0.11837446567671327</v>
          </cell>
          <cell r="H17">
            <v>0.44658380004081855</v>
          </cell>
          <cell r="I17">
            <v>0.14214368400157257</v>
          </cell>
          <cell r="J17">
            <v>0.58044164275770982</v>
          </cell>
          <cell r="K17">
            <v>0.41955835724229024</v>
          </cell>
          <cell r="L17">
            <v>1</v>
          </cell>
          <cell r="M17">
            <v>0.70766579331774959</v>
          </cell>
          <cell r="N17">
            <v>0.29233420668225041</v>
          </cell>
          <cell r="O17">
            <v>1</v>
          </cell>
          <cell r="P17">
            <v>1</v>
          </cell>
          <cell r="Q17">
            <v>1</v>
          </cell>
          <cell r="R17">
            <v>1</v>
          </cell>
          <cell r="S17">
            <v>1</v>
          </cell>
          <cell r="T17">
            <v>1</v>
          </cell>
        </row>
        <row r="18">
          <cell r="B18" t="str">
            <v>FloorA%REG</v>
          </cell>
          <cell r="C18">
            <v>0.15073291148870363</v>
          </cell>
          <cell r="D18">
            <v>0.12013270538231059</v>
          </cell>
          <cell r="E18">
            <v>3.1538695729415013E-2</v>
          </cell>
          <cell r="F18">
            <v>2.6820893655991742E-2</v>
          </cell>
          <cell r="G18">
            <v>1.0839638408159987E-2</v>
          </cell>
          <cell r="H18">
            <v>4.0894012773033235E-2</v>
          </cell>
          <cell r="I18">
            <v>1.3016203517984767E-2</v>
          </cell>
          <cell r="J18">
            <v>3.0886857559635036E-2</v>
          </cell>
          <cell r="K18">
            <v>2.2325826170102026E-2</v>
          </cell>
          <cell r="L18">
            <v>0.10087192274660353</v>
          </cell>
          <cell r="M18">
            <v>6.1675003194375045E-3</v>
          </cell>
          <cell r="N18">
            <v>2.5477723102065148E-3</v>
          </cell>
          <cell r="O18">
            <v>1.1693580853842011E-2</v>
          </cell>
          <cell r="P18">
            <v>2.3957473342185561E-2</v>
          </cell>
          <cell r="Q18">
            <v>4.4965056377242296E-2</v>
          </cell>
          <cell r="R18">
            <v>5.827742495837801E-2</v>
          </cell>
          <cell r="S18">
            <v>9.0984350406775827E-2</v>
          </cell>
          <cell r="T18">
            <v>0.21334717399999265</v>
          </cell>
        </row>
        <row r="19">
          <cell r="B19" t="str">
            <v>ElecHt%TYP</v>
          </cell>
          <cell r="C19">
            <v>9.379008321141083E-2</v>
          </cell>
          <cell r="D19">
            <v>5.7141018201974592E-2</v>
          </cell>
          <cell r="E19">
            <v>6.3540893141458221E-2</v>
          </cell>
          <cell r="F19">
            <v>0.52114684573848291</v>
          </cell>
          <cell r="G19">
            <v>0.64094486042254439</v>
          </cell>
          <cell r="H19">
            <v>0.56159710090996928</v>
          </cell>
          <cell r="I19">
            <v>0.19952525247533903</v>
          </cell>
          <cell r="J19">
            <v>0.22286467137317267</v>
          </cell>
          <cell r="K19">
            <v>0.15885643507420852</v>
          </cell>
          <cell r="L19">
            <v>0.52114684573848291</v>
          </cell>
          <cell r="M19">
            <v>1.5377816133020691E-2</v>
          </cell>
          <cell r="N19">
            <v>0</v>
          </cell>
          <cell r="O19">
            <v>5.5212362541074519E-2</v>
          </cell>
          <cell r="P19">
            <v>0.34342063041492848</v>
          </cell>
          <cell r="Q19">
            <v>0.10311447532768504</v>
          </cell>
          <cell r="R19">
            <v>5.6083613809662864E-3</v>
          </cell>
          <cell r="S19">
            <v>5.6083613809662864E-3</v>
          </cell>
          <cell r="T19">
            <v>0.24031041917780901</v>
          </cell>
        </row>
        <row r="20">
          <cell r="B20" t="str">
            <v>GasHt%TYP</v>
          </cell>
          <cell r="C20">
            <v>0.80872784176745371</v>
          </cell>
          <cell r="D20">
            <v>0.93108561158422598</v>
          </cell>
          <cell r="E20">
            <v>0.65879042006554966</v>
          </cell>
          <cell r="F20">
            <v>0.30364464955032466</v>
          </cell>
          <cell r="G20">
            <v>0.20980203614718312</v>
          </cell>
          <cell r="H20">
            <v>0.42422729730852854</v>
          </cell>
          <cell r="I20">
            <v>0.44747439425166918</v>
          </cell>
          <cell r="J20">
            <v>0.53090550528653346</v>
          </cell>
          <cell r="K20">
            <v>0.73038501205930684</v>
          </cell>
          <cell r="L20">
            <v>0.30364464955032466</v>
          </cell>
          <cell r="M20">
            <v>0.88455863187555051</v>
          </cell>
          <cell r="N20">
            <v>0.99620809267302346</v>
          </cell>
          <cell r="O20">
            <v>0.88366906107173016</v>
          </cell>
          <cell r="P20">
            <v>0.53617368361870132</v>
          </cell>
          <cell r="Q20">
            <v>0.74192623135844471</v>
          </cell>
          <cell r="R20">
            <v>0.98575716289794368</v>
          </cell>
          <cell r="S20">
            <v>0.98575716289794368</v>
          </cell>
          <cell r="T20">
            <v>0.6783643954380898</v>
          </cell>
        </row>
        <row r="21">
          <cell r="B21" t="str">
            <v>HtPmpHt%TYP</v>
          </cell>
          <cell r="C21">
            <v>9.7482075021135345E-2</v>
          </cell>
          <cell r="D21">
            <v>1.1773370213799438E-2</v>
          </cell>
          <cell r="E21">
            <v>0.27766868679299217</v>
          </cell>
          <cell r="F21">
            <v>0.17520850471119245</v>
          </cell>
          <cell r="G21">
            <v>0.14925310343027248</v>
          </cell>
          <cell r="H21">
            <v>1.4175601781502387E-2</v>
          </cell>
          <cell r="I21">
            <v>0.35300035327299167</v>
          </cell>
          <cell r="J21">
            <v>0.24622982334029381</v>
          </cell>
          <cell r="K21">
            <v>0.1107585528664846</v>
          </cell>
          <cell r="L21">
            <v>0.17520850471119245</v>
          </cell>
          <cell r="M21">
            <v>0.1000635519914288</v>
          </cell>
          <cell r="N21">
            <v>3.7919073269764856E-3</v>
          </cell>
          <cell r="O21">
            <v>6.1118576387195395E-2</v>
          </cell>
          <cell r="P21">
            <v>0.12040568596637012</v>
          </cell>
          <cell r="Q21">
            <v>0.15495929331387026</v>
          </cell>
          <cell r="R21">
            <v>8.6344757210899958E-3</v>
          </cell>
          <cell r="S21">
            <v>8.6344757210899958E-3</v>
          </cell>
          <cell r="T21">
            <v>8.1325185384101065E-2</v>
          </cell>
        </row>
        <row r="22">
          <cell r="B22" t="str">
            <v>CoolSat%TYP</v>
          </cell>
          <cell r="C22">
            <v>0.95128694884061893</v>
          </cell>
          <cell r="D22">
            <v>0.97665874571205136</v>
          </cell>
          <cell r="E22">
            <v>0.91122609210258287</v>
          </cell>
          <cell r="F22">
            <v>0.98608503921852686</v>
          </cell>
          <cell r="G22">
            <v>0.77181511362305244</v>
          </cell>
          <cell r="H22">
            <v>0.90527535536267667</v>
          </cell>
          <cell r="I22">
            <v>0.53668215741883951</v>
          </cell>
          <cell r="J22">
            <v>0.96128535178408803</v>
          </cell>
          <cell r="K22">
            <v>0.75</v>
          </cell>
          <cell r="L22">
            <v>0.18162271351024481</v>
          </cell>
          <cell r="M22">
            <v>0.92147944946531313</v>
          </cell>
          <cell r="N22">
            <v>0.83868998628257874</v>
          </cell>
          <cell r="O22">
            <v>0.99999997512427186</v>
          </cell>
          <cell r="P22">
            <v>0.94438859080377269</v>
          </cell>
          <cell r="Q22">
            <v>0.95</v>
          </cell>
          <cell r="R22">
            <v>0.8423386600487599</v>
          </cell>
          <cell r="S22">
            <v>0.91177234717447209</v>
          </cell>
          <cell r="T22">
            <v>0.87717751610580841</v>
          </cell>
        </row>
        <row r="23">
          <cell r="B23" t="str">
            <v>CoolSat%ACT</v>
          </cell>
          <cell r="C23">
            <v>0.95718804003839186</v>
          </cell>
          <cell r="F23">
            <v>0.86075287434919978</v>
          </cell>
          <cell r="J23">
            <v>0.87263881668019661</v>
          </cell>
          <cell r="L23">
            <v>0.18162271351024481</v>
          </cell>
          <cell r="M23">
            <v>0.897277257424139</v>
          </cell>
          <cell r="O23">
            <v>0.99999997512427186</v>
          </cell>
          <cell r="P23">
            <v>0.94438859080377269</v>
          </cell>
          <cell r="Q23">
            <v>0.89616933002437993</v>
          </cell>
          <cell r="S23">
            <v>0.91177234717447209</v>
          </cell>
          <cell r="T23">
            <v>0.87717751610580841</v>
          </cell>
        </row>
        <row r="24">
          <cell r="B24" t="str">
            <v>PackRT%TYP</v>
          </cell>
          <cell r="C24">
            <v>0.15</v>
          </cell>
          <cell r="D24">
            <v>0.75</v>
          </cell>
          <cell r="E24">
            <v>0.95</v>
          </cell>
          <cell r="F24">
            <v>0.95</v>
          </cell>
          <cell r="G24">
            <v>0.9</v>
          </cell>
          <cell r="H24">
            <v>0.9</v>
          </cell>
          <cell r="I24">
            <v>0.3</v>
          </cell>
          <cell r="J24">
            <v>0.3</v>
          </cell>
          <cell r="K24">
            <v>0.5</v>
          </cell>
          <cell r="L24">
            <v>0.35</v>
          </cell>
          <cell r="M24">
            <v>0.9</v>
          </cell>
          <cell r="N24">
            <v>0.9</v>
          </cell>
          <cell r="O24">
            <v>0.95</v>
          </cell>
          <cell r="P24">
            <v>0.5</v>
          </cell>
          <cell r="Q24">
            <v>0.1</v>
          </cell>
          <cell r="R24">
            <v>0.6</v>
          </cell>
          <cell r="S24">
            <v>0.5</v>
          </cell>
          <cell r="T24">
            <v>0.5</v>
          </cell>
        </row>
        <row r="25">
          <cell r="B25" t="str">
            <v>PackRT%ACT</v>
          </cell>
          <cell r="C25">
            <v>0.50026702886083674</v>
          </cell>
          <cell r="F25">
            <v>0.78455381811533043</v>
          </cell>
          <cell r="J25">
            <v>0.36953195539995587</v>
          </cell>
          <cell r="L25">
            <v>0.35</v>
          </cell>
          <cell r="M25">
            <v>0.90000000000000013</v>
          </cell>
          <cell r="O25">
            <v>0.95</v>
          </cell>
          <cell r="P25">
            <v>0.5</v>
          </cell>
          <cell r="Q25">
            <v>0.45832204515370584</v>
          </cell>
          <cell r="S25">
            <v>0.5</v>
          </cell>
          <cell r="T25">
            <v>0.5</v>
          </cell>
        </row>
        <row r="26">
          <cell r="B26" t="str">
            <v>BuiltUp%TYP</v>
          </cell>
          <cell r="C26">
            <v>0.85</v>
          </cell>
          <cell r="D26">
            <v>0.35</v>
          </cell>
          <cell r="E26">
            <v>2.9006395725036469E-2</v>
          </cell>
          <cell r="F26">
            <v>3.9164397027771525E-2</v>
          </cell>
          <cell r="G26">
            <v>0.25776672816535129</v>
          </cell>
          <cell r="H26">
            <v>2.7574670878248778E-2</v>
          </cell>
          <cell r="I26">
            <v>0.10146503328904084</v>
          </cell>
          <cell r="J26">
            <v>0.29515325476216947</v>
          </cell>
          <cell r="K26">
            <v>0.77756785592800526</v>
          </cell>
          <cell r="L26">
            <v>0.13082984106717208</v>
          </cell>
          <cell r="M26">
            <v>7.1447125331852143E-2</v>
          </cell>
          <cell r="N26">
            <v>0</v>
          </cell>
          <cell r="O26">
            <v>2.3525905182962954E-2</v>
          </cell>
          <cell r="P26">
            <v>7.934694377848886E-2</v>
          </cell>
          <cell r="Q26">
            <v>0.85339696790936803</v>
          </cell>
          <cell r="R26">
            <v>7.6228114216259218E-2</v>
          </cell>
          <cell r="S26">
            <v>0.16854152512418574</v>
          </cell>
          <cell r="T26">
            <v>0.20051702037858005</v>
          </cell>
          <cell r="U26" t="str">
            <v>Use for Com-EM</v>
          </cell>
        </row>
        <row r="27">
          <cell r="B27" t="str">
            <v>BuiltUp%ACT</v>
          </cell>
          <cell r="C27">
            <v>0.52249684792760431</v>
          </cell>
          <cell r="F27">
            <v>6.2181060258327321E-2</v>
          </cell>
          <cell r="J27">
            <v>0.75664862673331257</v>
          </cell>
          <cell r="L27">
            <v>0.10310000000000001</v>
          </cell>
          <cell r="M27">
            <v>0.11560000000000001</v>
          </cell>
          <cell r="O27">
            <v>0.11560000000000001</v>
          </cell>
          <cell r="P27">
            <v>0.32380000000000003</v>
          </cell>
          <cell r="Q27">
            <v>0.83345440239005475</v>
          </cell>
          <cell r="S27">
            <v>0.3</v>
          </cell>
          <cell r="T27">
            <v>0.47130000000000005</v>
          </cell>
        </row>
        <row r="28">
          <cell r="B28" t="str">
            <v>VAV%TYP</v>
          </cell>
          <cell r="C28">
            <v>0.6</v>
          </cell>
          <cell r="D28">
            <v>0.2</v>
          </cell>
          <cell r="E28">
            <v>0</v>
          </cell>
          <cell r="F28">
            <v>0.01</v>
          </cell>
          <cell r="G28">
            <v>0</v>
          </cell>
          <cell r="H28">
            <v>0</v>
          </cell>
          <cell r="I28">
            <v>0</v>
          </cell>
          <cell r="J28">
            <v>0.25</v>
          </cell>
          <cell r="K28">
            <v>0.4</v>
          </cell>
          <cell r="L28">
            <v>0</v>
          </cell>
          <cell r="M28">
            <v>0</v>
          </cell>
          <cell r="N28">
            <v>0</v>
          </cell>
          <cell r="O28">
            <v>0</v>
          </cell>
          <cell r="P28">
            <v>0</v>
          </cell>
          <cell r="Q28">
            <v>0.5</v>
          </cell>
          <cell r="R28">
            <v>0.4</v>
          </cell>
          <cell r="S28">
            <v>0.1</v>
          </cell>
          <cell r="T28">
            <v>0.3</v>
          </cell>
        </row>
        <row r="29">
          <cell r="B29" t="str">
            <v>VAV%ACT</v>
          </cell>
          <cell r="C29">
            <v>0.34868166674859297</v>
          </cell>
          <cell r="F29">
            <v>2.3808219851502894E-3</v>
          </cell>
          <cell r="J29">
            <v>0.30214896654996692</v>
          </cell>
          <cell r="L29">
            <v>0</v>
          </cell>
          <cell r="M29">
            <v>0</v>
          </cell>
          <cell r="O29">
            <v>0</v>
          </cell>
          <cell r="P29">
            <v>0</v>
          </cell>
          <cell r="Q29">
            <v>0.42833559096925883</v>
          </cell>
          <cell r="S29">
            <v>0.1</v>
          </cell>
          <cell r="T29">
            <v>0.3</v>
          </cell>
        </row>
        <row r="30">
          <cell r="B30" t="str">
            <v>LSYieldElecHt&amp;AC</v>
          </cell>
          <cell r="C30">
            <v>0.92464156437246825</v>
          </cell>
          <cell r="D30">
            <v>0.92743246202832574</v>
          </cell>
          <cell r="E30">
            <v>0.70313295749949067</v>
          </cell>
          <cell r="F30">
            <v>0.85735615745151994</v>
          </cell>
          <cell r="G30">
            <v>0.70892672045214944</v>
          </cell>
          <cell r="H30">
            <v>0.71863304264352112</v>
          </cell>
          <cell r="I30">
            <v>0.75976868046444901</v>
          </cell>
          <cell r="J30">
            <v>0.61612853517840882</v>
          </cell>
          <cell r="K30">
            <v>0.6725000000000001</v>
          </cell>
          <cell r="L30">
            <v>0.61</v>
          </cell>
          <cell r="M30">
            <v>0.85371835595722523</v>
          </cell>
          <cell r="N30">
            <v>0.72741659807956105</v>
          </cell>
          <cell r="O30">
            <v>0.42999999950248563</v>
          </cell>
          <cell r="P30">
            <v>0.69443885908037739</v>
          </cell>
          <cell r="Q30">
            <v>0.28950000000000004</v>
          </cell>
          <cell r="R30">
            <v>0.68423386600487623</v>
          </cell>
          <cell r="S30">
            <v>0.92029495818919216</v>
          </cell>
          <cell r="T30">
            <v>0.91648952677163908</v>
          </cell>
        </row>
        <row r="31">
          <cell r="B31" t="str">
            <v>LSYieldHtPmpHt&amp;AC</v>
          </cell>
          <cell r="C31">
            <v>1.02</v>
          </cell>
          <cell r="D31">
            <v>1.02</v>
          </cell>
          <cell r="E31">
            <v>0.95500000000000007</v>
          </cell>
          <cell r="F31">
            <v>1.0249999999999999</v>
          </cell>
          <cell r="G31">
            <v>0.96499999999999986</v>
          </cell>
          <cell r="H31">
            <v>0.92500000000000004</v>
          </cell>
          <cell r="I31">
            <v>0.97499999999999987</v>
          </cell>
          <cell r="J31">
            <v>0.8600000000000001</v>
          </cell>
          <cell r="K31">
            <v>0.95500000000000007</v>
          </cell>
          <cell r="L31">
            <v>0.80499999999999994</v>
          </cell>
          <cell r="M31">
            <v>0.9700000000000002</v>
          </cell>
          <cell r="N31">
            <v>0.94500000000000006</v>
          </cell>
          <cell r="O31">
            <v>0.72500000000000009</v>
          </cell>
          <cell r="P31">
            <v>0.90000000000000013</v>
          </cell>
          <cell r="Q31">
            <v>0.64999999999999991</v>
          </cell>
          <cell r="R31">
            <v>0.90000000000000013</v>
          </cell>
          <cell r="S31">
            <v>1.02</v>
          </cell>
          <cell r="T31">
            <v>1.02</v>
          </cell>
        </row>
        <row r="32">
          <cell r="B32" t="str">
            <v>LSYieldGasHt&amp;AC</v>
          </cell>
          <cell r="C32">
            <v>1.0878415643724679</v>
          </cell>
          <cell r="D32">
            <v>1.0906324620283256</v>
          </cell>
          <cell r="E32">
            <v>1.1292662908328239</v>
          </cell>
          <cell r="F32">
            <v>1.15655615745152</v>
          </cell>
          <cell r="G32">
            <v>1.0987933871188158</v>
          </cell>
          <cell r="H32">
            <v>1.0722330426435214</v>
          </cell>
          <cell r="I32">
            <v>1.0408353471311158</v>
          </cell>
          <cell r="J32">
            <v>1.051328535178409</v>
          </cell>
          <cell r="K32">
            <v>1.0986333333333334</v>
          </cell>
          <cell r="L32">
            <v>0.96360000000000001</v>
          </cell>
          <cell r="M32">
            <v>1.0531850226238919</v>
          </cell>
          <cell r="N32">
            <v>1.0810165980795612</v>
          </cell>
          <cell r="O32">
            <v>0.96493333283581861</v>
          </cell>
          <cell r="P32">
            <v>1.0571055257470443</v>
          </cell>
          <cell r="Q32">
            <v>0.94230000000000003</v>
          </cell>
          <cell r="R32">
            <v>1.0469005326715428</v>
          </cell>
          <cell r="S32">
            <v>1.0834949581891919</v>
          </cell>
          <cell r="T32">
            <v>1.0796895267716389</v>
          </cell>
        </row>
        <row r="33">
          <cell r="B33" t="str">
            <v>LSYieldElecHt</v>
          </cell>
          <cell r="C33">
            <v>0.82000000000000006</v>
          </cell>
          <cell r="D33">
            <v>0.82000000000000006</v>
          </cell>
          <cell r="E33">
            <v>0.53</v>
          </cell>
          <cell r="F33">
            <v>0.66999999999999993</v>
          </cell>
          <cell r="G33">
            <v>0.57000000000000006</v>
          </cell>
          <cell r="H33">
            <v>0.61</v>
          </cell>
          <cell r="I33">
            <v>0.69</v>
          </cell>
          <cell r="J33">
            <v>0.52</v>
          </cell>
          <cell r="K33">
            <v>0.53</v>
          </cell>
          <cell r="L33">
            <v>0.61</v>
          </cell>
          <cell r="M33">
            <v>0.78</v>
          </cell>
          <cell r="N33">
            <v>0.61</v>
          </cell>
          <cell r="O33">
            <v>0.41000000000000003</v>
          </cell>
          <cell r="P33">
            <v>0.6</v>
          </cell>
          <cell r="Q33">
            <v>0.28000000000000003</v>
          </cell>
          <cell r="R33">
            <v>0.6</v>
          </cell>
          <cell r="S33">
            <v>0.82000000000000006</v>
          </cell>
          <cell r="T33">
            <v>0.82000000000000006</v>
          </cell>
        </row>
        <row r="34">
          <cell r="B34" t="str">
            <v>LSYieldGasHt</v>
          </cell>
          <cell r="C34">
            <v>0.98319999999999996</v>
          </cell>
          <cell r="D34">
            <v>0.98319999999999996</v>
          </cell>
          <cell r="E34">
            <v>0.95613333333333328</v>
          </cell>
          <cell r="F34">
            <v>0.96919999999999995</v>
          </cell>
          <cell r="G34">
            <v>0.95986666666666665</v>
          </cell>
          <cell r="H34">
            <v>0.96360000000000001</v>
          </cell>
          <cell r="I34">
            <v>0.97106666666666663</v>
          </cell>
          <cell r="J34">
            <v>0.95520000000000005</v>
          </cell>
          <cell r="K34">
            <v>0.95613333333333328</v>
          </cell>
          <cell r="L34">
            <v>0.96360000000000001</v>
          </cell>
          <cell r="M34">
            <v>0.97946666666666671</v>
          </cell>
          <cell r="N34">
            <v>0.96360000000000001</v>
          </cell>
          <cell r="O34">
            <v>0.94493333333333329</v>
          </cell>
          <cell r="P34">
            <v>0.96266666666666667</v>
          </cell>
          <cell r="Q34">
            <v>0.93279999999999996</v>
          </cell>
          <cell r="R34">
            <v>0.96266666666666667</v>
          </cell>
          <cell r="S34">
            <v>0.98319999999999996</v>
          </cell>
          <cell r="T34">
            <v>0.98319999999999996</v>
          </cell>
        </row>
        <row r="35">
          <cell r="B35" t="str">
            <v>LSYieldThermsGasHt</v>
          </cell>
          <cell r="C35">
            <v>-8.1887999999999996E-3</v>
          </cell>
          <cell r="D35">
            <v>-8.1887999999999996E-3</v>
          </cell>
          <cell r="E35">
            <v>-2.1381866666666666E-2</v>
          </cell>
          <cell r="F35">
            <v>-1.50128E-2</v>
          </cell>
          <cell r="G35">
            <v>-1.9562133333333332E-2</v>
          </cell>
          <cell r="H35">
            <v>-1.7742399999999998E-2</v>
          </cell>
          <cell r="I35">
            <v>-1.4102933333333333E-2</v>
          </cell>
          <cell r="J35">
            <v>-2.18368E-2</v>
          </cell>
          <cell r="K35">
            <v>-2.1381866666666666E-2</v>
          </cell>
          <cell r="L35">
            <v>-1.7742399999999998E-2</v>
          </cell>
          <cell r="M35">
            <v>-1.0008533333333333E-2</v>
          </cell>
          <cell r="N35">
            <v>-1.7742399999999998E-2</v>
          </cell>
          <cell r="O35">
            <v>-2.6841066666666667E-2</v>
          </cell>
          <cell r="P35">
            <v>-1.8197333333333333E-2</v>
          </cell>
          <cell r="Q35">
            <v>-3.2755199999999998E-2</v>
          </cell>
          <cell r="R35">
            <v>-1.8197333333333333E-2</v>
          </cell>
          <cell r="S35">
            <v>-8.1887999999999996E-3</v>
          </cell>
          <cell r="T35">
            <v>-8.1887999999999996E-3</v>
          </cell>
        </row>
        <row r="36">
          <cell r="B36" t="str">
            <v>LSYieldThermsGasHt&amp;AC</v>
          </cell>
          <cell r="C36">
            <v>-8.1887999999999996E-3</v>
          </cell>
          <cell r="D36">
            <v>-8.1887999999999996E-3</v>
          </cell>
          <cell r="E36">
            <v>-2.1381866666666666E-2</v>
          </cell>
          <cell r="F36">
            <v>-1.50128E-2</v>
          </cell>
          <cell r="G36">
            <v>-1.9562133333333332E-2</v>
          </cell>
          <cell r="H36">
            <v>-1.7742399999999998E-2</v>
          </cell>
          <cell r="I36">
            <v>-1.4102933333333333E-2</v>
          </cell>
          <cell r="J36">
            <v>-2.18368E-2</v>
          </cell>
          <cell r="K36">
            <v>-2.1381866666666666E-2</v>
          </cell>
          <cell r="L36">
            <v>-1.7742399999999998E-2</v>
          </cell>
          <cell r="M36">
            <v>-1.0008533333333333E-2</v>
          </cell>
          <cell r="N36">
            <v>-1.7742399999999998E-2</v>
          </cell>
          <cell r="O36">
            <v>-2.6841066666666667E-2</v>
          </cell>
          <cell r="P36">
            <v>-1.8197333333333333E-2</v>
          </cell>
          <cell r="Q36">
            <v>-3.2755199999999998E-2</v>
          </cell>
          <cell r="R36">
            <v>-1.8197333333333333E-2</v>
          </cell>
          <cell r="S36">
            <v>-8.1887999999999996E-3</v>
          </cell>
          <cell r="T36">
            <v>-8.1887999999999996E-3</v>
          </cell>
        </row>
        <row r="37">
          <cell r="B37" t="str">
            <v>LPDAdjust</v>
          </cell>
          <cell r="C37">
            <v>1</v>
          </cell>
          <cell r="D37">
            <v>1</v>
          </cell>
          <cell r="E37">
            <v>1</v>
          </cell>
          <cell r="F37">
            <v>1</v>
          </cell>
          <cell r="G37">
            <v>1</v>
          </cell>
          <cell r="H37">
            <v>1</v>
          </cell>
          <cell r="I37">
            <v>1</v>
          </cell>
          <cell r="J37">
            <v>1</v>
          </cell>
          <cell r="K37">
            <v>1</v>
          </cell>
          <cell r="L37">
            <v>1</v>
          </cell>
          <cell r="M37">
            <v>1</v>
          </cell>
          <cell r="N37">
            <v>1</v>
          </cell>
          <cell r="O37">
            <v>1</v>
          </cell>
          <cell r="P37">
            <v>1</v>
          </cell>
          <cell r="Q37">
            <v>1</v>
          </cell>
          <cell r="R37">
            <v>1</v>
          </cell>
          <cell r="S37">
            <v>1</v>
          </cell>
          <cell r="T37">
            <v>1</v>
          </cell>
        </row>
        <row r="38">
          <cell r="B38" t="str">
            <v>Chiller%TYP</v>
          </cell>
          <cell r="C38">
            <v>0.6</v>
          </cell>
          <cell r="D38">
            <v>0.1</v>
          </cell>
          <cell r="E38">
            <v>0</v>
          </cell>
          <cell r="F38">
            <v>0.05</v>
          </cell>
          <cell r="G38">
            <v>0</v>
          </cell>
          <cell r="H38">
            <v>0</v>
          </cell>
          <cell r="I38">
            <v>0.4</v>
          </cell>
          <cell r="J38">
            <v>0.4</v>
          </cell>
          <cell r="K38">
            <v>0.6</v>
          </cell>
          <cell r="L38">
            <v>0.03</v>
          </cell>
          <cell r="M38">
            <v>0</v>
          </cell>
          <cell r="N38">
            <v>0</v>
          </cell>
          <cell r="O38">
            <v>0</v>
          </cell>
          <cell r="P38">
            <v>0.15</v>
          </cell>
          <cell r="Q38">
            <v>0.75</v>
          </cell>
          <cell r="R38">
            <v>0.2</v>
          </cell>
          <cell r="S38">
            <v>0.1</v>
          </cell>
          <cell r="T38">
            <v>0.3</v>
          </cell>
        </row>
        <row r="39">
          <cell r="B39" t="str">
            <v>HOURSLght</v>
          </cell>
          <cell r="C39">
            <v>3300</v>
          </cell>
          <cell r="D39">
            <v>2800</v>
          </cell>
          <cell r="E39">
            <v>2600</v>
          </cell>
          <cell r="F39">
            <v>6200</v>
          </cell>
          <cell r="G39">
            <v>3800</v>
          </cell>
          <cell r="H39">
            <v>3800</v>
          </cell>
          <cell r="I39">
            <v>2800</v>
          </cell>
          <cell r="J39">
            <v>2700</v>
          </cell>
          <cell r="K39">
            <v>3600</v>
          </cell>
          <cell r="L39">
            <v>2700</v>
          </cell>
          <cell r="M39">
            <v>7300</v>
          </cell>
          <cell r="N39">
            <v>6800</v>
          </cell>
          <cell r="O39">
            <v>5400</v>
          </cell>
          <cell r="P39">
            <v>3000</v>
          </cell>
          <cell r="Q39">
            <v>6400</v>
          </cell>
          <cell r="R39">
            <v>5700</v>
          </cell>
          <cell r="S39">
            <v>3000</v>
          </cell>
          <cell r="T39">
            <v>4100</v>
          </cell>
        </row>
        <row r="40">
          <cell r="B40" t="str">
            <v>UnCondArea%TYP</v>
          </cell>
          <cell r="C40">
            <v>0.12</v>
          </cell>
          <cell r="D40">
            <v>7.0000000000000007E-2</v>
          </cell>
          <cell r="E40">
            <v>0.05</v>
          </cell>
          <cell r="F40">
            <v>0.03</v>
          </cell>
          <cell r="G40">
            <v>0.13</v>
          </cell>
          <cell r="H40">
            <v>0.1</v>
          </cell>
          <cell r="I40">
            <v>0.12</v>
          </cell>
          <cell r="J40">
            <v>0.01</v>
          </cell>
          <cell r="K40">
            <v>0.1</v>
          </cell>
          <cell r="L40">
            <v>0.31</v>
          </cell>
          <cell r="M40">
            <v>0.04</v>
          </cell>
          <cell r="N40">
            <v>0.04</v>
          </cell>
          <cell r="O40">
            <v>0.13</v>
          </cell>
          <cell r="P40">
            <v>0.05</v>
          </cell>
          <cell r="Q40">
            <v>0.12</v>
          </cell>
          <cell r="R40">
            <v>0.03</v>
          </cell>
          <cell r="S40">
            <v>0.15</v>
          </cell>
          <cell r="T40">
            <v>0.15</v>
          </cell>
        </row>
        <row r="41">
          <cell r="B41" t="str">
            <v>RTEcono%TYP</v>
          </cell>
          <cell r="C41">
            <v>1</v>
          </cell>
          <cell r="D41">
            <v>1</v>
          </cell>
          <cell r="E41">
            <v>0.77500000000000002</v>
          </cell>
          <cell r="F41">
            <v>1</v>
          </cell>
          <cell r="G41">
            <v>0.77500000000000002</v>
          </cell>
          <cell r="H41">
            <v>0.95</v>
          </cell>
          <cell r="I41">
            <v>0.82499999999999996</v>
          </cell>
          <cell r="J41">
            <v>1</v>
          </cell>
          <cell r="K41">
            <v>1</v>
          </cell>
          <cell r="L41">
            <v>0.72500000000000009</v>
          </cell>
          <cell r="M41">
            <v>0.85</v>
          </cell>
          <cell r="N41">
            <v>0.85</v>
          </cell>
          <cell r="O41">
            <v>0.85</v>
          </cell>
          <cell r="P41">
            <v>0.85</v>
          </cell>
          <cell r="Q41">
            <v>1</v>
          </cell>
          <cell r="R41">
            <v>0.85</v>
          </cell>
          <cell r="S41">
            <v>0.6</v>
          </cell>
          <cell r="T41">
            <v>0.6</v>
          </cell>
        </row>
        <row r="42">
          <cell r="B42" t="str">
            <v>FloorA%PRE2002</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row>
        <row r="43">
          <cell r="B43" t="str">
            <v>FloorA%PRE2006</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row>
        <row r="44">
          <cell r="B44" t="str">
            <v>ElecHtComplex%TYP</v>
          </cell>
          <cell r="C44">
            <v>0.61680000000000001</v>
          </cell>
          <cell r="D44">
            <v>0.61680000000000001</v>
          </cell>
          <cell r="E44">
            <v>0.61680000000000001</v>
          </cell>
          <cell r="F44">
            <v>0.84279999999999999</v>
          </cell>
          <cell r="G44">
            <v>3.7900000000000003E-2</v>
          </cell>
          <cell r="H44">
            <v>3.7900000000000003E-2</v>
          </cell>
          <cell r="I44">
            <v>3.7900000000000003E-2</v>
          </cell>
          <cell r="J44">
            <v>6.0999999999999995E-3</v>
          </cell>
          <cell r="K44">
            <v>0.1794</v>
          </cell>
          <cell r="L44">
            <v>0.37840000000000001</v>
          </cell>
          <cell r="M44">
            <v>5.3399999999999996E-2</v>
          </cell>
          <cell r="N44">
            <v>5.3399999999999996E-2</v>
          </cell>
          <cell r="O44">
            <v>5.3399999999999996E-2</v>
          </cell>
          <cell r="P44">
            <v>7.7000000000000002E-3</v>
          </cell>
          <cell r="Q44">
            <v>8.1099999999999992E-2</v>
          </cell>
          <cell r="R44">
            <v>0.35409999999999997</v>
          </cell>
          <cell r="S44">
            <v>0.05</v>
          </cell>
          <cell r="T44">
            <v>0.31140000000000001</v>
          </cell>
        </row>
        <row r="45">
          <cell r="B45" t="str">
            <v>GasHtComplex%TYP</v>
          </cell>
          <cell r="C45">
            <v>0.25319999999999998</v>
          </cell>
          <cell r="D45">
            <v>0.25319999999999998</v>
          </cell>
          <cell r="E45">
            <v>0.25319999999999998</v>
          </cell>
          <cell r="F45">
            <v>0.15720000000000001</v>
          </cell>
          <cell r="G45">
            <v>0.31929999999999997</v>
          </cell>
          <cell r="H45">
            <v>0.31929999999999997</v>
          </cell>
          <cell r="I45">
            <v>0.31929999999999997</v>
          </cell>
          <cell r="J45">
            <v>0.83329999999999993</v>
          </cell>
          <cell r="K45">
            <v>0.82069999999999999</v>
          </cell>
          <cell r="L45">
            <v>0.62159999999999993</v>
          </cell>
          <cell r="M45">
            <v>0.9466</v>
          </cell>
          <cell r="N45">
            <v>0.9466</v>
          </cell>
          <cell r="O45">
            <v>0.9466</v>
          </cell>
          <cell r="P45">
            <v>0.56859999999999999</v>
          </cell>
          <cell r="Q45">
            <v>0.91890000000000005</v>
          </cell>
          <cell r="R45">
            <v>0.57330000000000003</v>
          </cell>
          <cell r="S45">
            <v>0.55000000000000004</v>
          </cell>
          <cell r="T45">
            <v>0.67430000000000001</v>
          </cell>
        </row>
        <row r="46">
          <cell r="B46" t="str">
            <v>HtPmpHtComplex%TYP</v>
          </cell>
          <cell r="C46">
            <v>0.13009999999999999</v>
          </cell>
          <cell r="D46">
            <v>0.13009999999999999</v>
          </cell>
          <cell r="E46">
            <v>0.13009999999999999</v>
          </cell>
          <cell r="F46">
            <v>0</v>
          </cell>
          <cell r="G46">
            <v>0.64280000000000004</v>
          </cell>
          <cell r="H46">
            <v>0.64280000000000004</v>
          </cell>
          <cell r="I46">
            <v>0.64280000000000004</v>
          </cell>
          <cell r="J46">
            <v>0.1605</v>
          </cell>
          <cell r="K46">
            <v>0</v>
          </cell>
          <cell r="L46">
            <v>0</v>
          </cell>
          <cell r="M46">
            <v>0</v>
          </cell>
          <cell r="N46">
            <v>0</v>
          </cell>
          <cell r="O46">
            <v>0</v>
          </cell>
          <cell r="P46">
            <v>0.42380000000000001</v>
          </cell>
          <cell r="Q46">
            <v>0</v>
          </cell>
          <cell r="R46">
            <v>7.2700000000000001E-2</v>
          </cell>
          <cell r="S46">
            <v>0.4</v>
          </cell>
          <cell r="T46">
            <v>1.4199999999999999E-2</v>
          </cell>
        </row>
        <row r="47">
          <cell r="B47" t="str">
            <v>ElecHtSimple%TYP</v>
          </cell>
          <cell r="C47">
            <v>0.05</v>
          </cell>
          <cell r="D47">
            <v>0.05</v>
          </cell>
          <cell r="E47">
            <v>0.05</v>
          </cell>
          <cell r="F47">
            <v>2.53E-2</v>
          </cell>
          <cell r="G47">
            <v>2.4700000000000003E-2</v>
          </cell>
          <cell r="H47">
            <v>2.4700000000000003E-2</v>
          </cell>
          <cell r="I47">
            <v>2.4700000000000003E-2</v>
          </cell>
          <cell r="J47">
            <v>2.41E-2</v>
          </cell>
          <cell r="K47">
            <v>0.18960000000000002</v>
          </cell>
          <cell r="L47">
            <v>0.1013</v>
          </cell>
          <cell r="M47">
            <v>1.03E-2</v>
          </cell>
          <cell r="N47">
            <v>1.03E-2</v>
          </cell>
          <cell r="O47">
            <v>1.03E-2</v>
          </cell>
          <cell r="P47">
            <v>0.37490000000000001</v>
          </cell>
          <cell r="Q47">
            <v>0.18149999999999999</v>
          </cell>
          <cell r="R47">
            <v>5.6999999999999993E-3</v>
          </cell>
          <cell r="S47">
            <v>0.1</v>
          </cell>
          <cell r="T47">
            <v>8.3400000000000002E-2</v>
          </cell>
        </row>
        <row r="48">
          <cell r="B48" t="str">
            <v>GasHtSimple%TYP</v>
          </cell>
          <cell r="C48">
            <v>0.85</v>
          </cell>
          <cell r="D48">
            <v>0.85</v>
          </cell>
          <cell r="E48">
            <v>0.85</v>
          </cell>
          <cell r="F48">
            <v>0.96689999999999998</v>
          </cell>
          <cell r="G48">
            <v>0.83260000000000001</v>
          </cell>
          <cell r="H48">
            <v>0.83260000000000001</v>
          </cell>
          <cell r="I48">
            <v>0.83260000000000001</v>
          </cell>
          <cell r="J48">
            <v>0.92970000000000008</v>
          </cell>
          <cell r="K48">
            <v>0.73620000000000008</v>
          </cell>
          <cell r="L48">
            <v>0.86060000000000003</v>
          </cell>
          <cell r="M48">
            <v>0.98720000000000008</v>
          </cell>
          <cell r="N48">
            <v>0.98720000000000008</v>
          </cell>
          <cell r="O48">
            <v>0.98720000000000008</v>
          </cell>
          <cell r="P48">
            <v>0.37859999999999994</v>
          </cell>
          <cell r="Q48">
            <v>0.78300000000000003</v>
          </cell>
          <cell r="R48">
            <v>0.99429999999999996</v>
          </cell>
          <cell r="S48">
            <v>0.8</v>
          </cell>
          <cell r="T48">
            <v>0.85329999999999995</v>
          </cell>
        </row>
        <row r="49">
          <cell r="B49" t="str">
            <v>HtPmpHtSimple%TYP</v>
          </cell>
          <cell r="C49">
            <v>0.1</v>
          </cell>
          <cell r="D49">
            <v>0.1</v>
          </cell>
          <cell r="E49">
            <v>0.1</v>
          </cell>
          <cell r="F49">
            <v>7.8000000000000005E-3</v>
          </cell>
          <cell r="G49">
            <v>0.14269999999999999</v>
          </cell>
          <cell r="H49">
            <v>0.14269999999999999</v>
          </cell>
          <cell r="I49">
            <v>0.14269999999999999</v>
          </cell>
          <cell r="J49">
            <v>4.6199999999999998E-2</v>
          </cell>
          <cell r="K49">
            <v>7.4200000000000002E-2</v>
          </cell>
          <cell r="L49">
            <v>3.8100000000000002E-2</v>
          </cell>
          <cell r="M49">
            <v>2.5000000000000001E-3</v>
          </cell>
          <cell r="N49">
            <v>2.5000000000000001E-3</v>
          </cell>
          <cell r="O49">
            <v>2.5000000000000001E-3</v>
          </cell>
          <cell r="P49">
            <v>0.24660000000000001</v>
          </cell>
          <cell r="Q49">
            <v>3.5400000000000001E-2</v>
          </cell>
          <cell r="R49">
            <v>0</v>
          </cell>
          <cell r="S49">
            <v>0.1</v>
          </cell>
          <cell r="T49">
            <v>6.3200000000000006E-2</v>
          </cell>
        </row>
        <row r="50">
          <cell r="B50" t="str">
            <v>ChillerAir%TYP</v>
          </cell>
          <cell r="C50">
            <v>0.5</v>
          </cell>
          <cell r="D50">
            <v>0.8</v>
          </cell>
          <cell r="E50">
            <v>0.8</v>
          </cell>
          <cell r="F50">
            <v>0.8</v>
          </cell>
          <cell r="G50">
            <v>0.8</v>
          </cell>
          <cell r="H50">
            <v>0.8</v>
          </cell>
          <cell r="I50">
            <v>0.8</v>
          </cell>
          <cell r="J50">
            <v>0.8</v>
          </cell>
          <cell r="K50">
            <v>0.8</v>
          </cell>
          <cell r="L50">
            <v>0.9</v>
          </cell>
          <cell r="M50">
            <v>1</v>
          </cell>
          <cell r="N50">
            <v>1</v>
          </cell>
          <cell r="O50">
            <v>1</v>
          </cell>
          <cell r="P50">
            <v>0.2</v>
          </cell>
          <cell r="Q50">
            <v>0.2</v>
          </cell>
          <cell r="R50">
            <v>0.6</v>
          </cell>
          <cell r="S50">
            <v>0.6</v>
          </cell>
          <cell r="T50">
            <v>0.2</v>
          </cell>
        </row>
        <row r="51">
          <cell r="B51" t="str">
            <v>ChillerWater%TYP</v>
          </cell>
          <cell r="C51">
            <v>0.5</v>
          </cell>
          <cell r="D51">
            <v>0.2</v>
          </cell>
          <cell r="E51">
            <v>0.2</v>
          </cell>
          <cell r="F51">
            <v>0.2</v>
          </cell>
          <cell r="G51">
            <v>0.2</v>
          </cell>
          <cell r="H51">
            <v>0.2</v>
          </cell>
          <cell r="I51">
            <v>0.2</v>
          </cell>
          <cell r="J51">
            <v>0.2</v>
          </cell>
          <cell r="K51">
            <v>0.2</v>
          </cell>
          <cell r="L51">
            <v>0.1</v>
          </cell>
          <cell r="M51">
            <v>0</v>
          </cell>
          <cell r="N51">
            <v>0</v>
          </cell>
          <cell r="O51">
            <v>0</v>
          </cell>
          <cell r="P51">
            <v>0.8</v>
          </cell>
          <cell r="Q51">
            <v>0.8</v>
          </cell>
          <cell r="R51">
            <v>0.4</v>
          </cell>
          <cell r="S51">
            <v>0.4</v>
          </cell>
          <cell r="T51">
            <v>0.8</v>
          </cell>
        </row>
        <row r="52">
          <cell r="B52" t="str">
            <v>WinFloorRatio%TYP</v>
          </cell>
          <cell r="C52">
            <v>0.16</v>
          </cell>
          <cell r="D52">
            <v>0.16</v>
          </cell>
          <cell r="E52">
            <v>0.16</v>
          </cell>
          <cell r="F52">
            <v>0.02</v>
          </cell>
          <cell r="G52">
            <v>0.16</v>
          </cell>
          <cell r="H52">
            <v>0.16</v>
          </cell>
          <cell r="I52">
            <v>0.04</v>
          </cell>
          <cell r="J52">
            <v>7.0000000000000007E-2</v>
          </cell>
          <cell r="K52">
            <v>0.12</v>
          </cell>
          <cell r="L52">
            <v>0.03</v>
          </cell>
          <cell r="M52">
            <v>0.04</v>
          </cell>
          <cell r="N52">
            <v>0.15</v>
          </cell>
          <cell r="O52">
            <v>0.18</v>
          </cell>
          <cell r="P52">
            <v>0.11</v>
          </cell>
          <cell r="Q52">
            <v>0.11</v>
          </cell>
          <cell r="R52">
            <v>0.12</v>
          </cell>
          <cell r="S52">
            <v>0.08</v>
          </cell>
          <cell r="T52">
            <v>0.1</v>
          </cell>
        </row>
        <row r="56">
          <cell r="B56" t="str">
            <v>CoolSat%TYP</v>
          </cell>
          <cell r="C56">
            <v>0.82</v>
          </cell>
          <cell r="D56">
            <v>0.9</v>
          </cell>
          <cell r="E56">
            <v>0.95</v>
          </cell>
          <cell r="F56">
            <v>0.88</v>
          </cell>
          <cell r="G56">
            <v>0.88</v>
          </cell>
          <cell r="H56">
            <v>0.88</v>
          </cell>
          <cell r="I56">
            <v>0.88</v>
          </cell>
          <cell r="J56">
            <v>0.83</v>
          </cell>
          <cell r="K56">
            <v>0.75</v>
          </cell>
          <cell r="L56">
            <v>0.24</v>
          </cell>
          <cell r="M56">
            <v>0.94</v>
          </cell>
          <cell r="N56">
            <v>0.94</v>
          </cell>
          <cell r="O56">
            <v>1</v>
          </cell>
          <cell r="P56">
            <v>0.88</v>
          </cell>
          <cell r="Q56">
            <v>0.95</v>
          </cell>
          <cell r="R56">
            <v>0.95</v>
          </cell>
          <cell r="S56">
            <v>0.95</v>
          </cell>
          <cell r="T56">
            <v>0.7</v>
          </cell>
        </row>
        <row r="61">
          <cell r="C61" t="str">
            <v>Office</v>
          </cell>
          <cell r="D61" t="str">
            <v>Office</v>
          </cell>
          <cell r="E61" t="str">
            <v>Office</v>
          </cell>
          <cell r="F61" t="str">
            <v>Retail/Service</v>
          </cell>
          <cell r="G61" t="str">
            <v>Retail/Service</v>
          </cell>
          <cell r="H61" t="str">
            <v>Retail/Service</v>
          </cell>
          <cell r="I61" t="str">
            <v>Retail/Service</v>
          </cell>
          <cell r="M61" t="str">
            <v>Grocery</v>
          </cell>
          <cell r="N61" t="str">
            <v>Grocery</v>
          </cell>
          <cell r="Y61" t="str">
            <v>Average of msf.pnw.frac</v>
          </cell>
        </row>
        <row r="62">
          <cell r="B62" t="str">
            <v>_PRE2013</v>
          </cell>
          <cell r="C62" t="str">
            <v>Office</v>
          </cell>
          <cell r="F62" t="str">
            <v>Retail/Service</v>
          </cell>
          <cell r="J62" t="str">
            <v>School</v>
          </cell>
          <cell r="L62" t="str">
            <v>Warehouse</v>
          </cell>
          <cell r="M62" t="str">
            <v>Grocery</v>
          </cell>
          <cell r="O62" t="str">
            <v>Restaurant</v>
          </cell>
          <cell r="P62" t="str">
            <v>Lodging</v>
          </cell>
          <cell r="Q62" t="str">
            <v>Health</v>
          </cell>
          <cell r="S62" t="str">
            <v>Assembly</v>
          </cell>
          <cell r="T62" t="str">
            <v>Other</v>
          </cell>
          <cell r="Y62" t="str">
            <v>Row Labels</v>
          </cell>
        </row>
        <row r="63">
          <cell r="B63" t="str">
            <v>FloorA%ACT</v>
          </cell>
          <cell r="C63">
            <v>0.21925891959556321</v>
          </cell>
          <cell r="F63">
            <v>0.170463671983236</v>
          </cell>
          <cell r="J63">
            <v>0.11027533939050128</v>
          </cell>
          <cell r="L63">
            <v>0.13203580856943528</v>
          </cell>
          <cell r="M63">
            <v>2.3026138677721724E-2</v>
          </cell>
          <cell r="O63">
            <v>1.5835296654172451E-2</v>
          </cell>
          <cell r="P63">
            <v>5.1068065124091046E-2</v>
          </cell>
          <cell r="Q63">
            <v>6.8347557000163706E-2</v>
          </cell>
          <cell r="S63">
            <v>0.11013494038183547</v>
          </cell>
          <cell r="T63">
            <v>9.9554262623279946E-2</v>
          </cell>
          <cell r="Y63" t="str">
            <v>Assembly</v>
          </cell>
        </row>
        <row r="64">
          <cell r="B64" t="str">
            <v>_PRE2013</v>
          </cell>
          <cell r="C64" t="str">
            <v>Large Off</v>
          </cell>
          <cell r="D64" t="str">
            <v>Medium Off</v>
          </cell>
          <cell r="E64" t="str">
            <v>Small Off</v>
          </cell>
          <cell r="F64" t="str">
            <v>Xlarge Ret</v>
          </cell>
          <cell r="G64" t="str">
            <v>Large Ret</v>
          </cell>
          <cell r="H64" t="str">
            <v>Medium Ret</v>
          </cell>
          <cell r="I64" t="str">
            <v>Small Ret</v>
          </cell>
          <cell r="J64" t="str">
            <v>School K-12</v>
          </cell>
          <cell r="K64" t="str">
            <v>University</v>
          </cell>
          <cell r="L64" t="str">
            <v>Warehouse</v>
          </cell>
          <cell r="M64" t="str">
            <v>Supermarket</v>
          </cell>
          <cell r="N64" t="str">
            <v>MiniMart</v>
          </cell>
          <cell r="O64" t="str">
            <v>Restaurant</v>
          </cell>
          <cell r="P64" t="str">
            <v>Lodging</v>
          </cell>
          <cell r="Q64" t="str">
            <v>Hospital</v>
          </cell>
          <cell r="R64" t="str">
            <v>Residential Care</v>
          </cell>
          <cell r="S64" t="str">
            <v>Assembly</v>
          </cell>
          <cell r="T64" t="str">
            <v>Other</v>
          </cell>
          <cell r="Y64" t="str">
            <v>Food</v>
          </cell>
        </row>
        <row r="65">
          <cell r="B65" t="str">
            <v>FloorA%TYP</v>
          </cell>
          <cell r="C65">
            <v>0.43937391922213881</v>
          </cell>
          <cell r="D65">
            <v>0.43063730719145626</v>
          </cell>
          <cell r="E65">
            <v>0.12998877358640493</v>
          </cell>
          <cell r="F65">
            <v>0.23462323739305441</v>
          </cell>
          <cell r="G65">
            <v>5.5262096022427078E-2</v>
          </cell>
          <cell r="H65">
            <v>0.60637878991755256</v>
          </cell>
          <cell r="I65">
            <v>0.10373587666696588</v>
          </cell>
          <cell r="J65">
            <v>0.66429751499430445</v>
          </cell>
          <cell r="K65">
            <v>0.33570248500569549</v>
          </cell>
          <cell r="L65">
            <v>1</v>
          </cell>
          <cell r="M65">
            <v>0.84840559081310307</v>
          </cell>
          <cell r="N65">
            <v>0.15159440918689687</v>
          </cell>
          <cell r="O65">
            <v>1</v>
          </cell>
          <cell r="P65">
            <v>1</v>
          </cell>
          <cell r="Q65">
            <v>1</v>
          </cell>
          <cell r="R65">
            <v>1</v>
          </cell>
          <cell r="S65">
            <v>1</v>
          </cell>
          <cell r="T65">
            <v>1</v>
          </cell>
          <cell r="Y65" t="str">
            <v>Service</v>
          </cell>
        </row>
        <row r="66">
          <cell r="B66" t="str">
            <v>FloorA%REG</v>
          </cell>
          <cell r="C66">
            <v>9.6336650827114415E-2</v>
          </cell>
          <cell r="D66">
            <v>9.4421070712341362E-2</v>
          </cell>
          <cell r="E66">
            <v>2.8501198056107426E-2</v>
          </cell>
          <cell r="F66">
            <v>3.999473857861454E-2</v>
          </cell>
          <cell r="G66">
            <v>9.4201798094731004E-3</v>
          </cell>
          <cell r="H66">
            <v>0.10336555514209726</v>
          </cell>
          <cell r="I66">
            <v>1.7683198453051097E-2</v>
          </cell>
          <cell r="J66">
            <v>7.3255633922263544E-2</v>
          </cell>
          <cell r="K66">
            <v>3.701970546823774E-2</v>
          </cell>
          <cell r="L66">
            <v>0.13203580856943528</v>
          </cell>
          <cell r="M66">
            <v>1.9535504789016944E-2</v>
          </cell>
          <cell r="N66">
            <v>3.4906338887047794E-3</v>
          </cell>
          <cell r="O66">
            <v>1.5835296654172451E-2</v>
          </cell>
          <cell r="P66">
            <v>5.1068065124091046E-2</v>
          </cell>
          <cell r="Q66">
            <v>3.0978070527759683E-2</v>
          </cell>
          <cell r="R66">
            <v>3.7369486472404026E-2</v>
          </cell>
          <cell r="S66">
            <v>0.11013494038183547</v>
          </cell>
          <cell r="T66">
            <v>9.9554262623279946E-2</v>
          </cell>
          <cell r="Y66" t="str">
            <v>Grocery</v>
          </cell>
        </row>
        <row r="67">
          <cell r="B67" t="str">
            <v>ElecHt%TYP</v>
          </cell>
          <cell r="C67">
            <v>0.20943280302167308</v>
          </cell>
          <cell r="D67">
            <v>0.22131165109110185</v>
          </cell>
          <cell r="E67">
            <v>0.30640942705415353</v>
          </cell>
          <cell r="F67">
            <v>5.2995881766435368E-2</v>
          </cell>
          <cell r="G67">
            <v>1.0593107738682607E-2</v>
          </cell>
          <cell r="H67">
            <v>0.12006240959495594</v>
          </cell>
          <cell r="I67">
            <v>0.2732917310450087</v>
          </cell>
          <cell r="J67">
            <v>5.8369343906151915E-2</v>
          </cell>
          <cell r="K67">
            <v>0.1</v>
          </cell>
          <cell r="L67">
            <v>6.3929137015483993E-3</v>
          </cell>
          <cell r="M67">
            <v>3.9182634298973458E-2</v>
          </cell>
          <cell r="N67">
            <v>9.8940421863423066E-3</v>
          </cell>
          <cell r="O67">
            <v>3.0050555941853869E-2</v>
          </cell>
          <cell r="P67">
            <v>0.44679184687802564</v>
          </cell>
          <cell r="Q67">
            <v>0.08</v>
          </cell>
          <cell r="R67">
            <v>0.33985691133471541</v>
          </cell>
          <cell r="S67">
            <v>0.10640191237323121</v>
          </cell>
          <cell r="T67">
            <v>0.16939513747697868</v>
          </cell>
          <cell r="Y67" t="str">
            <v>Lodging</v>
          </cell>
        </row>
        <row r="68">
          <cell r="B68" t="str">
            <v>GasHt%TYP</v>
          </cell>
          <cell r="C68">
            <v>0.54037060186620078</v>
          </cell>
          <cell r="D68">
            <v>0.51430081857580845</v>
          </cell>
          <cell r="E68">
            <v>0.3275419203320854</v>
          </cell>
          <cell r="F68">
            <v>0.91606730000738101</v>
          </cell>
          <cell r="G68">
            <v>0.98322307122393326</v>
          </cell>
          <cell r="H68">
            <v>0.80985008893074606</v>
          </cell>
          <cell r="I68">
            <v>0.56717178566142912</v>
          </cell>
          <cell r="J68">
            <v>0.84777782221188291</v>
          </cell>
          <cell r="K68">
            <v>0.8</v>
          </cell>
          <cell r="L68">
            <v>0.98700382329725422</v>
          </cell>
          <cell r="M68">
            <v>0.46957192737561176</v>
          </cell>
          <cell r="N68">
            <v>0.86606113087441317</v>
          </cell>
          <cell r="O68">
            <v>0.79365284945968273</v>
          </cell>
          <cell r="P68">
            <v>0.24941748529786834</v>
          </cell>
          <cell r="Q68">
            <v>0.91</v>
          </cell>
          <cell r="R68">
            <v>0.40556621261939335</v>
          </cell>
          <cell r="S68">
            <v>0.77815390025512432</v>
          </cell>
          <cell r="T68">
            <v>0.7257160432726234</v>
          </cell>
          <cell r="Y68" t="str">
            <v>Office</v>
          </cell>
        </row>
        <row r="69">
          <cell r="B69" t="str">
            <v>HtPmpHt%TYP</v>
          </cell>
          <cell r="C69">
            <v>0.25019659511212627</v>
          </cell>
          <cell r="D69">
            <v>0.26438753033308959</v>
          </cell>
          <cell r="E69">
            <v>0.36604865261376096</v>
          </cell>
          <cell r="F69">
            <v>3.0936818226183656E-2</v>
          </cell>
          <cell r="G69">
            <v>6.1838210373840949E-3</v>
          </cell>
          <cell r="H69">
            <v>7.0087501474297986E-2</v>
          </cell>
          <cell r="I69">
            <v>0.15953648329356207</v>
          </cell>
          <cell r="J69">
            <v>9.3852833881965178E-2</v>
          </cell>
          <cell r="K69">
            <v>0.1</v>
          </cell>
          <cell r="L69">
            <v>6.6032630011973147E-3</v>
          </cell>
          <cell r="M69">
            <v>6.234756715808213E-2</v>
          </cell>
          <cell r="N69">
            <v>1.5743440192688529E-2</v>
          </cell>
          <cell r="O69">
            <v>0.17629659459846331</v>
          </cell>
          <cell r="P69">
            <v>0.30379066782410608</v>
          </cell>
          <cell r="Q69">
            <v>0.01</v>
          </cell>
          <cell r="R69">
            <v>0.25457687604589124</v>
          </cell>
          <cell r="S69">
            <v>0.11544418737164447</v>
          </cell>
          <cell r="T69">
            <v>0.104888819250398</v>
          </cell>
          <cell r="Y69" t="str">
            <v>Other</v>
          </cell>
        </row>
        <row r="70">
          <cell r="B70" t="str">
            <v>CoolSat%TYP</v>
          </cell>
          <cell r="C70">
            <v>0.76889412716362515</v>
          </cell>
          <cell r="D70">
            <v>0.9156533727398849</v>
          </cell>
          <cell r="E70">
            <v>0.85579006639653332</v>
          </cell>
          <cell r="F70">
            <v>0.95160006380782447</v>
          </cell>
          <cell r="G70">
            <v>0.98526989662125641</v>
          </cell>
          <cell r="H70">
            <v>0.65234151837252696</v>
          </cell>
          <cell r="I70">
            <v>0.66014461756611731</v>
          </cell>
          <cell r="J70">
            <v>0.69618308739231149</v>
          </cell>
          <cell r="K70">
            <v>0.75</v>
          </cell>
          <cell r="L70">
            <v>0.23</v>
          </cell>
          <cell r="M70">
            <v>0.89440943169321674</v>
          </cell>
          <cell r="N70">
            <v>0.91392039395838554</v>
          </cell>
          <cell r="O70">
            <v>0.9581056413122655</v>
          </cell>
          <cell r="P70">
            <v>0.82644591140120194</v>
          </cell>
          <cell r="Q70">
            <v>0.95</v>
          </cell>
          <cell r="R70">
            <v>0.82648440258098632</v>
          </cell>
          <cell r="S70">
            <v>0.77184416415983825</v>
          </cell>
          <cell r="T70">
            <v>0.71310077098671132</v>
          </cell>
          <cell r="Y70" t="str">
            <v>Residential Care</v>
          </cell>
        </row>
        <row r="71">
          <cell r="B71" t="str">
            <v>CoolSat%ACT</v>
          </cell>
          <cell r="C71">
            <v>0.84338963005455969</v>
          </cell>
          <cell r="F71">
            <v>0.74176230846303148</v>
          </cell>
          <cell r="J71">
            <v>0.7142495586900468</v>
          </cell>
          <cell r="L71">
            <v>0.23</v>
          </cell>
          <cell r="M71">
            <v>0.8973671844904727</v>
          </cell>
          <cell r="O71">
            <v>0.96</v>
          </cell>
          <cell r="P71">
            <v>0.88</v>
          </cell>
          <cell r="Q71">
            <v>0.88824220129049314</v>
          </cell>
          <cell r="S71">
            <v>0.77184416415983825</v>
          </cell>
          <cell r="T71">
            <v>0.71310077098671132</v>
          </cell>
          <cell r="Y71" t="str">
            <v>Retail</v>
          </cell>
        </row>
        <row r="72">
          <cell r="B72" t="str">
            <v>PackRT%TYP</v>
          </cell>
          <cell r="C72">
            <v>0.15</v>
          </cell>
          <cell r="D72">
            <v>0.75000000000000011</v>
          </cell>
          <cell r="E72">
            <v>0.95</v>
          </cell>
          <cell r="F72">
            <v>0.90880480523807783</v>
          </cell>
          <cell r="G72">
            <v>0.72388464763320426</v>
          </cell>
          <cell r="H72">
            <v>0.72388464763320426</v>
          </cell>
          <cell r="I72">
            <v>0.21126457727609282</v>
          </cell>
          <cell r="J72">
            <v>0.38624918003188907</v>
          </cell>
          <cell r="K72">
            <v>0.24174716638708693</v>
          </cell>
          <cell r="L72">
            <v>0.31046750131883327</v>
          </cell>
          <cell r="M72">
            <v>0.90000000000000013</v>
          </cell>
          <cell r="N72">
            <v>0.9</v>
          </cell>
          <cell r="O72">
            <v>0.76718515286285394</v>
          </cell>
          <cell r="P72">
            <v>0.41303161997673743</v>
          </cell>
          <cell r="Q72">
            <v>0.10000000000000002</v>
          </cell>
          <cell r="R72">
            <v>0.68523001119875304</v>
          </cell>
          <cell r="S72">
            <v>0.5</v>
          </cell>
          <cell r="T72">
            <v>0.49999999999999994</v>
          </cell>
          <cell r="Y72" t="str">
            <v>School</v>
          </cell>
        </row>
        <row r="73">
          <cell r="B73" t="str">
            <v>PackRT%ACT</v>
          </cell>
          <cell r="C73">
            <v>0.48584254414953354</v>
          </cell>
          <cell r="F73">
            <v>0.63256057960735712</v>
          </cell>
          <cell r="J73">
            <v>0.33750430289294164</v>
          </cell>
          <cell r="L73">
            <v>0.31046750131883327</v>
          </cell>
          <cell r="M73">
            <v>0.90000000000000013</v>
          </cell>
          <cell r="O73">
            <v>0.76718515286285394</v>
          </cell>
          <cell r="P73">
            <v>0.41303161997673743</v>
          </cell>
          <cell r="Q73">
            <v>0.49902981576861571</v>
          </cell>
          <cell r="S73">
            <v>0.5</v>
          </cell>
          <cell r="T73">
            <v>0.49999999999999994</v>
          </cell>
          <cell r="Y73" t="str">
            <v>Warehouse</v>
          </cell>
        </row>
        <row r="74">
          <cell r="B74" t="str">
            <v>BuiltUp%TYP</v>
          </cell>
          <cell r="C74">
            <v>0.63007020528877222</v>
          </cell>
          <cell r="D74">
            <v>9.3963931374592982E-2</v>
          </cell>
          <cell r="E74">
            <v>2.9006395725036469E-2</v>
          </cell>
          <cell r="F74">
            <v>3.9164397027771525E-2</v>
          </cell>
          <cell r="G74">
            <v>0.25776672816535129</v>
          </cell>
          <cell r="H74">
            <v>2.7574670878248778E-2</v>
          </cell>
          <cell r="I74">
            <v>0.10146503328904084</v>
          </cell>
          <cell r="J74">
            <v>0.29515325476216947</v>
          </cell>
          <cell r="K74">
            <v>0.77756785592800526</v>
          </cell>
          <cell r="L74">
            <v>0.13082984106717208</v>
          </cell>
          <cell r="M74">
            <v>7.1447125331852143E-2</v>
          </cell>
          <cell r="N74">
            <v>0</v>
          </cell>
          <cell r="O74">
            <v>2.3525905182962954E-2</v>
          </cell>
          <cell r="P74">
            <v>7.934694377848886E-2</v>
          </cell>
          <cell r="Q74">
            <v>0.85339696790936803</v>
          </cell>
          <cell r="R74">
            <v>7.6228114216259218E-2</v>
          </cell>
          <cell r="S74">
            <v>0.16854152512418574</v>
          </cell>
          <cell r="T74">
            <v>0.20051702037858005</v>
          </cell>
          <cell r="U74" t="str">
            <v>See com-EM workbook</v>
          </cell>
          <cell r="Y74" t="str">
            <v>Grand Total</v>
          </cell>
        </row>
        <row r="75">
          <cell r="B75" t="str">
            <v>BuiltUp%ACT</v>
          </cell>
          <cell r="C75">
            <v>0.32107129566956238</v>
          </cell>
          <cell r="F75">
            <v>5.0679867043271966E-2</v>
          </cell>
          <cell r="J75">
            <v>0.45710103517657202</v>
          </cell>
          <cell r="L75">
            <v>5.6541361272701172E-2</v>
          </cell>
          <cell r="M75">
            <v>8.7372210868686184E-2</v>
          </cell>
          <cell r="O75">
            <v>5.746308592387158E-2</v>
          </cell>
          <cell r="P75">
            <v>0.3949582335084047</v>
          </cell>
          <cell r="Q75">
            <v>0.5613264299674231</v>
          </cell>
          <cell r="S75">
            <v>0.1626109504520151</v>
          </cell>
          <cell r="T75">
            <v>0.43951473469986913</v>
          </cell>
        </row>
        <row r="76">
          <cell r="B76" t="str">
            <v>VAV%TYP</v>
          </cell>
          <cell r="C76">
            <v>0.51262713316969566</v>
          </cell>
          <cell r="D76">
            <v>4.1499660445302379E-2</v>
          </cell>
          <cell r="E76">
            <v>0</v>
          </cell>
          <cell r="F76">
            <v>2.6890823009043455E-2</v>
          </cell>
          <cell r="G76">
            <v>0</v>
          </cell>
          <cell r="H76">
            <v>0</v>
          </cell>
          <cell r="I76">
            <v>0</v>
          </cell>
          <cell r="J76">
            <v>0.10981313781515661</v>
          </cell>
          <cell r="K76">
            <v>0.33</v>
          </cell>
          <cell r="L76">
            <v>0</v>
          </cell>
          <cell r="M76">
            <v>0</v>
          </cell>
          <cell r="N76">
            <v>0</v>
          </cell>
          <cell r="O76">
            <v>0</v>
          </cell>
          <cell r="P76">
            <v>3.1992300477329191E-2</v>
          </cell>
          <cell r="Q76">
            <v>0.33</v>
          </cell>
          <cell r="R76">
            <v>2.5191285207445461E-2</v>
          </cell>
          <cell r="S76">
            <v>0.15375982167586399</v>
          </cell>
          <cell r="T76">
            <v>0.18076091596327465</v>
          </cell>
          <cell r="U76">
            <v>0.13301950033749044</v>
          </cell>
        </row>
        <row r="77">
          <cell r="B77" t="str">
            <v>VAV%ACT</v>
          </cell>
          <cell r="C77">
            <v>0.35</v>
          </cell>
          <cell r="F77">
            <v>0.01</v>
          </cell>
          <cell r="J77">
            <v>0.11</v>
          </cell>
          <cell r="L77">
            <v>0</v>
          </cell>
          <cell r="M77">
            <v>0</v>
          </cell>
          <cell r="O77">
            <v>0</v>
          </cell>
          <cell r="P77">
            <v>0.04</v>
          </cell>
          <cell r="Q77">
            <v>0.21527670664708273</v>
          </cell>
          <cell r="S77">
            <v>0.17</v>
          </cell>
          <cell r="T77">
            <v>0.2</v>
          </cell>
          <cell r="U77" t="str">
            <v>See ECM-VAV workbook</v>
          </cell>
        </row>
        <row r="78">
          <cell r="B78" t="str">
            <v>LSYieldElecHt&amp;AC</v>
          </cell>
          <cell r="C78">
            <v>0.90457835398799891</v>
          </cell>
          <cell r="D78">
            <v>0.92072187100138758</v>
          </cell>
          <cell r="E78">
            <v>0.69260011261534127</v>
          </cell>
          <cell r="F78">
            <v>0.85080401212348655</v>
          </cell>
          <cell r="G78">
            <v>0.74734858139182614</v>
          </cell>
          <cell r="H78">
            <v>0.68828098220470324</v>
          </cell>
          <cell r="I78">
            <v>0.77581880028359507</v>
          </cell>
          <cell r="J78">
            <v>0.58961830873923127</v>
          </cell>
          <cell r="K78">
            <v>0.6725000000000001</v>
          </cell>
          <cell r="L78">
            <v>0.61</v>
          </cell>
          <cell r="M78">
            <v>0.85155275453545742</v>
          </cell>
          <cell r="N78">
            <v>0.73794885515417397</v>
          </cell>
          <cell r="O78">
            <v>0.4291621128262455</v>
          </cell>
          <cell r="P78">
            <v>0.68264459114012044</v>
          </cell>
          <cell r="Q78">
            <v>0.28950000000000004</v>
          </cell>
          <cell r="R78">
            <v>0.68264844025809879</v>
          </cell>
          <cell r="S78">
            <v>0.90490285805758242</v>
          </cell>
          <cell r="T78">
            <v>0.89844108480853846</v>
          </cell>
        </row>
        <row r="79">
          <cell r="B79" t="str">
            <v>LSYieldHtPmpHt&amp;AC</v>
          </cell>
          <cell r="C79">
            <v>1.02</v>
          </cell>
          <cell r="D79">
            <v>1.02</v>
          </cell>
          <cell r="E79">
            <v>0.95500000000000007</v>
          </cell>
          <cell r="F79">
            <v>1.0249999999999999</v>
          </cell>
          <cell r="G79">
            <v>0.96499999999999986</v>
          </cell>
          <cell r="H79">
            <v>0.92500000000000004</v>
          </cell>
          <cell r="I79">
            <v>0.97499999999999987</v>
          </cell>
          <cell r="J79">
            <v>0.8600000000000001</v>
          </cell>
          <cell r="K79">
            <v>0.95500000000000007</v>
          </cell>
          <cell r="L79">
            <v>0.80499999999999994</v>
          </cell>
          <cell r="M79">
            <v>0.9700000000000002</v>
          </cell>
          <cell r="N79">
            <v>0.94500000000000006</v>
          </cell>
          <cell r="O79">
            <v>0.72500000000000009</v>
          </cell>
          <cell r="P79">
            <v>0.90000000000000013</v>
          </cell>
          <cell r="Q79">
            <v>0.64999999999999991</v>
          </cell>
          <cell r="R79">
            <v>0.90000000000000013</v>
          </cell>
          <cell r="S79">
            <v>1.02</v>
          </cell>
          <cell r="T79">
            <v>1.02</v>
          </cell>
        </row>
        <row r="80">
          <cell r="B80" t="str">
            <v>LSYieldGasHt&amp;AC</v>
          </cell>
          <cell r="C80">
            <v>1.0677783539879988</v>
          </cell>
          <cell r="D80">
            <v>1.0839218710013874</v>
          </cell>
          <cell r="E80">
            <v>1.1187334459486746</v>
          </cell>
          <cell r="F80">
            <v>1.1500040121234862</v>
          </cell>
          <cell r="G80">
            <v>1.1372152480584925</v>
          </cell>
          <cell r="H80">
            <v>1.0418809822047033</v>
          </cell>
          <cell r="I80">
            <v>1.0568854669502619</v>
          </cell>
          <cell r="J80">
            <v>1.0248183087392313</v>
          </cell>
          <cell r="K80">
            <v>1.0986333333333334</v>
          </cell>
          <cell r="L80">
            <v>0.96360000000000012</v>
          </cell>
          <cell r="M80">
            <v>1.051019421202124</v>
          </cell>
          <cell r="N80">
            <v>1.0915488551541741</v>
          </cell>
          <cell r="O80">
            <v>0.96409544615957854</v>
          </cell>
          <cell r="P80">
            <v>1.0453112578067871</v>
          </cell>
          <cell r="Q80">
            <v>0.94230000000000003</v>
          </cell>
          <cell r="R80">
            <v>1.0453151069247655</v>
          </cell>
          <cell r="S80">
            <v>1.0681028580575822</v>
          </cell>
          <cell r="T80">
            <v>1.0616410848085382</v>
          </cell>
          <cell r="Y80" t="str">
            <v>Row Labels</v>
          </cell>
        </row>
        <row r="81">
          <cell r="B81" t="str">
            <v>LSYieldElecHt</v>
          </cell>
          <cell r="C81">
            <v>0.82000000000000006</v>
          </cell>
          <cell r="D81">
            <v>0.82000000000000006</v>
          </cell>
          <cell r="E81">
            <v>0.53</v>
          </cell>
          <cell r="F81">
            <v>0.66999999999999993</v>
          </cell>
          <cell r="G81">
            <v>0.57000000000000006</v>
          </cell>
          <cell r="H81">
            <v>0.61</v>
          </cell>
          <cell r="I81">
            <v>0.69</v>
          </cell>
          <cell r="J81">
            <v>0.52</v>
          </cell>
          <cell r="K81">
            <v>0.53</v>
          </cell>
          <cell r="L81">
            <v>0.61</v>
          </cell>
          <cell r="M81">
            <v>0.78</v>
          </cell>
          <cell r="N81">
            <v>0.61</v>
          </cell>
          <cell r="O81">
            <v>0.41000000000000003</v>
          </cell>
          <cell r="P81">
            <v>0.6</v>
          </cell>
          <cell r="Q81">
            <v>0.28000000000000003</v>
          </cell>
          <cell r="R81">
            <v>0.6</v>
          </cell>
          <cell r="S81">
            <v>0.82000000000000006</v>
          </cell>
          <cell r="T81">
            <v>0.82000000000000006</v>
          </cell>
          <cell r="Y81" t="str">
            <v>Assembly</v>
          </cell>
        </row>
        <row r="82">
          <cell r="B82" t="str">
            <v>LSYieldGasHt</v>
          </cell>
          <cell r="C82">
            <v>0.98319999999999996</v>
          </cell>
          <cell r="D82">
            <v>0.98319999999999996</v>
          </cell>
          <cell r="E82">
            <v>0.95613333333333328</v>
          </cell>
          <cell r="F82">
            <v>0.96919999999999995</v>
          </cell>
          <cell r="G82">
            <v>0.95986666666666665</v>
          </cell>
          <cell r="H82">
            <v>0.96360000000000001</v>
          </cell>
          <cell r="I82">
            <v>0.97106666666666663</v>
          </cell>
          <cell r="J82">
            <v>0.95520000000000005</v>
          </cell>
          <cell r="K82">
            <v>0.95613333333333328</v>
          </cell>
          <cell r="L82">
            <v>0.96360000000000001</v>
          </cell>
          <cell r="M82">
            <v>0.97946666666666671</v>
          </cell>
          <cell r="N82">
            <v>0.96360000000000001</v>
          </cell>
          <cell r="O82">
            <v>0.94493333333333329</v>
          </cell>
          <cell r="P82">
            <v>0.96266666666666667</v>
          </cell>
          <cell r="Q82">
            <v>0.93279999999999996</v>
          </cell>
          <cell r="R82">
            <v>0.96266666666666667</v>
          </cell>
          <cell r="S82">
            <v>0.98319999999999996</v>
          </cell>
          <cell r="T82">
            <v>0.98319999999999996</v>
          </cell>
          <cell r="Y82" t="str">
            <v>&lt;5,001</v>
          </cell>
        </row>
        <row r="83">
          <cell r="B83" t="str">
            <v>LSYieldThermsGasHt</v>
          </cell>
          <cell r="C83">
            <v>-8.1887999999999996E-3</v>
          </cell>
          <cell r="D83">
            <v>-8.1887999999999996E-3</v>
          </cell>
          <cell r="E83">
            <v>-2.1381866666666666E-2</v>
          </cell>
          <cell r="F83">
            <v>-1.50128E-2</v>
          </cell>
          <cell r="G83">
            <v>-1.9562133333333332E-2</v>
          </cell>
          <cell r="H83">
            <v>-1.7742399999999998E-2</v>
          </cell>
          <cell r="I83">
            <v>-1.4102933333333333E-2</v>
          </cell>
          <cell r="J83">
            <v>-2.18368E-2</v>
          </cell>
          <cell r="K83">
            <v>-2.1381866666666666E-2</v>
          </cell>
          <cell r="L83">
            <v>-1.7742399999999998E-2</v>
          </cell>
          <cell r="M83">
            <v>-1.0008533333333333E-2</v>
          </cell>
          <cell r="N83">
            <v>-1.7742399999999998E-2</v>
          </cell>
          <cell r="O83">
            <v>-2.6841066666666667E-2</v>
          </cell>
          <cell r="P83">
            <v>-1.8197333333333333E-2</v>
          </cell>
          <cell r="Q83">
            <v>-3.2755199999999998E-2</v>
          </cell>
          <cell r="R83">
            <v>-1.8197333333333333E-2</v>
          </cell>
          <cell r="S83">
            <v>-8.1887999999999996E-3</v>
          </cell>
          <cell r="T83">
            <v>-8.1887999999999996E-3</v>
          </cell>
          <cell r="Y83" t="str">
            <v>5,001-20,000</v>
          </cell>
        </row>
        <row r="84">
          <cell r="B84" t="str">
            <v>LSYieldThermsGasHt&amp;AC</v>
          </cell>
          <cell r="C84">
            <v>-8.1887999999999996E-3</v>
          </cell>
          <cell r="D84">
            <v>-8.1887999999999996E-3</v>
          </cell>
          <cell r="E84">
            <v>-2.1381866666666666E-2</v>
          </cell>
          <cell r="F84">
            <v>-1.50128E-2</v>
          </cell>
          <cell r="G84">
            <v>-1.9562133333333332E-2</v>
          </cell>
          <cell r="H84">
            <v>-1.7742399999999998E-2</v>
          </cell>
          <cell r="I84">
            <v>-1.4102933333333333E-2</v>
          </cell>
          <cell r="J84">
            <v>-2.18368E-2</v>
          </cell>
          <cell r="K84">
            <v>-2.1381866666666666E-2</v>
          </cell>
          <cell r="L84">
            <v>-1.7742399999999998E-2</v>
          </cell>
          <cell r="M84">
            <v>-1.0008533333333333E-2</v>
          </cell>
          <cell r="N84">
            <v>-1.7742399999999998E-2</v>
          </cell>
          <cell r="O84">
            <v>-2.6841066666666667E-2</v>
          </cell>
          <cell r="P84">
            <v>-1.8197333333333333E-2</v>
          </cell>
          <cell r="Q84">
            <v>-3.2755199999999998E-2</v>
          </cell>
          <cell r="R84">
            <v>-1.8197333333333333E-2</v>
          </cell>
          <cell r="S84">
            <v>-8.1887999999999996E-3</v>
          </cell>
          <cell r="T84">
            <v>-8.1887999999999996E-3</v>
          </cell>
          <cell r="Y84" t="str">
            <v>20,001-50,000</v>
          </cell>
        </row>
        <row r="85">
          <cell r="B85" t="str">
            <v>LPDAdjust</v>
          </cell>
          <cell r="C85">
            <v>1</v>
          </cell>
          <cell r="D85">
            <v>1</v>
          </cell>
          <cell r="E85">
            <v>1</v>
          </cell>
          <cell r="F85">
            <v>1</v>
          </cell>
          <cell r="G85">
            <v>1</v>
          </cell>
          <cell r="H85">
            <v>1</v>
          </cell>
          <cell r="I85">
            <v>1</v>
          </cell>
          <cell r="J85">
            <v>1</v>
          </cell>
          <cell r="K85">
            <v>1</v>
          </cell>
          <cell r="L85">
            <v>1</v>
          </cell>
          <cell r="M85">
            <v>1</v>
          </cell>
          <cell r="N85">
            <v>1</v>
          </cell>
          <cell r="O85">
            <v>1</v>
          </cell>
          <cell r="P85">
            <v>1</v>
          </cell>
          <cell r="Q85">
            <v>1</v>
          </cell>
          <cell r="R85">
            <v>1</v>
          </cell>
          <cell r="S85">
            <v>1</v>
          </cell>
          <cell r="T85">
            <v>1</v>
          </cell>
          <cell r="Y85" t="str">
            <v>50,001-100,000</v>
          </cell>
        </row>
        <row r="86">
          <cell r="B86" t="str">
            <v>Chiller%TYP</v>
          </cell>
          <cell r="C86">
            <v>0.58498758462529865</v>
          </cell>
          <cell r="D86">
            <v>8.7818054713883376E-2</v>
          </cell>
          <cell r="E86">
            <v>0</v>
          </cell>
          <cell r="F86">
            <v>0.09</v>
          </cell>
          <cell r="G86">
            <v>0</v>
          </cell>
          <cell r="H86">
            <v>0</v>
          </cell>
          <cell r="I86">
            <v>0</v>
          </cell>
          <cell r="J86">
            <v>0.4348146874874485</v>
          </cell>
          <cell r="K86">
            <v>0.56010354277348595</v>
          </cell>
          <cell r="L86">
            <v>0</v>
          </cell>
          <cell r="M86">
            <v>0.15653169058088007</v>
          </cell>
          <cell r="N86">
            <v>0</v>
          </cell>
          <cell r="O86">
            <v>0</v>
          </cell>
          <cell r="P86">
            <v>0.15653169058088007</v>
          </cell>
          <cell r="Q86">
            <v>0.40098917705864051</v>
          </cell>
          <cell r="R86">
            <v>6.7888585236503013E-2</v>
          </cell>
          <cell r="S86">
            <v>0.17470421367705091</v>
          </cell>
          <cell r="T86">
            <v>0.1656240064846628</v>
          </cell>
          <cell r="Y86" t="str">
            <v>100,001+</v>
          </cell>
        </row>
        <row r="87">
          <cell r="B87" t="str">
            <v>HOURSLght</v>
          </cell>
          <cell r="C87">
            <v>3300</v>
          </cell>
          <cell r="D87">
            <v>2800</v>
          </cell>
          <cell r="E87">
            <v>2600</v>
          </cell>
          <cell r="F87">
            <v>6200</v>
          </cell>
          <cell r="G87">
            <v>3800</v>
          </cell>
          <cell r="H87">
            <v>3800</v>
          </cell>
          <cell r="I87">
            <v>2800</v>
          </cell>
          <cell r="J87">
            <v>2700</v>
          </cell>
          <cell r="K87">
            <v>3600</v>
          </cell>
          <cell r="L87">
            <v>2700</v>
          </cell>
          <cell r="M87">
            <v>7300</v>
          </cell>
          <cell r="N87">
            <v>6800</v>
          </cell>
          <cell r="O87">
            <v>5400</v>
          </cell>
          <cell r="P87">
            <v>3000</v>
          </cell>
          <cell r="Q87">
            <v>6400</v>
          </cell>
          <cell r="R87">
            <v>5700</v>
          </cell>
          <cell r="S87">
            <v>3000</v>
          </cell>
          <cell r="T87">
            <v>4100</v>
          </cell>
          <cell r="Y87" t="str">
            <v>Grocery</v>
          </cell>
        </row>
        <row r="88">
          <cell r="B88" t="str">
            <v>UnCondArea%TYP</v>
          </cell>
          <cell r="C88">
            <v>9.7915019519809049E-2</v>
          </cell>
          <cell r="D88">
            <v>2.2419448966079808E-2</v>
          </cell>
          <cell r="E88">
            <v>7.0265950135785918E-2</v>
          </cell>
          <cell r="F88">
            <v>1.9928358103564997E-2</v>
          </cell>
          <cell r="G88">
            <v>0.96021448828880007</v>
          </cell>
          <cell r="H88">
            <v>1.682861062838684E-2</v>
          </cell>
          <cell r="I88">
            <v>0.24046941503104796</v>
          </cell>
          <cell r="J88">
            <v>9.3965911445071555E-3</v>
          </cell>
          <cell r="K88">
            <v>9.3350590462247668E-2</v>
          </cell>
          <cell r="L88">
            <v>0.23147891652780339</v>
          </cell>
          <cell r="M88">
            <v>3.4175742327895269E-2</v>
          </cell>
          <cell r="N88">
            <v>5.7197564623818434E-2</v>
          </cell>
          <cell r="O88">
            <v>0.11219535867382037</v>
          </cell>
          <cell r="P88">
            <v>4.431584636138023E-2</v>
          </cell>
          <cell r="Q88">
            <v>7.2657454104040925E-2</v>
          </cell>
          <cell r="R88">
            <v>3.2474970371947381E-2</v>
          </cell>
          <cell r="S88">
            <v>8.1305475226007548E-2</v>
          </cell>
          <cell r="T88">
            <v>0.1783274256014224</v>
          </cell>
          <cell r="Y88" t="str">
            <v>&lt;5,001</v>
          </cell>
        </row>
        <row r="89">
          <cell r="B89" t="str">
            <v>RTEcono%TYP</v>
          </cell>
          <cell r="C89">
            <v>0.62956237771067991</v>
          </cell>
          <cell r="D89">
            <v>0.31768861920643965</v>
          </cell>
          <cell r="E89">
            <v>7.4025179596472243E-2</v>
          </cell>
          <cell r="F89">
            <v>0.58848968508223554</v>
          </cell>
          <cell r="G89">
            <v>0.26543424358205331</v>
          </cell>
          <cell r="H89">
            <v>0.20684893583537547</v>
          </cell>
          <cell r="I89">
            <v>1.359721457325402E-2</v>
          </cell>
          <cell r="J89">
            <v>0.46813873620144136</v>
          </cell>
          <cell r="K89">
            <v>0.46813873620144136</v>
          </cell>
          <cell r="L89">
            <v>0.14833205060637186</v>
          </cell>
          <cell r="M89">
            <v>0.52268307357406485</v>
          </cell>
          <cell r="N89">
            <v>0.20352640884178452</v>
          </cell>
          <cell r="O89">
            <v>0.32869617366969917</v>
          </cell>
          <cell r="P89">
            <v>0.10423431348186975</v>
          </cell>
          <cell r="Q89">
            <v>0.56873556010588189</v>
          </cell>
          <cell r="R89">
            <v>7.8731272985480064E-2</v>
          </cell>
          <cell r="S89">
            <v>0.39859901805810533</v>
          </cell>
          <cell r="T89">
            <v>0.41988093429192064</v>
          </cell>
          <cell r="Y89" t="str">
            <v>5,001-20,000</v>
          </cell>
        </row>
        <row r="90">
          <cell r="B90" t="str">
            <v>DCV%TYP</v>
          </cell>
          <cell r="C90">
            <v>0</v>
          </cell>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Y90" t="str">
            <v>20,001-50,000</v>
          </cell>
        </row>
        <row r="91">
          <cell r="B91" t="str">
            <v>FloorA%PRE2006</v>
          </cell>
          <cell r="C91">
            <v>1</v>
          </cell>
          <cell r="D91">
            <v>1</v>
          </cell>
          <cell r="E91">
            <v>1</v>
          </cell>
          <cell r="F91">
            <v>1</v>
          </cell>
          <cell r="G91">
            <v>1</v>
          </cell>
          <cell r="H91">
            <v>1</v>
          </cell>
          <cell r="I91">
            <v>1</v>
          </cell>
          <cell r="J91">
            <v>1</v>
          </cell>
          <cell r="K91">
            <v>1</v>
          </cell>
          <cell r="L91">
            <v>1</v>
          </cell>
          <cell r="M91">
            <v>1</v>
          </cell>
          <cell r="N91">
            <v>1</v>
          </cell>
          <cell r="O91">
            <v>1</v>
          </cell>
          <cell r="P91">
            <v>1</v>
          </cell>
          <cell r="Q91">
            <v>1</v>
          </cell>
          <cell r="R91">
            <v>1</v>
          </cell>
          <cell r="S91">
            <v>1</v>
          </cell>
          <cell r="T91">
            <v>1</v>
          </cell>
          <cell r="Y91" t="str">
            <v>50,001-100,000</v>
          </cell>
        </row>
        <row r="92">
          <cell r="B92" t="str">
            <v>ElecHtComplex%TYP</v>
          </cell>
          <cell r="C92">
            <v>0.5032832003318185</v>
          </cell>
          <cell r="D92">
            <v>0.19754737317540033</v>
          </cell>
          <cell r="E92">
            <v>0.86680076087505498</v>
          </cell>
          <cell r="F92">
            <v>0.55985400698948606</v>
          </cell>
          <cell r="G92">
            <v>0.27993945466265791</v>
          </cell>
          <cell r="H92">
            <v>6.3780434281586118E-3</v>
          </cell>
          <cell r="I92">
            <v>7.5948256913972667E-2</v>
          </cell>
          <cell r="J92">
            <v>5.7319205981493631E-3</v>
          </cell>
          <cell r="K92">
            <v>0.1674709592892723</v>
          </cell>
          <cell r="L92">
            <v>0.2825536194003897</v>
          </cell>
          <cell r="M92">
            <v>4.5624616007740176E-2</v>
          </cell>
          <cell r="N92">
            <v>7.6358748772797594E-2</v>
          </cell>
          <cell r="O92">
            <v>4.608640117832314E-2</v>
          </cell>
          <cell r="P92">
            <v>6.824640339652556E-3</v>
          </cell>
          <cell r="Q92">
            <v>4.9104329398647659E-2</v>
          </cell>
          <cell r="R92">
            <v>0.38331290029021892</v>
          </cell>
          <cell r="S92">
            <v>2.7101825075335855E-2</v>
          </cell>
          <cell r="T92">
            <v>0.37020773554855302</v>
          </cell>
          <cell r="Y92" t="str">
            <v>Lodging</v>
          </cell>
        </row>
        <row r="93">
          <cell r="B93" t="str">
            <v>GasHtComplex%TYP</v>
          </cell>
          <cell r="C93">
            <v>0.20660069118679708</v>
          </cell>
          <cell r="D93">
            <v>8.1094349688734371E-2</v>
          </cell>
          <cell r="E93">
            <v>0.35582677148761982</v>
          </cell>
          <cell r="F93">
            <v>0.1044245964626806</v>
          </cell>
          <cell r="G93">
            <v>2.3584345085431835</v>
          </cell>
          <cell r="H93">
            <v>5.3733753736439169E-2</v>
          </cell>
          <cell r="I93">
            <v>0.63984903516178027</v>
          </cell>
          <cell r="J93">
            <v>0.78301794007178116</v>
          </cell>
          <cell r="K93">
            <v>0.76612829592366649</v>
          </cell>
          <cell r="L93">
            <v>0.46415256294736318</v>
          </cell>
          <cell r="M93">
            <v>0.80876894218964157</v>
          </cell>
          <cell r="N93">
            <v>1.3535803668226631</v>
          </cell>
          <cell r="O93">
            <v>0.81695481938952597</v>
          </cell>
          <cell r="P93">
            <v>0.50395980482161595</v>
          </cell>
          <cell r="Q93">
            <v>0.55637445480169345</v>
          </cell>
          <cell r="R93">
            <v>0.62059668380791444</v>
          </cell>
          <cell r="S93">
            <v>0.29812007582869443</v>
          </cell>
          <cell r="T93">
            <v>0.80164122055359432</v>
          </cell>
          <cell r="Y93" t="str">
            <v>&lt;5,001</v>
          </cell>
        </row>
        <row r="94">
          <cell r="B94" t="str">
            <v>HtPmpHtComplex%TYP</v>
          </cell>
          <cell r="C94">
            <v>0.10615620032939298</v>
          </cell>
          <cell r="D94">
            <v>4.1668147292671175E-2</v>
          </cell>
          <cell r="E94">
            <v>0.18283200225331492</v>
          </cell>
          <cell r="F94">
            <v>0</v>
          </cell>
          <cell r="G94">
            <v>4.7478913313233901</v>
          </cell>
          <cell r="H94">
            <v>0.10817430911927059</v>
          </cell>
          <cell r="I94">
            <v>1.2881144998496472</v>
          </cell>
          <cell r="J94">
            <v>0.15081528786933984</v>
          </cell>
          <cell r="K94">
            <v>0</v>
          </cell>
          <cell r="L94">
            <v>0</v>
          </cell>
          <cell r="M94">
            <v>0</v>
          </cell>
          <cell r="N94">
            <v>0</v>
          </cell>
          <cell r="O94">
            <v>0</v>
          </cell>
          <cell r="P94">
            <v>0.37562111375905877</v>
          </cell>
          <cell r="Q94">
            <v>0</v>
          </cell>
          <cell r="R94">
            <v>7.8697678201352483E-2</v>
          </cell>
          <cell r="S94">
            <v>0.21681460060268684</v>
          </cell>
          <cell r="T94">
            <v>1.6881662956934655E-2</v>
          </cell>
          <cell r="Y94" t="str">
            <v>5,001-20,000</v>
          </cell>
        </row>
        <row r="95">
          <cell r="B95" t="str">
            <v>ElecHtSimple%TYP</v>
          </cell>
          <cell r="C95">
            <v>4.0797924799920442E-2</v>
          </cell>
          <cell r="D95">
            <v>7.6712861227859655E-2</v>
          </cell>
          <cell r="E95">
            <v>0.34629799136803036</v>
          </cell>
          <cell r="F95">
            <v>9.4309392161736581E-3</v>
          </cell>
          <cell r="G95">
            <v>0.69059559002041793</v>
          </cell>
          <cell r="H95">
            <v>1.5734290365582385E-2</v>
          </cell>
          <cell r="I95">
            <v>2.5440517986723227E-2</v>
          </cell>
          <cell r="J95">
            <v>0.22063592478811844</v>
          </cell>
          <cell r="K95">
            <v>0.18449615182326545</v>
          </cell>
          <cell r="L95">
            <v>8.5433934010164969E-2</v>
          </cell>
          <cell r="M95">
            <v>0.16530992978116466</v>
          </cell>
          <cell r="N95">
            <v>0.25453305525840347</v>
          </cell>
          <cell r="O95">
            <v>0.12256320691297852</v>
          </cell>
          <cell r="P95">
            <v>0.1701802809460462</v>
          </cell>
          <cell r="Q95">
            <v>7.6529644813639303E-2</v>
          </cell>
          <cell r="R95">
            <v>8.48023297102318E-2</v>
          </cell>
          <cell r="S95">
            <v>5.420365015067171E-2</v>
          </cell>
          <cell r="T95">
            <v>0.20159565917150249</v>
          </cell>
          <cell r="Y95" t="str">
            <v>20,001-50,000</v>
          </cell>
        </row>
        <row r="96">
          <cell r="B96" t="str">
            <v>GasHtSimple%TYP</v>
          </cell>
          <cell r="C96">
            <v>0.59645431773702551</v>
          </cell>
          <cell r="D96">
            <v>0.1751178154419134</v>
          </cell>
          <cell r="E96">
            <v>0.75286988633676921</v>
          </cell>
          <cell r="F96">
            <v>0.64860578911648015</v>
          </cell>
          <cell r="G96">
            <v>5.6577342666812855</v>
          </cell>
          <cell r="H96">
            <v>0.12890385494734588</v>
          </cell>
          <cell r="I96">
            <v>1.9096725785396154</v>
          </cell>
          <cell r="J96">
            <v>0.52936088218329336</v>
          </cell>
          <cell r="K96">
            <v>0.62505513690134207</v>
          </cell>
          <cell r="L96">
            <v>0.58469762342365594</v>
          </cell>
          <cell r="M96">
            <v>0.61036689721002213</v>
          </cell>
          <cell r="N96">
            <v>1.0544939191728511</v>
          </cell>
          <cell r="O96">
            <v>0.61909451647609204</v>
          </cell>
          <cell r="P96">
            <v>0.45909862320270312</v>
          </cell>
          <cell r="Q96">
            <v>0.45317337392380236</v>
          </cell>
          <cell r="R96">
            <v>0.90611735760696566</v>
          </cell>
          <cell r="S96">
            <v>0.43362920120537368</v>
          </cell>
          <cell r="T96">
            <v>0.74796368935357349</v>
          </cell>
          <cell r="Y96" t="str">
            <v>50,001-100,000</v>
          </cell>
        </row>
        <row r="97">
          <cell r="B97" t="str">
            <v>HtPmpHtSimple%TYP</v>
          </cell>
          <cell r="C97">
            <v>0.17870625346146285</v>
          </cell>
          <cell r="D97">
            <v>6.8447165702795604E-2</v>
          </cell>
          <cell r="E97">
            <v>0.30615112501091846</v>
          </cell>
          <cell r="F97">
            <v>5.1813731069269E-3</v>
          </cell>
          <cell r="G97">
            <v>1.0540200575293213</v>
          </cell>
          <cell r="H97">
            <v>2.4014427366708016E-2</v>
          </cell>
          <cell r="I97">
            <v>6.8798695399061222E-2</v>
          </cell>
          <cell r="J97">
            <v>0.18966230747930371</v>
          </cell>
          <cell r="K97">
            <v>0.12395461589786912</v>
          </cell>
          <cell r="L97">
            <v>7.657462491393198E-2</v>
          </cell>
          <cell r="M97">
            <v>7.8716731206195087E-2</v>
          </cell>
          <cell r="N97">
            <v>0.131827238222366</v>
          </cell>
          <cell r="O97">
            <v>0.12138349717877855</v>
          </cell>
          <cell r="P97">
            <v>0.25705457832201301</v>
          </cell>
          <cell r="Q97">
            <v>7.5760149152072437E-2</v>
          </cell>
          <cell r="R97">
            <v>9.1579325081048712E-2</v>
          </cell>
          <cell r="S97">
            <v>5.420365015067171E-2</v>
          </cell>
          <cell r="T97">
            <v>0.23925913126345466</v>
          </cell>
          <cell r="Y97" t="str">
            <v>100,001+</v>
          </cell>
        </row>
        <row r="98">
          <cell r="B98" t="str">
            <v>ChillerAir%TYP</v>
          </cell>
          <cell r="C98">
            <v>0.5</v>
          </cell>
          <cell r="D98">
            <v>0.8</v>
          </cell>
          <cell r="E98">
            <v>0.8</v>
          </cell>
          <cell r="F98">
            <v>0.8</v>
          </cell>
          <cell r="G98">
            <v>0.8</v>
          </cell>
          <cell r="H98">
            <v>0.8</v>
          </cell>
          <cell r="I98">
            <v>0.8</v>
          </cell>
          <cell r="J98">
            <v>0.8</v>
          </cell>
          <cell r="K98">
            <v>0.8</v>
          </cell>
          <cell r="L98">
            <v>0.9</v>
          </cell>
          <cell r="M98">
            <v>1</v>
          </cell>
          <cell r="N98">
            <v>1</v>
          </cell>
          <cell r="O98">
            <v>1</v>
          </cell>
          <cell r="P98">
            <v>0.2</v>
          </cell>
          <cell r="Q98">
            <v>0.2</v>
          </cell>
          <cell r="R98">
            <v>0.6</v>
          </cell>
          <cell r="S98">
            <v>0.6</v>
          </cell>
          <cell r="T98">
            <v>0.2</v>
          </cell>
          <cell r="Y98" t="str">
            <v>Office</v>
          </cell>
        </row>
        <row r="99">
          <cell r="B99" t="str">
            <v>ChillerWater%TYP</v>
          </cell>
          <cell r="C99">
            <v>0.5</v>
          </cell>
          <cell r="D99">
            <v>0.2</v>
          </cell>
          <cell r="E99">
            <v>0.2</v>
          </cell>
          <cell r="F99">
            <v>0.2</v>
          </cell>
          <cell r="G99">
            <v>0.2</v>
          </cell>
          <cell r="H99">
            <v>0.2</v>
          </cell>
          <cell r="I99">
            <v>0.2</v>
          </cell>
          <cell r="J99">
            <v>0.2</v>
          </cell>
          <cell r="K99">
            <v>0.2</v>
          </cell>
          <cell r="L99">
            <v>0.1</v>
          </cell>
          <cell r="M99">
            <v>0</v>
          </cell>
          <cell r="N99">
            <v>0</v>
          </cell>
          <cell r="O99">
            <v>0</v>
          </cell>
          <cell r="P99">
            <v>0.8</v>
          </cell>
          <cell r="Q99">
            <v>0.8</v>
          </cell>
          <cell r="R99">
            <v>0.4</v>
          </cell>
          <cell r="S99">
            <v>0.4</v>
          </cell>
          <cell r="T99">
            <v>0.8</v>
          </cell>
          <cell r="Y99" t="str">
            <v>&lt;5,001</v>
          </cell>
        </row>
        <row r="100">
          <cell r="B100" t="str">
            <v>WinFloorRatio%TYP</v>
          </cell>
          <cell r="C100">
            <v>0.11113127858742104</v>
          </cell>
          <cell r="D100">
            <v>4.3960578486503234E-2</v>
          </cell>
          <cell r="E100">
            <v>0.1917271954866456</v>
          </cell>
          <cell r="F100">
            <v>1.3285572069043333E-2</v>
          </cell>
          <cell r="G100">
            <v>1.1818024471246773</v>
          </cell>
          <cell r="H100">
            <v>2.6925777005418945E-2</v>
          </cell>
          <cell r="I100">
            <v>8.015647167701602E-2</v>
          </cell>
          <cell r="J100">
            <v>6.5776138011550078E-2</v>
          </cell>
          <cell r="K100">
            <v>0.11202070855469719</v>
          </cell>
          <cell r="L100">
            <v>2.2401185470432586E-2</v>
          </cell>
          <cell r="M100">
            <v>3.4175742327895269E-2</v>
          </cell>
          <cell r="N100">
            <v>0.21449086733931913</v>
          </cell>
          <cell r="O100">
            <v>0.15534741970221283</v>
          </cell>
          <cell r="P100">
            <v>9.7494861995036486E-2</v>
          </cell>
          <cell r="Q100">
            <v>6.6602666262037521E-2</v>
          </cell>
          <cell r="R100">
            <v>0.12989988148778953</v>
          </cell>
          <cell r="S100">
            <v>4.3362920120537364E-2</v>
          </cell>
          <cell r="T100">
            <v>0.11888495040094829</v>
          </cell>
          <cell r="Y100" t="str">
            <v>5,001-20,000</v>
          </cell>
        </row>
        <row r="101">
          <cell r="Y101" t="str">
            <v>20,001-50,000</v>
          </cell>
        </row>
        <row r="102">
          <cell r="Y102" t="str">
            <v>50,001-100,000</v>
          </cell>
        </row>
        <row r="103">
          <cell r="Y103" t="str">
            <v>100,001+</v>
          </cell>
        </row>
        <row r="104">
          <cell r="Y104" t="str">
            <v>Other</v>
          </cell>
        </row>
        <row r="105">
          <cell r="Y105" t="str">
            <v>&lt;5,001</v>
          </cell>
        </row>
        <row r="106">
          <cell r="Y106" t="str">
            <v>5,001-20,000</v>
          </cell>
        </row>
        <row r="107">
          <cell r="Y107" t="str">
            <v>20,001-50,000</v>
          </cell>
        </row>
        <row r="108">
          <cell r="Y108" t="str">
            <v>50,001-100,000</v>
          </cell>
        </row>
        <row r="109">
          <cell r="Y109" t="str">
            <v>100,001+</v>
          </cell>
        </row>
        <row r="110">
          <cell r="Y110" t="str">
            <v>Residential Care</v>
          </cell>
        </row>
        <row r="111">
          <cell r="Y111" t="str">
            <v>&lt;5,001</v>
          </cell>
        </row>
        <row r="112">
          <cell r="Y112" t="str">
            <v>5,001-20,000</v>
          </cell>
        </row>
        <row r="113">
          <cell r="Y113" t="str">
            <v>20,001-50,000</v>
          </cell>
        </row>
        <row r="114">
          <cell r="Y114" t="str">
            <v>50,001-100,000</v>
          </cell>
        </row>
        <row r="115">
          <cell r="Y115" t="str">
            <v>100,001+</v>
          </cell>
        </row>
        <row r="116">
          <cell r="Y116" t="str">
            <v>Restaurant</v>
          </cell>
        </row>
        <row r="117">
          <cell r="Y117" t="str">
            <v>&lt;5,001</v>
          </cell>
        </row>
        <row r="118">
          <cell r="Y118" t="str">
            <v>5,001-20,000</v>
          </cell>
        </row>
        <row r="119">
          <cell r="Y119" t="str">
            <v>Retail/Service</v>
          </cell>
        </row>
      </sheetData>
      <sheetData sheetId="12">
        <row r="11">
          <cell r="B11" t="str">
            <v>Large Ret</v>
          </cell>
          <cell r="M11">
            <v>31.55076</v>
          </cell>
          <cell r="N11">
            <v>9.4201798094731004E-3</v>
          </cell>
        </row>
        <row r="12">
          <cell r="B12" t="str">
            <v>Medium Ret</v>
          </cell>
          <cell r="M12">
            <v>346.19952999999998</v>
          </cell>
          <cell r="N12">
            <v>0.10336555514209726</v>
          </cell>
        </row>
        <row r="13">
          <cell r="B13" t="str">
            <v>Small Ret</v>
          </cell>
          <cell r="M13">
            <v>59.225870599999993</v>
          </cell>
          <cell r="N13">
            <v>1.7683198453051097E-2</v>
          </cell>
        </row>
        <row r="14">
          <cell r="B14" t="str">
            <v>School K-12</v>
          </cell>
          <cell r="M14">
            <v>245.35316429999997</v>
          </cell>
          <cell r="N14">
            <v>7.3255633922263544E-2</v>
          </cell>
        </row>
        <row r="15">
          <cell r="B15" t="str">
            <v>University</v>
          </cell>
          <cell r="M15">
            <v>123.989124</v>
          </cell>
          <cell r="N15">
            <v>3.701970546823774E-2</v>
          </cell>
        </row>
        <row r="16">
          <cell r="B16" t="str">
            <v>Warehouse</v>
          </cell>
          <cell r="M16">
            <v>442.22405430000003</v>
          </cell>
          <cell r="N16">
            <v>0.13203580856943528</v>
          </cell>
        </row>
        <row r="17">
          <cell r="B17" t="str">
            <v>Supermarket</v>
          </cell>
          <cell r="M17">
            <v>65.429751400000001</v>
          </cell>
          <cell r="N17">
            <v>1.9535504789016944E-2</v>
          </cell>
        </row>
        <row r="18">
          <cell r="B18" t="str">
            <v>MiniMart</v>
          </cell>
          <cell r="M18">
            <v>11.691088099999998</v>
          </cell>
          <cell r="N18">
            <v>3.4906338887047794E-3</v>
          </cell>
        </row>
        <row r="19">
          <cell r="B19" t="str">
            <v>Restaurant</v>
          </cell>
          <cell r="M19">
            <v>53.036741800000001</v>
          </cell>
          <cell r="N19">
            <v>1.5835296654172451E-2</v>
          </cell>
          <cell r="V19" t="str">
            <v>Restaurant</v>
          </cell>
          <cell r="W19">
            <v>53036741.800000004</v>
          </cell>
          <cell r="X19">
            <v>1.5835296654172448E-2</v>
          </cell>
        </row>
        <row r="20">
          <cell r="B20" t="str">
            <v>Lodging</v>
          </cell>
          <cell r="M20">
            <v>171.0409248</v>
          </cell>
          <cell r="N20">
            <v>5.1068065124091046E-2</v>
          </cell>
          <cell r="V20" t="str">
            <v>Lodging</v>
          </cell>
          <cell r="W20">
            <v>171040924.80000001</v>
          </cell>
          <cell r="X20">
            <v>5.1068065124091039E-2</v>
          </cell>
        </row>
        <row r="21">
          <cell r="B21" t="str">
            <v>Hospital</v>
          </cell>
          <cell r="M21">
            <v>103.75403529999998</v>
          </cell>
          <cell r="N21">
            <v>3.0978070527759683E-2</v>
          </cell>
          <cell r="V21" t="str">
            <v>Hospital</v>
          </cell>
          <cell r="W21">
            <v>103754035.29999998</v>
          </cell>
          <cell r="X21">
            <v>3.0978070527759676E-2</v>
          </cell>
        </row>
        <row r="22">
          <cell r="B22" t="str">
            <v>Residential Care</v>
          </cell>
          <cell r="M22">
            <v>125.16063630000001</v>
          </cell>
          <cell r="N22">
            <v>3.7369486472404026E-2</v>
          </cell>
          <cell r="V22" t="str">
            <v>Residential Care</v>
          </cell>
          <cell r="W22">
            <v>125160636.30000001</v>
          </cell>
          <cell r="X22">
            <v>3.7369486472404019E-2</v>
          </cell>
        </row>
        <row r="23">
          <cell r="B23" t="str">
            <v>Assembly</v>
          </cell>
          <cell r="M23">
            <v>368.87205360000002</v>
          </cell>
          <cell r="N23">
            <v>0.11013494038183547</v>
          </cell>
          <cell r="V23" t="str">
            <v>Assembly</v>
          </cell>
          <cell r="W23">
            <v>368872053.60000002</v>
          </cell>
          <cell r="X23">
            <v>0.11013494038183544</v>
          </cell>
        </row>
        <row r="24">
          <cell r="B24" t="str">
            <v>Other</v>
          </cell>
          <cell r="M24">
            <v>333.43446839999996</v>
          </cell>
          <cell r="N24">
            <v>9.9554262623279946E-2</v>
          </cell>
          <cell r="V24" t="str">
            <v>Other</v>
          </cell>
          <cell r="W24">
            <v>333434468.39999998</v>
          </cell>
          <cell r="X24">
            <v>9.9554262623279918E-2</v>
          </cell>
        </row>
        <row r="25">
          <cell r="W25">
            <v>3349273648.5000005</v>
          </cell>
          <cell r="X25">
            <v>0.99999999999999989</v>
          </cell>
        </row>
        <row r="26">
          <cell r="M26">
            <v>3349.2736484999996</v>
          </cell>
          <cell r="N26">
            <v>1</v>
          </cell>
        </row>
      </sheetData>
      <sheetData sheetId="13">
        <row r="11">
          <cell r="B11" t="str">
            <v>Floor Area of HEat Pump Space Heat as percent for Building Type</v>
          </cell>
          <cell r="C11">
            <v>6</v>
          </cell>
        </row>
        <row r="12">
          <cell r="B12" t="str">
            <v>Cooling Saturation as percent of Floor Area in Building Type</v>
          </cell>
          <cell r="C12">
            <v>7</v>
          </cell>
        </row>
        <row r="13">
          <cell r="B13" t="str">
            <v>Cooling Saturation as percent of Floor Area in Activity Type</v>
          </cell>
          <cell r="C13">
            <v>8</v>
          </cell>
        </row>
        <row r="14">
          <cell r="B14" t="str">
            <v>Package Roof Top Units as percentage of Building Type</v>
          </cell>
          <cell r="C14">
            <v>9</v>
          </cell>
        </row>
        <row r="15">
          <cell r="B15" t="str">
            <v>Package Roof Top Units as percentage of Activity Type</v>
          </cell>
          <cell r="C15">
            <v>10</v>
          </cell>
        </row>
        <row r="16">
          <cell r="B16" t="str">
            <v>Built-Up Systems as percentage of Building Type</v>
          </cell>
          <cell r="C16">
            <v>11</v>
          </cell>
        </row>
        <row r="17">
          <cell r="B17" t="str">
            <v>Built-Up Systems as percentage of Activity Type</v>
          </cell>
          <cell r="C17">
            <v>12</v>
          </cell>
        </row>
        <row r="18">
          <cell r="B18" t="str">
            <v>Multi-Zone VAV System as percentage of Building Type</v>
          </cell>
          <cell r="C18">
            <v>13</v>
          </cell>
        </row>
        <row r="19">
          <cell r="B19" t="str">
            <v>Multi-Zone VAV System as percentage of Activity Type</v>
          </cell>
          <cell r="C19">
            <v>14</v>
          </cell>
        </row>
        <row r="20">
          <cell r="B20" t="str">
            <v>Lighting savings yield for electric heat buildings with cooling weighted for cooling saturation</v>
          </cell>
          <cell r="C20">
            <v>15</v>
          </cell>
        </row>
        <row r="21">
          <cell r="B21" t="str">
            <v>Lighting savings yield for heat pump heat buildings with cooling  weighted for cooling saturation</v>
          </cell>
          <cell r="C21">
            <v>16</v>
          </cell>
        </row>
        <row r="22">
          <cell r="B22" t="str">
            <v>Lighting savings yield for gas or fossil heat buildings with cooling  weighted for cooling saturation</v>
          </cell>
          <cell r="C22">
            <v>17</v>
          </cell>
        </row>
        <row r="23">
          <cell r="B23" t="str">
            <v>Lighting savings yield for electric heat buildings with NO cooling</v>
          </cell>
          <cell r="C23">
            <v>18</v>
          </cell>
        </row>
        <row r="24">
          <cell r="B24" t="str">
            <v>Lighting savings yield for gas or fossil heat buildings with NO cooling</v>
          </cell>
          <cell r="C24">
            <v>19</v>
          </cell>
        </row>
        <row r="25">
          <cell r="B25" t="str">
            <v>Lighting savings yield IN THERMS for gas or fossil heat buildings with NO cooling</v>
          </cell>
          <cell r="C25">
            <v>20</v>
          </cell>
        </row>
        <row r="26">
          <cell r="B26" t="str">
            <v>Lighting savings yield IN THERMS for gas or fossil heat buildings with cooling</v>
          </cell>
          <cell r="C26">
            <v>21</v>
          </cell>
        </row>
        <row r="27">
          <cell r="B27" t="str">
            <v>Adjustment to LPD to reflect fraction of lights actually on during operating Hours (Effective on-hours LPD)</v>
          </cell>
          <cell r="C27">
            <v>22</v>
          </cell>
        </row>
        <row r="28">
          <cell r="B28" t="str">
            <v>Chiller system as percentage of Building Type</v>
          </cell>
          <cell r="C28">
            <v>23</v>
          </cell>
        </row>
        <row r="29">
          <cell r="B29" t="str">
            <v>Annaul hours of lighting system operation by Building Type</v>
          </cell>
          <cell r="C29">
            <v>24</v>
          </cell>
        </row>
        <row r="30">
          <cell r="B30" t="str">
            <v>Floor area not thermally conditioned by Building Type</v>
          </cell>
          <cell r="C30">
            <v>25</v>
          </cell>
        </row>
        <row r="31">
          <cell r="B31" t="str">
            <v>Fraction of package roof-top units with economizers</v>
          </cell>
          <cell r="C31">
            <v>26</v>
          </cell>
        </row>
        <row r="32">
          <cell r="B32" t="str">
            <v xml:space="preserve">Floor Area for Vintage Cohort of PRE2002 Stock </v>
          </cell>
          <cell r="C32">
            <v>27</v>
          </cell>
        </row>
        <row r="33">
          <cell r="B33" t="str">
            <v xml:space="preserve">Floor Area for Vintage Cohort of PRE2006 Stock </v>
          </cell>
          <cell r="C33">
            <v>28</v>
          </cell>
        </row>
        <row r="34">
          <cell r="B34" t="str">
            <v>Floor Area of Electric Space Heat for Complex HVAC Systems as percent for Building Type</v>
          </cell>
          <cell r="C34">
            <v>29</v>
          </cell>
        </row>
        <row r="35">
          <cell r="B35" t="str">
            <v>Floor Area of Fossil Fuel Space Heat  for Complex HVAC Systems as percent for Building Type, includes gas, oil, steam, propane</v>
          </cell>
          <cell r="C35">
            <v>30</v>
          </cell>
        </row>
        <row r="36">
          <cell r="B36" t="str">
            <v>Floor Area of Heat Pump Space Heat for Complex HVAC Systems as percent for Building Type</v>
          </cell>
          <cell r="C36">
            <v>31</v>
          </cell>
        </row>
        <row r="37">
          <cell r="B37" t="str">
            <v>Floor Area of Electric Space Heat for Simple HVAC Systems as percent for Building Type</v>
          </cell>
          <cell r="C37">
            <v>32</v>
          </cell>
        </row>
        <row r="38">
          <cell r="B38" t="str">
            <v>Floor Area of Fossil Fuel Space Heat  for Simple HVAC Systems as percent for Building Type, includes gas, oil, steam, propane</v>
          </cell>
          <cell r="C38">
            <v>33</v>
          </cell>
        </row>
        <row r="39">
          <cell r="B39" t="str">
            <v>Floor Area of Heat Pump Space Heat for Simple HVAC Systems as percent for Building Type</v>
          </cell>
          <cell r="C39">
            <v>34</v>
          </cell>
        </row>
        <row r="40">
          <cell r="B40" t="str">
            <v>Fraction of Chiller-Served Cooling Capacity that is served by Air-Cooled Chiller for HVAC system</v>
          </cell>
          <cell r="C40">
            <v>35</v>
          </cell>
        </row>
        <row r="41">
          <cell r="B41" t="str">
            <v>Fraction of Chiller-Served Cooling Capacity that is served by Water-Cooled Chiller for HVAC system</v>
          </cell>
          <cell r="C41">
            <v>36</v>
          </cell>
        </row>
        <row r="42">
          <cell r="B42" t="str">
            <v>Ratio of window area to floor area by Btype</v>
          </cell>
          <cell r="C42">
            <v>37</v>
          </cell>
        </row>
      </sheetData>
      <sheetData sheetId="14">
        <row r="11">
          <cell r="B11" t="str">
            <v>School</v>
          </cell>
          <cell r="C11" t="str">
            <v>School K-12</v>
          </cell>
          <cell r="D11" t="str">
            <v>School K-12</v>
          </cell>
          <cell r="E11" t="str">
            <v>Any</v>
          </cell>
          <cell r="F11" t="str">
            <v>K-12</v>
          </cell>
          <cell r="G11" t="str">
            <v>Any</v>
          </cell>
          <cell r="H11" t="str">
            <v>Any</v>
          </cell>
        </row>
        <row r="12">
          <cell r="B12" t="str">
            <v>School</v>
          </cell>
          <cell r="C12" t="str">
            <v>University</v>
          </cell>
          <cell r="D12" t="str">
            <v>University</v>
          </cell>
          <cell r="E12" t="str">
            <v>Any</v>
          </cell>
          <cell r="F12" t="str">
            <v>University</v>
          </cell>
          <cell r="G12" t="str">
            <v>Any</v>
          </cell>
          <cell r="H12" t="str">
            <v>Any</v>
          </cell>
        </row>
        <row r="13">
          <cell r="B13" t="str">
            <v>Warehouse</v>
          </cell>
          <cell r="C13" t="str">
            <v>Warehouse</v>
          </cell>
          <cell r="D13" t="str">
            <v>Warehouse</v>
          </cell>
          <cell r="E13" t="str">
            <v>Any</v>
          </cell>
          <cell r="F13" t="str">
            <v>Warehouse</v>
          </cell>
          <cell r="G13" t="str">
            <v>Any</v>
          </cell>
          <cell r="H13" t="str">
            <v>Any</v>
          </cell>
        </row>
        <row r="14">
          <cell r="B14" t="str">
            <v>Retail Food Sales</v>
          </cell>
          <cell r="C14" t="str">
            <v>Supermarket</v>
          </cell>
          <cell r="D14" t="str">
            <v>Supermarket</v>
          </cell>
          <cell r="E14" t="str">
            <v>&gt; 5000</v>
          </cell>
          <cell r="F14" t="str">
            <v>Supermarket</v>
          </cell>
          <cell r="G14" t="str">
            <v>&gt; 5000</v>
          </cell>
          <cell r="H14" t="str">
            <v>Any</v>
          </cell>
        </row>
        <row r="15">
          <cell r="B15" t="str">
            <v>Retail Food Sales</v>
          </cell>
          <cell r="C15" t="str">
            <v>MiniMart</v>
          </cell>
          <cell r="D15" t="str">
            <v>MiniMart</v>
          </cell>
          <cell r="E15" t="str">
            <v>&lt; 5000</v>
          </cell>
          <cell r="F15" t="str">
            <v>MiniMart</v>
          </cell>
          <cell r="G15" t="str">
            <v>&lt; 5000</v>
          </cell>
          <cell r="H15" t="str">
            <v>Any</v>
          </cell>
        </row>
        <row r="16">
          <cell r="B16" t="str">
            <v>Restaurant</v>
          </cell>
          <cell r="C16" t="str">
            <v>Restaurant</v>
          </cell>
          <cell r="D16" t="str">
            <v>Restaurant</v>
          </cell>
          <cell r="E16" t="str">
            <v>Any</v>
          </cell>
          <cell r="F16" t="str">
            <v>Restaurant</v>
          </cell>
          <cell r="G16" t="str">
            <v>Any</v>
          </cell>
          <cell r="H16" t="str">
            <v>Any</v>
          </cell>
        </row>
        <row r="17">
          <cell r="B17" t="str">
            <v>Lodging</v>
          </cell>
          <cell r="C17" t="str">
            <v>Lodging</v>
          </cell>
          <cell r="D17" t="str">
            <v>Lodging</v>
          </cell>
          <cell r="E17" t="str">
            <v>Any</v>
          </cell>
          <cell r="F17" t="str">
            <v>Lodging</v>
          </cell>
          <cell r="G17" t="str">
            <v>Any</v>
          </cell>
          <cell r="H17" t="str">
            <v>Any</v>
          </cell>
        </row>
        <row r="18">
          <cell r="B18" t="str">
            <v>Health Care</v>
          </cell>
          <cell r="C18" t="str">
            <v>Hospital</v>
          </cell>
          <cell r="D18" t="str">
            <v>Hospital</v>
          </cell>
          <cell r="E18" t="str">
            <v>Any</v>
          </cell>
          <cell r="F18" t="str">
            <v>Hospital</v>
          </cell>
          <cell r="G18" t="str">
            <v>Any</v>
          </cell>
          <cell r="H18" t="str">
            <v>Any</v>
          </cell>
        </row>
        <row r="19">
          <cell r="B19" t="str">
            <v>Health Care</v>
          </cell>
          <cell r="C19" t="str">
            <v>Residential Care</v>
          </cell>
          <cell r="D19" t="str">
            <v>Residential Care</v>
          </cell>
          <cell r="E19" t="str">
            <v>Any</v>
          </cell>
          <cell r="F19" t="str">
            <v>OtherHealth</v>
          </cell>
          <cell r="G19" t="str">
            <v>Any</v>
          </cell>
          <cell r="H19" t="str">
            <v>Any</v>
          </cell>
        </row>
        <row r="20">
          <cell r="B20" t="str">
            <v>Assembly</v>
          </cell>
          <cell r="C20" t="str">
            <v>Assembly</v>
          </cell>
          <cell r="D20" t="str">
            <v>Assembly</v>
          </cell>
          <cell r="E20" t="str">
            <v>Any</v>
          </cell>
          <cell r="F20" t="str">
            <v>Assembly</v>
          </cell>
          <cell r="G20" t="str">
            <v>Any</v>
          </cell>
          <cell r="H20" t="str">
            <v>Any</v>
          </cell>
        </row>
        <row r="21">
          <cell r="B21" t="str">
            <v>Other</v>
          </cell>
          <cell r="C21" t="str">
            <v>Other</v>
          </cell>
          <cell r="D21" t="str">
            <v>Other</v>
          </cell>
          <cell r="E21" t="str">
            <v>Any</v>
          </cell>
          <cell r="F21" t="str">
            <v>Other</v>
          </cell>
          <cell r="G21" t="str">
            <v>Any</v>
          </cell>
          <cell r="H21" t="str">
            <v>Any</v>
          </cell>
        </row>
        <row r="24">
          <cell r="B24" t="str">
            <v>Bldg_Type</v>
          </cell>
          <cell r="C24" t="str">
            <v>Office</v>
          </cell>
          <cell r="E24" t="str">
            <v>CBSA Data</v>
          </cell>
        </row>
        <row r="25">
          <cell r="B25" t="str">
            <v>HeatSys_Primary_PrimFuel</v>
          </cell>
          <cell r="C25" t="str">
            <v>(All)</v>
          </cell>
        </row>
        <row r="27">
          <cell r="C27" t="str">
            <v>Values</v>
          </cell>
        </row>
        <row r="28">
          <cell r="B28" t="str">
            <v>Row Labels</v>
          </cell>
          <cell r="C28" t="str">
            <v>Count of Bldg_Name</v>
          </cell>
          <cell r="D28" t="str">
            <v>Sum of Sf_PNW (New Data)</v>
          </cell>
          <cell r="E28" t="str">
            <v>Sum of Chiller_Qty</v>
          </cell>
          <cell r="F28" t="str">
            <v>Average of LPD_Ind</v>
          </cell>
          <cell r="G28" t="str">
            <v>WT Average of LPD_Ind</v>
          </cell>
          <cell r="I28" t="str">
            <v>WT Average of Annual Hrs_Light</v>
          </cell>
          <cell r="K28" t="str">
            <v>Average of HeatSys_ Electricity_Pct</v>
          </cell>
          <cell r="L28" t="str">
            <v>WT Average of HeatSys_ Electricity_Pct</v>
          </cell>
          <cell r="M28" t="str">
            <v>Average of Hrs_Occupied</v>
          </cell>
          <cell r="N28" t="str">
            <v>New EUIs</v>
          </cell>
        </row>
        <row r="29">
          <cell r="B29" t="str">
            <v>&lt;5,001</v>
          </cell>
          <cell r="C29">
            <v>32</v>
          </cell>
          <cell r="D29">
            <v>95458311.526895136</v>
          </cell>
          <cell r="E29">
            <v>0</v>
          </cell>
          <cell r="F29">
            <v>1.44600515748125</v>
          </cell>
          <cell r="G29">
            <v>1.4196043411312098</v>
          </cell>
          <cell r="I29">
            <v>2605.1531889816397</v>
          </cell>
          <cell r="J29">
            <v>2605.1531889816397</v>
          </cell>
          <cell r="K29">
            <v>55.871005424767731</v>
          </cell>
          <cell r="L29">
            <v>62.641582479308482</v>
          </cell>
          <cell r="M29">
            <v>51.078125</v>
          </cell>
          <cell r="N29">
            <v>15.414112631735692</v>
          </cell>
        </row>
        <row r="30">
          <cell r="B30" t="str">
            <v>5,001-20,000</v>
          </cell>
          <cell r="C30">
            <v>21</v>
          </cell>
          <cell r="D30">
            <v>179770297.47310495</v>
          </cell>
          <cell r="E30">
            <v>1</v>
          </cell>
          <cell r="F30">
            <v>1.1349086639428572</v>
          </cell>
          <cell r="G30">
            <v>1.1352814227841366</v>
          </cell>
          <cell r="H30">
            <v>1.1271197868627141</v>
          </cell>
          <cell r="I30">
            <v>2621.0311132130655</v>
          </cell>
          <cell r="J30">
            <v>2810.5319958026707</v>
          </cell>
          <cell r="K30">
            <v>54.065498637753784</v>
          </cell>
          <cell r="L30">
            <v>52.128877602508318</v>
          </cell>
          <cell r="M30">
            <v>53.38095238095238</v>
          </cell>
          <cell r="N30">
            <v>12.555992472807018</v>
          </cell>
        </row>
        <row r="31">
          <cell r="B31" t="str">
            <v>20,001-50,000</v>
          </cell>
          <cell r="C31">
            <v>29</v>
          </cell>
          <cell r="D31">
            <v>136471707.75979474</v>
          </cell>
          <cell r="E31">
            <v>4</v>
          </cell>
          <cell r="F31">
            <v>1.152219445848276</v>
          </cell>
          <cell r="G31">
            <v>1.1212096367127184</v>
          </cell>
          <cell r="I31">
            <v>3060.1561163897027</v>
          </cell>
          <cell r="K31">
            <v>37.18170782263401</v>
          </cell>
          <cell r="L31">
            <v>34.735507973306092</v>
          </cell>
          <cell r="M31">
            <v>59.137931034482762</v>
          </cell>
          <cell r="N31">
            <v>16.763935531313802</v>
          </cell>
        </row>
        <row r="32">
          <cell r="B32" t="str">
            <v>50,001-100,000</v>
          </cell>
          <cell r="C32">
            <v>10</v>
          </cell>
          <cell r="D32">
            <v>121007363.24020527</v>
          </cell>
          <cell r="E32">
            <v>13</v>
          </cell>
          <cell r="F32">
            <v>0.82888965290000005</v>
          </cell>
          <cell r="G32">
            <v>0.8372967994754239</v>
          </cell>
          <cell r="H32">
            <v>0.86082195143942553</v>
          </cell>
          <cell r="I32">
            <v>3222.7884337083865</v>
          </cell>
          <cell r="J32">
            <v>3295.5283728075524</v>
          </cell>
          <cell r="K32">
            <v>33.806146572104019</v>
          </cell>
          <cell r="L32">
            <v>24.223397014792155</v>
          </cell>
          <cell r="M32">
            <v>61.1</v>
          </cell>
          <cell r="N32">
            <v>22.992427101465715</v>
          </cell>
        </row>
        <row r="33">
          <cell r="B33" t="str">
            <v>100,001+</v>
          </cell>
          <cell r="C33">
            <v>24</v>
          </cell>
          <cell r="D33">
            <v>201650445.99999997</v>
          </cell>
          <cell r="E33">
            <v>35</v>
          </cell>
          <cell r="F33">
            <v>0.88098196757083302</v>
          </cell>
          <cell r="G33">
            <v>0.87062409809109287</v>
          </cell>
          <cell r="I33">
            <v>3339.1785030564247</v>
          </cell>
          <cell r="K33">
            <v>49.790143766954543</v>
          </cell>
          <cell r="L33">
            <v>55.115989937160393</v>
          </cell>
          <cell r="M33">
            <v>61.958333333333336</v>
          </cell>
          <cell r="N33">
            <v>14.574986322602543</v>
          </cell>
        </row>
        <row r="34">
          <cell r="B34" t="str">
            <v>Grand Total</v>
          </cell>
          <cell r="C34">
            <v>116</v>
          </cell>
          <cell r="D34">
            <v>734358126.00000024</v>
          </cell>
          <cell r="E34">
            <v>53</v>
          </cell>
          <cell r="F34">
            <v>1.1461385746767239</v>
          </cell>
          <cell r="G34">
            <v>1.0478499451391019</v>
          </cell>
          <cell r="I34">
            <v>2996.9298166001049</v>
          </cell>
          <cell r="K34">
            <v>47.761973122568946</v>
          </cell>
          <cell r="L34">
            <v>46.485045602193175</v>
          </cell>
          <cell r="M34">
            <v>56.625</v>
          </cell>
        </row>
        <row r="37">
          <cell r="B37" t="str">
            <v>Bldg_Type</v>
          </cell>
          <cell r="C37" t="str">
            <v>Retail/Service</v>
          </cell>
        </row>
        <row r="38">
          <cell r="B38" t="str">
            <v>HeatSys_Primary_PrimFuel</v>
          </cell>
          <cell r="C38" t="str">
            <v>(All)</v>
          </cell>
        </row>
        <row r="40">
          <cell r="C40" t="str">
            <v>Values</v>
          </cell>
        </row>
        <row r="41">
          <cell r="B41" t="str">
            <v>Row Labels</v>
          </cell>
          <cell r="C41" t="str">
            <v>Count of Bldg_Name</v>
          </cell>
          <cell r="D41" t="str">
            <v>Sum of Sf_PNW (New Data)</v>
          </cell>
          <cell r="E41" t="str">
            <v>Sum of Chiller_Qty</v>
          </cell>
          <cell r="F41" t="str">
            <v>Average of LPD_Ind</v>
          </cell>
          <cell r="G41" t="str">
            <v>WT Average of LPD_Ind</v>
          </cell>
          <cell r="I41" t="str">
            <v>WT Average of Annual Hrs_Light</v>
          </cell>
          <cell r="K41" t="str">
            <v>Average of HeatSys_Electricity_Pct</v>
          </cell>
          <cell r="L41" t="str">
            <v>WT Average of HeatSys_ Electricity_Pct</v>
          </cell>
          <cell r="M41" t="str">
            <v>Average of Hrs_Occupied</v>
          </cell>
          <cell r="N41" t="str">
            <v>New EUIs</v>
          </cell>
        </row>
        <row r="42">
          <cell r="B42" t="str">
            <v>&lt;5,001</v>
          </cell>
          <cell r="C42">
            <v>30</v>
          </cell>
          <cell r="D42">
            <v>59224380.554442525</v>
          </cell>
          <cell r="E42">
            <v>0</v>
          </cell>
          <cell r="F42">
            <v>1.5272819154399999</v>
          </cell>
          <cell r="G42">
            <v>1.4369897064659012</v>
          </cell>
          <cell r="I42">
            <v>2762.118796566951</v>
          </cell>
          <cell r="K42">
            <v>43.785677771108105</v>
          </cell>
          <cell r="L42">
            <v>33.051637833495548</v>
          </cell>
          <cell r="M42">
            <v>55.1</v>
          </cell>
          <cell r="N42">
            <v>12.875436812066214</v>
          </cell>
        </row>
        <row r="43">
          <cell r="B43" t="str">
            <v>5,001-20,000</v>
          </cell>
          <cell r="C43">
            <v>25</v>
          </cell>
          <cell r="D43">
            <v>186496889.44555736</v>
          </cell>
          <cell r="E43">
            <v>0</v>
          </cell>
          <cell r="F43">
            <v>1.2664125675400002</v>
          </cell>
          <cell r="G43">
            <v>1.2388327171274434</v>
          </cell>
          <cell r="I43">
            <v>3795.0044826849821</v>
          </cell>
          <cell r="K43">
            <v>37.407750162009684</v>
          </cell>
          <cell r="L43">
            <v>23.158266244637343</v>
          </cell>
          <cell r="M43">
            <v>76.34</v>
          </cell>
          <cell r="N43">
            <v>12.333063850163656</v>
          </cell>
        </row>
        <row r="44">
          <cell r="B44" t="str">
            <v>20,001-50,000</v>
          </cell>
          <cell r="C44">
            <v>34</v>
          </cell>
          <cell r="D44">
            <v>159704133.08919233</v>
          </cell>
          <cell r="E44">
            <v>0</v>
          </cell>
          <cell r="F44">
            <v>1.0958497064352939</v>
          </cell>
          <cell r="G44">
            <v>1.0864505514680138</v>
          </cell>
          <cell r="H44">
            <v>1.0777987100431961</v>
          </cell>
          <cell r="I44">
            <v>3667.5345811967941</v>
          </cell>
          <cell r="J44">
            <v>3692.2254794077244</v>
          </cell>
          <cell r="K44">
            <v>13.037434423723496</v>
          </cell>
          <cell r="L44">
            <v>11.646288604900541</v>
          </cell>
          <cell r="M44">
            <v>72.32352941176471</v>
          </cell>
          <cell r="N44">
            <v>10.175630709696762</v>
          </cell>
        </row>
        <row r="45">
          <cell r="B45" t="str">
            <v>50,001-100,000</v>
          </cell>
          <cell r="C45">
            <v>4</v>
          </cell>
          <cell r="D45">
            <v>31550759.910807587</v>
          </cell>
          <cell r="E45">
            <v>0</v>
          </cell>
          <cell r="F45">
            <v>0.98225486277500007</v>
          </cell>
          <cell r="G45">
            <v>1.004258057932244</v>
          </cell>
          <cell r="I45">
            <v>3817.2062565781425</v>
          </cell>
          <cell r="K45">
            <v>1.8510750088321051</v>
          </cell>
          <cell r="L45">
            <v>1.570370412390194</v>
          </cell>
          <cell r="M45">
            <v>77.25</v>
          </cell>
          <cell r="N45">
            <v>10.151096637221519</v>
          </cell>
        </row>
        <row r="46">
          <cell r="B46" t="str">
            <v>100,001+</v>
          </cell>
          <cell r="C46">
            <v>34</v>
          </cell>
          <cell r="D46">
            <v>133953325</v>
          </cell>
          <cell r="E46">
            <v>6</v>
          </cell>
          <cell r="F46">
            <v>1.1930721681228571</v>
          </cell>
          <cell r="G46">
            <v>1.1904887164069691</v>
          </cell>
          <cell r="I46">
            <v>6230.7045853104373</v>
          </cell>
          <cell r="K46">
            <v>12.375882269927777</v>
          </cell>
          <cell r="L46">
            <v>8.4570799844658442</v>
          </cell>
          <cell r="M46">
            <v>128.59285714285716</v>
          </cell>
          <cell r="N46">
            <v>17.009833900111737</v>
          </cell>
        </row>
        <row r="47">
          <cell r="B47" t="str">
            <v>Grand Total</v>
          </cell>
          <cell r="C47">
            <v>127</v>
          </cell>
          <cell r="D47">
            <v>570929487.99999988</v>
          </cell>
          <cell r="E47">
            <v>6</v>
          </cell>
          <cell r="F47">
            <v>1.2533141172335944</v>
          </cell>
          <cell r="G47">
            <v>1.1924571389360319</v>
          </cell>
          <cell r="I47">
            <v>4224.9019225439506</v>
          </cell>
          <cell r="K47">
            <v>24.047433324688789</v>
          </cell>
          <cell r="L47">
            <v>16.322099981443166</v>
          </cell>
          <cell r="M47">
            <v>84.611328125</v>
          </cell>
        </row>
        <row r="56">
          <cell r="B56" t="str">
            <v>Map to building occupancy codes for various sources</v>
          </cell>
        </row>
        <row r="58">
          <cell r="B58" t="str">
            <v>Ecotope Building Type</v>
          </cell>
          <cell r="C58" t="str">
            <v>NPPC BUILDTYPE</v>
          </cell>
          <cell r="E58" t="str">
            <v>NPPC to Ecotope</v>
          </cell>
          <cell r="F58" t="str">
            <v>NPPC Ten</v>
          </cell>
          <cell r="H58" t="str">
            <v>VCohort</v>
          </cell>
          <cell r="N58" t="str">
            <v>Characteristics</v>
          </cell>
        </row>
        <row r="59">
          <cell r="B59" t="str">
            <v>Assembly</v>
          </cell>
          <cell r="C59" t="str">
            <v>Large Off</v>
          </cell>
          <cell r="E59" t="str">
            <v>Office - Large</v>
          </cell>
          <cell r="F59" t="str">
            <v>Large Off</v>
          </cell>
          <cell r="H59" t="str">
            <v>New</v>
          </cell>
          <cell r="I59" t="str">
            <v>Apples to new floor area in year</v>
          </cell>
          <cell r="L59" t="str">
            <v>Primary Activity</v>
          </cell>
          <cell r="M59" t="str">
            <v>Council Building Type</v>
          </cell>
          <cell r="N59" t="str">
            <v>Gross Floor Area in Square Feet</v>
          </cell>
          <cell r="O59" t="str">
            <v>Number of Stories</v>
          </cell>
          <cell r="P59" t="str">
            <v>Other</v>
          </cell>
        </row>
        <row r="60">
          <cell r="B60" t="str">
            <v>College</v>
          </cell>
          <cell r="C60" t="str">
            <v>Medium Off</v>
          </cell>
          <cell r="E60" t="str">
            <v>Office - Large</v>
          </cell>
          <cell r="F60" t="str">
            <v>Medium Off</v>
          </cell>
          <cell r="H60" t="str">
            <v>Retrofit</v>
          </cell>
          <cell r="I60" t="str">
            <v>Applies to existing floor area in year taking account of demolition, NR, and baseline measure penetration.</v>
          </cell>
          <cell r="L60" t="str">
            <v>Office</v>
          </cell>
          <cell r="M60" t="str">
            <v>Large Office</v>
          </cell>
          <cell r="N60" t="str">
            <v>&gt; 100,000</v>
          </cell>
          <cell r="O60" t="str">
            <v>Any</v>
          </cell>
        </row>
        <row r="61">
          <cell r="B61" t="str">
            <v>Grocery</v>
          </cell>
          <cell r="C61" t="str">
            <v>Small Off</v>
          </cell>
          <cell r="E61" t="str">
            <v>Office - Small</v>
          </cell>
          <cell r="F61" t="str">
            <v>Small Off</v>
          </cell>
          <cell r="H61" t="str">
            <v>NR</v>
          </cell>
          <cell r="I61" t="str">
            <v>Applies at natural replacement of system or component. Replace on Burn Out</v>
          </cell>
          <cell r="L61" t="str">
            <v>Office</v>
          </cell>
          <cell r="M61" t="str">
            <v>Medium Office</v>
          </cell>
          <cell r="N61" t="str">
            <v>20,000 to 100,000</v>
          </cell>
          <cell r="O61" t="str">
            <v>Any</v>
          </cell>
        </row>
        <row r="62">
          <cell r="B62" t="str">
            <v>Hospital</v>
          </cell>
          <cell r="C62" t="str">
            <v>Big Box</v>
          </cell>
          <cell r="E62" t="str">
            <v>Retail - Large</v>
          </cell>
          <cell r="F62" t="str">
            <v>Big Box</v>
          </cell>
          <cell r="L62" t="str">
            <v>Office</v>
          </cell>
          <cell r="M62" t="str">
            <v>Small Office</v>
          </cell>
          <cell r="N62" t="str">
            <v>&lt; 20,000</v>
          </cell>
          <cell r="O62" t="str">
            <v>Any</v>
          </cell>
        </row>
        <row r="63">
          <cell r="B63" t="str">
            <v>Hotel</v>
          </cell>
          <cell r="C63" t="str">
            <v>Small Box</v>
          </cell>
          <cell r="E63" t="str">
            <v>Retail - Small</v>
          </cell>
          <cell r="F63" t="str">
            <v>Small Box</v>
          </cell>
          <cell r="L63" t="str">
            <v>Retail</v>
          </cell>
          <cell r="M63" t="str">
            <v>Big Box</v>
          </cell>
          <cell r="N63" t="str">
            <v>&gt; 50,000</v>
          </cell>
          <cell r="O63">
            <v>1</v>
          </cell>
          <cell r="P63" t="str">
            <v>Includes some Grocery</v>
          </cell>
        </row>
        <row r="64">
          <cell r="B64" t="str">
            <v>Lab</v>
          </cell>
          <cell r="C64" t="str">
            <v>High End</v>
          </cell>
          <cell r="E64" t="str">
            <v>Retail - Small</v>
          </cell>
          <cell r="F64" t="str">
            <v>High End</v>
          </cell>
          <cell r="L64" t="str">
            <v>Retail</v>
          </cell>
          <cell r="M64" t="str">
            <v>Small Box</v>
          </cell>
          <cell r="N64" t="str">
            <v>&lt;50,000</v>
          </cell>
          <cell r="O64">
            <v>1</v>
          </cell>
        </row>
        <row r="65">
          <cell r="B65" t="str">
            <v>Laundry</v>
          </cell>
          <cell r="C65" t="str">
            <v>Anchor</v>
          </cell>
          <cell r="E65" t="str">
            <v>Retail - Large</v>
          </cell>
          <cell r="F65" t="str">
            <v>Anchor</v>
          </cell>
          <cell r="L65" t="str">
            <v>Retail</v>
          </cell>
          <cell r="M65" t="str">
            <v>High End</v>
          </cell>
          <cell r="N65" t="str">
            <v>&lt; 20,000</v>
          </cell>
          <cell r="O65">
            <v>1</v>
          </cell>
          <cell r="P65" t="str">
            <v>High lighting density</v>
          </cell>
        </row>
        <row r="66">
          <cell r="B66" t="str">
            <v>Motel</v>
          </cell>
          <cell r="C66" t="str">
            <v>K-12</v>
          </cell>
          <cell r="E66" t="str">
            <v>School - Primary</v>
          </cell>
          <cell r="F66" t="str">
            <v>K-13</v>
          </cell>
          <cell r="L66" t="str">
            <v>Retail</v>
          </cell>
          <cell r="M66" t="str">
            <v>Anchor</v>
          </cell>
          <cell r="N66" t="str">
            <v>&gt; 50,000</v>
          </cell>
          <cell r="O66" t="str">
            <v>&gt;1</v>
          </cell>
        </row>
        <row r="67">
          <cell r="B67" t="str">
            <v>Office - Large</v>
          </cell>
          <cell r="C67" t="str">
            <v>University</v>
          </cell>
          <cell r="E67" t="str">
            <v>College</v>
          </cell>
          <cell r="F67" t="str">
            <v>University</v>
          </cell>
          <cell r="L67" t="str">
            <v>School</v>
          </cell>
          <cell r="M67" t="str">
            <v>K-12</v>
          </cell>
          <cell r="N67" t="str">
            <v>Any</v>
          </cell>
          <cell r="O67" t="str">
            <v>Any</v>
          </cell>
        </row>
        <row r="68">
          <cell r="B68" t="str">
            <v>Office - Small</v>
          </cell>
          <cell r="C68" t="str">
            <v>Warehouse</v>
          </cell>
          <cell r="E68" t="str">
            <v>Warehouse</v>
          </cell>
          <cell r="F68" t="str">
            <v>Warehouse</v>
          </cell>
          <cell r="L68" t="str">
            <v>School</v>
          </cell>
          <cell r="M68" t="str">
            <v>University</v>
          </cell>
          <cell r="N68" t="str">
            <v>Any</v>
          </cell>
          <cell r="O68" t="str">
            <v>Any</v>
          </cell>
        </row>
        <row r="69">
          <cell r="B69" t="str">
            <v>Rest-Fast Food</v>
          </cell>
          <cell r="C69" t="str">
            <v>Supermarket</v>
          </cell>
          <cell r="E69" t="str">
            <v>Grocery</v>
          </cell>
          <cell r="F69" t="str">
            <v>Supermarket</v>
          </cell>
          <cell r="L69" t="str">
            <v>Warehouse</v>
          </cell>
          <cell r="M69" t="str">
            <v>Warehouse</v>
          </cell>
          <cell r="N69" t="str">
            <v>Any</v>
          </cell>
          <cell r="O69" t="str">
            <v>Any</v>
          </cell>
        </row>
        <row r="70">
          <cell r="B70" t="str">
            <v>Rest-Full Serve</v>
          </cell>
          <cell r="C70" t="str">
            <v>MIniMart</v>
          </cell>
          <cell r="E70" t="str">
            <v>Grocery</v>
          </cell>
          <cell r="F70" t="str">
            <v>MIniMart</v>
          </cell>
          <cell r="L70" t="str">
            <v>Retail Food Sales</v>
          </cell>
          <cell r="M70" t="str">
            <v>Supermarket</v>
          </cell>
          <cell r="N70" t="str">
            <v>&gt; 5000</v>
          </cell>
          <cell r="O70" t="str">
            <v>Any</v>
          </cell>
        </row>
        <row r="71">
          <cell r="B71" t="str">
            <v>Retail - Large</v>
          </cell>
          <cell r="C71" t="str">
            <v>Restaurant</v>
          </cell>
          <cell r="E71" t="str">
            <v>Rest-Fast Food</v>
          </cell>
          <cell r="F71" t="str">
            <v>Restaurant</v>
          </cell>
          <cell r="L71" t="str">
            <v>Retail Food Sales</v>
          </cell>
          <cell r="M71" t="str">
            <v>MiniMart</v>
          </cell>
          <cell r="N71" t="str">
            <v>&lt; 5000</v>
          </cell>
          <cell r="O71" t="str">
            <v>Any</v>
          </cell>
        </row>
        <row r="72">
          <cell r="B72" t="str">
            <v>Retail - Small</v>
          </cell>
          <cell r="C72" t="str">
            <v>Lodging</v>
          </cell>
          <cell r="E72" t="str">
            <v>Motel</v>
          </cell>
          <cell r="F72" t="str">
            <v>Lodging</v>
          </cell>
          <cell r="L72" t="str">
            <v>Restaurant</v>
          </cell>
          <cell r="M72" t="str">
            <v>Restaurant</v>
          </cell>
          <cell r="N72" t="str">
            <v>Any</v>
          </cell>
          <cell r="O72" t="str">
            <v>Any</v>
          </cell>
        </row>
        <row r="73">
          <cell r="B73" t="str">
            <v>Retirement</v>
          </cell>
          <cell r="C73" t="str">
            <v>Hospital</v>
          </cell>
          <cell r="E73" t="str">
            <v>Hospital</v>
          </cell>
          <cell r="F73" t="str">
            <v>Hospital</v>
          </cell>
          <cell r="L73" t="str">
            <v>Lodging</v>
          </cell>
          <cell r="M73" t="str">
            <v>Lodging</v>
          </cell>
          <cell r="N73" t="str">
            <v>Any</v>
          </cell>
          <cell r="O73" t="str">
            <v>Any</v>
          </cell>
        </row>
        <row r="74">
          <cell r="B74" t="str">
            <v>School - Primary</v>
          </cell>
          <cell r="C74" t="str">
            <v>OtherHealth</v>
          </cell>
          <cell r="E74" t="str">
            <v>Skilled Nursing</v>
          </cell>
          <cell r="F74" t="str">
            <v>OtherHealth</v>
          </cell>
          <cell r="L74" t="str">
            <v>Health Care</v>
          </cell>
          <cell r="M74" t="str">
            <v>Hospital</v>
          </cell>
          <cell r="N74" t="str">
            <v>Any</v>
          </cell>
          <cell r="O74" t="str">
            <v>Any</v>
          </cell>
        </row>
        <row r="75">
          <cell r="B75" t="str">
            <v>School - Secondary</v>
          </cell>
          <cell r="C75" t="str">
            <v>Assembly</v>
          </cell>
          <cell r="E75" t="str">
            <v>Assembly</v>
          </cell>
          <cell r="L75" t="str">
            <v>Health Care</v>
          </cell>
          <cell r="M75" t="str">
            <v>OtherHealth</v>
          </cell>
          <cell r="N75" t="str">
            <v>Any</v>
          </cell>
          <cell r="O75" t="str">
            <v>Any</v>
          </cell>
        </row>
        <row r="76">
          <cell r="B76" t="str">
            <v>Workshop</v>
          </cell>
          <cell r="C76" t="str">
            <v>Other</v>
          </cell>
          <cell r="E76" t="str">
            <v>Other</v>
          </cell>
          <cell r="F76" t="str">
            <v>Other</v>
          </cell>
          <cell r="L76" t="str">
            <v>Other</v>
          </cell>
          <cell r="M76" t="str">
            <v>Other</v>
          </cell>
          <cell r="N76" t="str">
            <v>Any</v>
          </cell>
          <cell r="O76" t="str">
            <v>Any</v>
          </cell>
        </row>
        <row r="77">
          <cell r="B77" t="str">
            <v>Skilled Nursing</v>
          </cell>
        </row>
        <row r="78">
          <cell r="B78" t="str">
            <v>Warehouse</v>
          </cell>
        </row>
        <row r="79">
          <cell r="B79" t="str">
            <v>Other</v>
          </cell>
        </row>
        <row r="81">
          <cell r="E81" t="str">
            <v>Characteristics</v>
          </cell>
        </row>
        <row r="82">
          <cell r="C82" t="str">
            <v>NPPC BUILDTYPE</v>
          </cell>
          <cell r="E82" t="str">
            <v>Primary Activity</v>
          </cell>
          <cell r="F82" t="str">
            <v>Gross Floor Area</v>
          </cell>
          <cell r="G82" t="str">
            <v>Number of Stories</v>
          </cell>
          <cell r="H82" t="str">
            <v>Other</v>
          </cell>
          <cell r="I82" t="str">
            <v>Note</v>
          </cell>
        </row>
        <row r="83">
          <cell r="C83" t="str">
            <v>Large Off</v>
          </cell>
          <cell r="E83" t="str">
            <v>Office</v>
          </cell>
          <cell r="F83" t="str">
            <v>&gt; 100,000</v>
          </cell>
          <cell r="G83" t="str">
            <v>Any</v>
          </cell>
        </row>
        <row r="84">
          <cell r="C84" t="str">
            <v>Medium Off</v>
          </cell>
          <cell r="E84" t="str">
            <v>Office</v>
          </cell>
          <cell r="F84" t="str">
            <v>20,000 to 100,000</v>
          </cell>
          <cell r="G84" t="str">
            <v>Any</v>
          </cell>
        </row>
        <row r="85">
          <cell r="C85" t="str">
            <v>Small Off</v>
          </cell>
          <cell r="E85" t="str">
            <v>Office</v>
          </cell>
          <cell r="F85" t="str">
            <v>&lt; 20,000</v>
          </cell>
          <cell r="G85" t="str">
            <v>Any</v>
          </cell>
        </row>
        <row r="86">
          <cell r="C86" t="str">
            <v>Big Box</v>
          </cell>
          <cell r="E86" t="str">
            <v>Retail</v>
          </cell>
          <cell r="F86" t="str">
            <v>&gt; 50,000</v>
          </cell>
          <cell r="G86">
            <v>1</v>
          </cell>
          <cell r="I86" t="str">
            <v>Includes some stores that have groceries inside</v>
          </cell>
        </row>
        <row r="87">
          <cell r="C87" t="str">
            <v>Small Box</v>
          </cell>
          <cell r="E87" t="str">
            <v>Retail</v>
          </cell>
          <cell r="F87" t="str">
            <v>&lt;50,000</v>
          </cell>
          <cell r="G87">
            <v>1</v>
          </cell>
        </row>
        <row r="88">
          <cell r="C88" t="str">
            <v>High End</v>
          </cell>
          <cell r="E88" t="str">
            <v>Retail</v>
          </cell>
          <cell r="F88" t="str">
            <v>&lt; 20,000</v>
          </cell>
          <cell r="G88">
            <v>1</v>
          </cell>
          <cell r="H88" t="str">
            <v>and LPD &gt; 2.0 w/sf</v>
          </cell>
        </row>
        <row r="89">
          <cell r="C89" t="str">
            <v>Anchor</v>
          </cell>
          <cell r="E89" t="str">
            <v>Retail</v>
          </cell>
          <cell r="F89" t="str">
            <v>&gt; 50,000</v>
          </cell>
          <cell r="G89" t="str">
            <v>&gt;1</v>
          </cell>
        </row>
        <row r="90">
          <cell r="C90" t="str">
            <v>K-12</v>
          </cell>
          <cell r="E90" t="str">
            <v>School</v>
          </cell>
          <cell r="F90" t="str">
            <v>Any</v>
          </cell>
          <cell r="G90" t="str">
            <v>Any</v>
          </cell>
        </row>
        <row r="91">
          <cell r="C91" t="str">
            <v>University</v>
          </cell>
          <cell r="E91" t="str">
            <v>School</v>
          </cell>
          <cell r="F91" t="str">
            <v>Any</v>
          </cell>
          <cell r="G91" t="str">
            <v>Any</v>
          </cell>
        </row>
        <row r="92">
          <cell r="C92" t="str">
            <v>Warehouse</v>
          </cell>
          <cell r="E92" t="str">
            <v>Warehouse</v>
          </cell>
          <cell r="F92" t="str">
            <v>Any</v>
          </cell>
          <cell r="G92" t="str">
            <v>Any</v>
          </cell>
        </row>
        <row r="93">
          <cell r="C93" t="str">
            <v>Supermarket</v>
          </cell>
          <cell r="E93" t="str">
            <v>Retail Food</v>
          </cell>
          <cell r="F93" t="str">
            <v>&gt; 5000</v>
          </cell>
          <cell r="G93" t="str">
            <v>Any</v>
          </cell>
        </row>
        <row r="94">
          <cell r="C94" t="str">
            <v>MIniMart</v>
          </cell>
          <cell r="E94" t="str">
            <v>Retail Food</v>
          </cell>
          <cell r="F94" t="str">
            <v>&lt;= 5000</v>
          </cell>
          <cell r="G94" t="str">
            <v>Any</v>
          </cell>
        </row>
        <row r="95">
          <cell r="C95" t="str">
            <v>Restaurant</v>
          </cell>
          <cell r="E95" t="str">
            <v>Retail Food</v>
          </cell>
          <cell r="F95" t="str">
            <v>Any</v>
          </cell>
          <cell r="G95" t="str">
            <v>Any</v>
          </cell>
        </row>
        <row r="96">
          <cell r="C96" t="str">
            <v>Lodging</v>
          </cell>
          <cell r="E96" t="str">
            <v>Lodging</v>
          </cell>
          <cell r="F96" t="str">
            <v>Any</v>
          </cell>
          <cell r="G96" t="str">
            <v>Any</v>
          </cell>
        </row>
        <row r="97">
          <cell r="C97" t="str">
            <v>Hospital</v>
          </cell>
          <cell r="E97" t="str">
            <v>Health Care</v>
          </cell>
          <cell r="F97" t="str">
            <v>Any</v>
          </cell>
          <cell r="G97" t="str">
            <v>Any</v>
          </cell>
        </row>
        <row r="98">
          <cell r="C98" t="str">
            <v>OtherHealth</v>
          </cell>
          <cell r="E98" t="str">
            <v>Health Care</v>
          </cell>
          <cell r="F98" t="str">
            <v>Any</v>
          </cell>
          <cell r="G98" t="str">
            <v>Any</v>
          </cell>
        </row>
        <row r="99">
          <cell r="C99" t="str">
            <v>Other</v>
          </cell>
          <cell r="E99" t="str">
            <v>Other</v>
          </cell>
          <cell r="F99" t="str">
            <v>Any</v>
          </cell>
          <cell r="G99" t="str">
            <v>Any</v>
          </cell>
        </row>
      </sheetData>
      <sheetData sheetId="15">
        <row r="4">
          <cell r="C4" t="str">
            <v>PRE2002</v>
          </cell>
          <cell r="D4" t="str">
            <v>Com_Master_7P.xlsm!_PRE2002</v>
          </cell>
        </row>
        <row r="5">
          <cell r="C5" t="str">
            <v>PRE1987</v>
          </cell>
          <cell r="D5" t="str">
            <v>Com_Master_7P.xlsm!PRE1987</v>
          </cell>
        </row>
        <row r="6">
          <cell r="C6" t="str">
            <v>POST2002</v>
          </cell>
          <cell r="D6" t="str">
            <v>Com_Master_7P.xlsm!POST2002</v>
          </cell>
        </row>
        <row r="7">
          <cell r="C7" t="str">
            <v>V1987_2001</v>
          </cell>
          <cell r="D7" t="str">
            <v>Com_Master_7P.xlsm!V1987_2001</v>
          </cell>
        </row>
        <row r="8">
          <cell r="C8" t="str">
            <v>V1987_1994</v>
          </cell>
          <cell r="D8" t="str">
            <v>Com_Master_7P.xlsm!V1987_1994</v>
          </cell>
        </row>
        <row r="9">
          <cell r="C9" t="str">
            <v>V1995_2001</v>
          </cell>
          <cell r="D9" t="str">
            <v>Com_Master_7P.xlsm!V1995_2001</v>
          </cell>
        </row>
        <row r="10">
          <cell r="C10" t="str">
            <v>V2002_2006</v>
          </cell>
          <cell r="D10" t="str">
            <v>Com_Master_7P.xlsm!V2002_2006</v>
          </cell>
        </row>
        <row r="11">
          <cell r="C11" t="str">
            <v>POST2013</v>
          </cell>
          <cell r="D11" t="str">
            <v>Com_Master_7P.xlsm!POST2013</v>
          </cell>
        </row>
        <row r="12">
          <cell r="C12" t="str">
            <v>_PRE2013</v>
          </cell>
          <cell r="D12" t="str">
            <v>Com_Master_7P.xlsm!_PRE2013</v>
          </cell>
        </row>
      </sheetData>
      <sheetData sheetId="16">
        <row r="11">
          <cell r="B11" t="e">
            <v>#REF!</v>
          </cell>
          <cell r="C11" t="e">
            <v>#REF!</v>
          </cell>
          <cell r="D11" t="e">
            <v>#REF!</v>
          </cell>
          <cell r="E11" t="e">
            <v>#REF!</v>
          </cell>
          <cell r="F11" t="e">
            <v>#REF!</v>
          </cell>
          <cell r="G11" t="e">
            <v>#REF!</v>
          </cell>
          <cell r="H11" t="e">
            <v>#REF!</v>
          </cell>
          <cell r="I11" t="e">
            <v>#REF!</v>
          </cell>
          <cell r="J11" t="e">
            <v>#REF!</v>
          </cell>
          <cell r="K11" t="e">
            <v>#REF!</v>
          </cell>
          <cell r="L11" t="e">
            <v>#REF!</v>
          </cell>
          <cell r="M11" t="e">
            <v>#REF!</v>
          </cell>
          <cell r="N11" t="e">
            <v>#REF!</v>
          </cell>
          <cell r="O11" t="e">
            <v>#REF!</v>
          </cell>
          <cell r="P11" t="e">
            <v>#REF!</v>
          </cell>
          <cell r="Q11" t="e">
            <v>#REF!</v>
          </cell>
          <cell r="R11" t="e">
            <v>#REF!</v>
          </cell>
          <cell r="S11" t="e">
            <v>#REF!</v>
          </cell>
          <cell r="T11" t="e">
            <v>#REF!</v>
          </cell>
          <cell r="U11" t="e">
            <v>#REF!</v>
          </cell>
        </row>
        <row r="12">
          <cell r="B12" t="e">
            <v>#REF!</v>
          </cell>
          <cell r="C12" t="e">
            <v>#REF!</v>
          </cell>
          <cell r="D12" t="e">
            <v>#REF!</v>
          </cell>
          <cell r="E12" t="e">
            <v>#REF!</v>
          </cell>
          <cell r="F12" t="e">
            <v>#REF!</v>
          </cell>
          <cell r="G12" t="e">
            <v>#REF!</v>
          </cell>
          <cell r="H12" t="e">
            <v>#REF!</v>
          </cell>
          <cell r="I12" t="e">
            <v>#REF!</v>
          </cell>
          <cell r="J12" t="e">
            <v>#REF!</v>
          </cell>
          <cell r="K12" t="e">
            <v>#REF!</v>
          </cell>
          <cell r="L12" t="e">
            <v>#REF!</v>
          </cell>
          <cell r="M12" t="e">
            <v>#REF!</v>
          </cell>
          <cell r="N12" t="e">
            <v>#REF!</v>
          </cell>
          <cell r="O12" t="e">
            <v>#REF!</v>
          </cell>
          <cell r="P12" t="e">
            <v>#REF!</v>
          </cell>
          <cell r="Q12" t="e">
            <v>#REF!</v>
          </cell>
          <cell r="R12" t="e">
            <v>#REF!</v>
          </cell>
          <cell r="S12" t="e">
            <v>#REF!</v>
          </cell>
          <cell r="T12" t="e">
            <v>#REF!</v>
          </cell>
          <cell r="U12" t="e">
            <v>#REF!</v>
          </cell>
        </row>
        <row r="13">
          <cell r="B13" t="e">
            <v>#REF!</v>
          </cell>
          <cell r="C13" t="e">
            <v>#REF!</v>
          </cell>
          <cell r="D13" t="e">
            <v>#REF!</v>
          </cell>
          <cell r="E13" t="e">
            <v>#REF!</v>
          </cell>
          <cell r="F13" t="e">
            <v>#REF!</v>
          </cell>
          <cell r="G13" t="e">
            <v>#REF!</v>
          </cell>
          <cell r="H13" t="e">
            <v>#REF!</v>
          </cell>
          <cell r="I13" t="e">
            <v>#REF!</v>
          </cell>
          <cell r="J13" t="e">
            <v>#REF!</v>
          </cell>
          <cell r="K13" t="e">
            <v>#REF!</v>
          </cell>
          <cell r="L13" t="e">
            <v>#REF!</v>
          </cell>
          <cell r="M13" t="e">
            <v>#REF!</v>
          </cell>
          <cell r="N13" t="e">
            <v>#REF!</v>
          </cell>
          <cell r="O13" t="e">
            <v>#REF!</v>
          </cell>
          <cell r="P13" t="e">
            <v>#REF!</v>
          </cell>
          <cell r="Q13" t="e">
            <v>#REF!</v>
          </cell>
          <cell r="R13" t="e">
            <v>#REF!</v>
          </cell>
          <cell r="S13" t="e">
            <v>#REF!</v>
          </cell>
          <cell r="T13" t="e">
            <v>#REF!</v>
          </cell>
          <cell r="U13" t="e">
            <v>#REF!</v>
          </cell>
        </row>
        <row r="14">
          <cell r="B14" t="e">
            <v>#REF!</v>
          </cell>
          <cell r="C14" t="e">
            <v>#REF!</v>
          </cell>
          <cell r="F14" t="e">
            <v>#REF!</v>
          </cell>
          <cell r="J14" t="e">
            <v>#REF!</v>
          </cell>
          <cell r="L14" t="e">
            <v>#REF!</v>
          </cell>
          <cell r="M14" t="e">
            <v>#REF!</v>
          </cell>
          <cell r="O14" t="e">
            <v>#REF!</v>
          </cell>
          <cell r="P14" t="e">
            <v>#REF!</v>
          </cell>
          <cell r="Q14" t="e">
            <v>#REF!</v>
          </cell>
          <cell r="S14" t="e">
            <v>#REF!</v>
          </cell>
          <cell r="T14" t="e">
            <v>#REF!</v>
          </cell>
          <cell r="U14" t="e">
            <v>#REF!</v>
          </cell>
        </row>
        <row r="15">
          <cell r="B15" t="e">
            <v>#REF!</v>
          </cell>
          <cell r="C15" t="e">
            <v>#REF!</v>
          </cell>
          <cell r="D15" t="e">
            <v>#REF!</v>
          </cell>
          <cell r="E15" t="e">
            <v>#REF!</v>
          </cell>
          <cell r="F15" t="e">
            <v>#REF!</v>
          </cell>
          <cell r="G15" t="e">
            <v>#REF!</v>
          </cell>
          <cell r="H15" t="e">
            <v>#REF!</v>
          </cell>
          <cell r="I15" t="e">
            <v>#REF!</v>
          </cell>
          <cell r="J15" t="e">
            <v>#REF!</v>
          </cell>
          <cell r="K15" t="e">
            <v>#REF!</v>
          </cell>
          <cell r="L15" t="e">
            <v>#REF!</v>
          </cell>
          <cell r="M15" t="e">
            <v>#REF!</v>
          </cell>
          <cell r="N15" t="e">
            <v>#REF!</v>
          </cell>
          <cell r="O15" t="e">
            <v>#REF!</v>
          </cell>
          <cell r="P15" t="e">
            <v>#REF!</v>
          </cell>
          <cell r="Q15" t="e">
            <v>#REF!</v>
          </cell>
          <cell r="R15" t="e">
            <v>#REF!</v>
          </cell>
          <cell r="S15" t="e">
            <v>#REF!</v>
          </cell>
          <cell r="T15" t="e">
            <v>#REF!</v>
          </cell>
          <cell r="U15" t="e">
            <v>#REF!</v>
          </cell>
        </row>
        <row r="16">
          <cell r="B16" t="e">
            <v>#REF!</v>
          </cell>
          <cell r="C16" t="e">
            <v>#REF!</v>
          </cell>
          <cell r="F16" t="e">
            <v>#REF!</v>
          </cell>
          <cell r="J16" t="e">
            <v>#REF!</v>
          </cell>
          <cell r="L16" t="e">
            <v>#REF!</v>
          </cell>
          <cell r="M16" t="e">
            <v>#REF!</v>
          </cell>
          <cell r="O16" t="e">
            <v>#REF!</v>
          </cell>
          <cell r="P16" t="e">
            <v>#REF!</v>
          </cell>
          <cell r="Q16" t="e">
            <v>#REF!</v>
          </cell>
          <cell r="S16" t="e">
            <v>#REF!</v>
          </cell>
          <cell r="T16" t="e">
            <v>#REF!</v>
          </cell>
          <cell r="U16" t="e">
            <v>#REF!</v>
          </cell>
        </row>
        <row r="18">
          <cell r="C18" t="e">
            <v>#REF!</v>
          </cell>
          <cell r="D18" t="e">
            <v>#REF!</v>
          </cell>
          <cell r="E18" t="e">
            <v>#REF!</v>
          </cell>
          <cell r="F18" t="e">
            <v>#REF!</v>
          </cell>
          <cell r="G18" t="e">
            <v>#REF!</v>
          </cell>
          <cell r="H18" t="e">
            <v>#REF!</v>
          </cell>
          <cell r="I18" t="e">
            <v>#REF!</v>
          </cell>
          <cell r="J18" t="e">
            <v>#REF!</v>
          </cell>
          <cell r="K18" t="e">
            <v>#REF!</v>
          </cell>
          <cell r="L18" t="e">
            <v>#REF!</v>
          </cell>
          <cell r="M18" t="e">
            <v>#REF!</v>
          </cell>
          <cell r="N18" t="e">
            <v>#REF!</v>
          </cell>
          <cell r="O18" t="e">
            <v>#REF!</v>
          </cell>
          <cell r="P18" t="e">
            <v>#REF!</v>
          </cell>
          <cell r="Q18" t="e">
            <v>#REF!</v>
          </cell>
          <cell r="R18" t="e">
            <v>#REF!</v>
          </cell>
          <cell r="S18" t="e">
            <v>#REF!</v>
          </cell>
          <cell r="T18" t="e">
            <v>#REF!</v>
          </cell>
        </row>
        <row r="19">
          <cell r="B19" t="str">
            <v>E_EUITYP</v>
          </cell>
          <cell r="C19" t="e">
            <v>#REF!</v>
          </cell>
          <cell r="D19" t="e">
            <v>#REF!</v>
          </cell>
          <cell r="E19" t="e">
            <v>#REF!</v>
          </cell>
          <cell r="F19" t="e">
            <v>#REF!</v>
          </cell>
          <cell r="G19" t="e">
            <v>#REF!</v>
          </cell>
          <cell r="H19" t="e">
            <v>#REF!</v>
          </cell>
          <cell r="I19" t="e">
            <v>#REF!</v>
          </cell>
          <cell r="J19" t="e">
            <v>#REF!</v>
          </cell>
          <cell r="K19" t="e">
            <v>#REF!</v>
          </cell>
          <cell r="L19" t="e">
            <v>#REF!</v>
          </cell>
          <cell r="M19" t="e">
            <v>#REF!</v>
          </cell>
          <cell r="N19" t="e">
            <v>#REF!</v>
          </cell>
          <cell r="O19" t="e">
            <v>#REF!</v>
          </cell>
          <cell r="P19" t="e">
            <v>#REF!</v>
          </cell>
          <cell r="Q19" t="e">
            <v>#REF!</v>
          </cell>
          <cell r="R19" t="e">
            <v>#REF!</v>
          </cell>
          <cell r="S19" t="e">
            <v>#REF!</v>
          </cell>
          <cell r="T19" t="e">
            <v>#REF!</v>
          </cell>
        </row>
        <row r="20">
          <cell r="B20" t="str">
            <v>E_EUIREG</v>
          </cell>
          <cell r="C20" t="e">
            <v>#REF!</v>
          </cell>
          <cell r="F20" t="e">
            <v>#REF!</v>
          </cell>
          <cell r="J20" t="e">
            <v>#REF!</v>
          </cell>
          <cell r="L20" t="e">
            <v>#REF!</v>
          </cell>
          <cell r="M20" t="e">
            <v>#REF!</v>
          </cell>
          <cell r="O20" t="e">
            <v>#REF!</v>
          </cell>
          <cell r="P20" t="e">
            <v>#REF!</v>
          </cell>
          <cell r="Q20" t="e">
            <v>#REF!</v>
          </cell>
          <cell r="S20" t="e">
            <v>#REF!</v>
          </cell>
          <cell r="T20" t="e">
            <v>#REF!</v>
          </cell>
        </row>
        <row r="22">
          <cell r="B22" t="str">
            <v>ElecHtEUITYPHeat</v>
          </cell>
          <cell r="C22">
            <v>2</v>
          </cell>
          <cell r="D22">
            <v>2</v>
          </cell>
          <cell r="E22">
            <v>2</v>
          </cell>
          <cell r="F22">
            <v>2</v>
          </cell>
          <cell r="G22">
            <v>2.2000000000000002</v>
          </cell>
          <cell r="H22">
            <v>3</v>
          </cell>
          <cell r="I22">
            <v>3</v>
          </cell>
          <cell r="J22">
            <v>3</v>
          </cell>
          <cell r="K22">
            <v>4</v>
          </cell>
          <cell r="L22">
            <v>2</v>
          </cell>
          <cell r="M22">
            <v>5</v>
          </cell>
          <cell r="N22">
            <v>4</v>
          </cell>
          <cell r="O22">
            <v>4</v>
          </cell>
          <cell r="P22">
            <v>4</v>
          </cell>
          <cell r="Q22">
            <v>6</v>
          </cell>
          <cell r="R22">
            <v>5</v>
          </cell>
          <cell r="S22">
            <v>4</v>
          </cell>
          <cell r="T22">
            <v>4</v>
          </cell>
        </row>
        <row r="23">
          <cell r="B23" t="str">
            <v>GasHtEUITYPHeat</v>
          </cell>
          <cell r="C23">
            <v>0.1</v>
          </cell>
          <cell r="D23">
            <v>0.1</v>
          </cell>
          <cell r="E23">
            <v>0.1</v>
          </cell>
          <cell r="F23">
            <v>0.1</v>
          </cell>
          <cell r="G23">
            <v>0.1</v>
          </cell>
          <cell r="H23">
            <v>0.1</v>
          </cell>
          <cell r="I23">
            <v>0.1</v>
          </cell>
          <cell r="J23">
            <v>0.1</v>
          </cell>
          <cell r="K23">
            <v>0.1</v>
          </cell>
          <cell r="L23">
            <v>0.1</v>
          </cell>
          <cell r="M23">
            <v>0.1</v>
          </cell>
          <cell r="N23">
            <v>0.1</v>
          </cell>
          <cell r="O23">
            <v>0.1</v>
          </cell>
          <cell r="P23">
            <v>0.1</v>
          </cell>
          <cell r="Q23">
            <v>0.2</v>
          </cell>
          <cell r="R23">
            <v>0.1</v>
          </cell>
          <cell r="S23">
            <v>0.1</v>
          </cell>
          <cell r="T23">
            <v>0.1</v>
          </cell>
        </row>
        <row r="24">
          <cell r="B24" t="str">
            <v>HtPmpHtEUITYPHeat</v>
          </cell>
          <cell r="C24">
            <v>1</v>
          </cell>
          <cell r="D24">
            <v>1</v>
          </cell>
          <cell r="E24">
            <v>1</v>
          </cell>
          <cell r="F24">
            <v>1</v>
          </cell>
          <cell r="G24">
            <v>1.1000000000000001</v>
          </cell>
          <cell r="H24">
            <v>1.5</v>
          </cell>
          <cell r="I24">
            <v>1.5</v>
          </cell>
          <cell r="J24">
            <v>1.5</v>
          </cell>
          <cell r="K24">
            <v>2</v>
          </cell>
          <cell r="L24">
            <v>1</v>
          </cell>
          <cell r="M24">
            <v>2.5</v>
          </cell>
          <cell r="N24">
            <v>2</v>
          </cell>
          <cell r="O24">
            <v>2</v>
          </cell>
          <cell r="P24">
            <v>2</v>
          </cell>
          <cell r="Q24">
            <v>3</v>
          </cell>
          <cell r="R24">
            <v>2.5</v>
          </cell>
          <cell r="S24">
            <v>2</v>
          </cell>
          <cell r="T24">
            <v>2</v>
          </cell>
        </row>
        <row r="25">
          <cell r="B25" t="str">
            <v>ThermsTYPHeat</v>
          </cell>
          <cell r="C25">
            <v>0.27</v>
          </cell>
          <cell r="D25">
            <v>0.27</v>
          </cell>
          <cell r="E25">
            <v>0.27</v>
          </cell>
          <cell r="F25">
            <v>0.28999999999999998</v>
          </cell>
          <cell r="G25">
            <v>0.28999999999999998</v>
          </cell>
          <cell r="H25">
            <v>0.28999999999999998</v>
          </cell>
          <cell r="I25">
            <v>0.28999999999999998</v>
          </cell>
          <cell r="J25">
            <v>0.28999999999999998</v>
          </cell>
          <cell r="K25">
            <v>0.28999999999999998</v>
          </cell>
          <cell r="L25">
            <v>0.17</v>
          </cell>
          <cell r="M25">
            <v>0.5</v>
          </cell>
          <cell r="N25">
            <v>0.5</v>
          </cell>
          <cell r="O25">
            <v>0.5</v>
          </cell>
          <cell r="P25">
            <v>0.3</v>
          </cell>
          <cell r="Q25">
            <v>0.5</v>
          </cell>
          <cell r="R25">
            <v>0.5</v>
          </cell>
          <cell r="S25">
            <v>0.4</v>
          </cell>
          <cell r="T25">
            <v>0.6</v>
          </cell>
        </row>
        <row r="27">
          <cell r="B27" t="str">
            <v>EUITYPCool</v>
          </cell>
          <cell r="C27">
            <v>2.5</v>
          </cell>
          <cell r="D27">
            <v>1.8</v>
          </cell>
          <cell r="E27">
            <v>1</v>
          </cell>
          <cell r="F27">
            <v>1.2</v>
          </cell>
          <cell r="G27">
            <v>2.5</v>
          </cell>
          <cell r="H27">
            <v>3.5</v>
          </cell>
          <cell r="I27">
            <v>4</v>
          </cell>
          <cell r="J27">
            <v>0.7</v>
          </cell>
          <cell r="K27">
            <v>3</v>
          </cell>
          <cell r="L27">
            <v>0.5</v>
          </cell>
          <cell r="M27">
            <v>4</v>
          </cell>
          <cell r="N27">
            <v>6</v>
          </cell>
          <cell r="O27">
            <v>5</v>
          </cell>
          <cell r="P27">
            <v>2.5</v>
          </cell>
          <cell r="Q27">
            <v>2</v>
          </cell>
          <cell r="R27">
            <v>3</v>
          </cell>
          <cell r="S27">
            <v>2.5</v>
          </cell>
          <cell r="T27">
            <v>2.5</v>
          </cell>
        </row>
        <row r="28">
          <cell r="B28" t="str">
            <v>EUITYPVent</v>
          </cell>
          <cell r="C28" t="e">
            <v>#REF!</v>
          </cell>
          <cell r="D28" t="e">
            <v>#REF!</v>
          </cell>
          <cell r="E28" t="e">
            <v>#REF!</v>
          </cell>
          <cell r="F28" t="e">
            <v>#REF!</v>
          </cell>
          <cell r="G28">
            <v>2</v>
          </cell>
          <cell r="H28">
            <v>2.8</v>
          </cell>
          <cell r="I28">
            <v>2.6</v>
          </cell>
          <cell r="J28">
            <v>2.2999999999999998</v>
          </cell>
          <cell r="K28">
            <v>2</v>
          </cell>
          <cell r="L28">
            <v>0.5</v>
          </cell>
          <cell r="M28">
            <v>3.5</v>
          </cell>
          <cell r="N28">
            <v>4</v>
          </cell>
          <cell r="O28">
            <v>5</v>
          </cell>
          <cell r="P28">
            <v>2.5</v>
          </cell>
          <cell r="Q28">
            <v>7</v>
          </cell>
          <cell r="R28">
            <v>4.7</v>
          </cell>
          <cell r="S28">
            <v>2</v>
          </cell>
          <cell r="T28">
            <v>2</v>
          </cell>
        </row>
        <row r="29">
          <cell r="B29" t="str">
            <v>EUITYPWater</v>
          </cell>
          <cell r="C29">
            <v>0.5</v>
          </cell>
          <cell r="D29">
            <v>0.5</v>
          </cell>
          <cell r="E29">
            <v>0.5</v>
          </cell>
          <cell r="F29">
            <v>0.1</v>
          </cell>
          <cell r="G29">
            <v>0.1</v>
          </cell>
          <cell r="H29">
            <v>0.1</v>
          </cell>
          <cell r="I29">
            <v>0.1</v>
          </cell>
          <cell r="J29">
            <v>0.1</v>
          </cell>
          <cell r="K29">
            <v>1</v>
          </cell>
          <cell r="L29">
            <v>0.1</v>
          </cell>
          <cell r="M29">
            <v>1</v>
          </cell>
          <cell r="N29">
            <v>1</v>
          </cell>
          <cell r="O29">
            <v>1</v>
          </cell>
          <cell r="P29">
            <v>1</v>
          </cell>
          <cell r="Q29">
            <v>0.7</v>
          </cell>
          <cell r="R29">
            <v>0.5</v>
          </cell>
          <cell r="S29">
            <v>0.1</v>
          </cell>
          <cell r="T29">
            <v>0.1</v>
          </cell>
        </row>
        <row r="30">
          <cell r="B30" t="str">
            <v>EUITYPCook</v>
          </cell>
          <cell r="C30">
            <v>0.2</v>
          </cell>
          <cell r="D30">
            <v>0.1</v>
          </cell>
          <cell r="E30">
            <v>0</v>
          </cell>
          <cell r="F30">
            <v>1</v>
          </cell>
          <cell r="G30">
            <v>0.2</v>
          </cell>
          <cell r="H30">
            <v>0</v>
          </cell>
          <cell r="I30">
            <v>0</v>
          </cell>
          <cell r="J30">
            <v>0.5</v>
          </cell>
          <cell r="K30">
            <v>1</v>
          </cell>
          <cell r="L30">
            <v>0</v>
          </cell>
          <cell r="M30">
            <v>4</v>
          </cell>
          <cell r="N30">
            <v>8</v>
          </cell>
          <cell r="O30">
            <v>10</v>
          </cell>
          <cell r="P30">
            <v>1.5</v>
          </cell>
          <cell r="Q30">
            <v>0.7</v>
          </cell>
          <cell r="R30">
            <v>0</v>
          </cell>
          <cell r="S30">
            <v>0.1</v>
          </cell>
          <cell r="T30">
            <v>0.1</v>
          </cell>
        </row>
        <row r="31">
          <cell r="B31" t="str">
            <v>EUITYPRefr</v>
          </cell>
          <cell r="C31">
            <v>0.03</v>
          </cell>
          <cell r="D31">
            <v>0.03</v>
          </cell>
          <cell r="E31">
            <v>0.03</v>
          </cell>
          <cell r="F31">
            <v>15</v>
          </cell>
          <cell r="G31">
            <v>0.2</v>
          </cell>
          <cell r="H31">
            <v>0.03</v>
          </cell>
          <cell r="I31">
            <v>0.03</v>
          </cell>
          <cell r="J31">
            <v>0.5</v>
          </cell>
          <cell r="K31">
            <v>1</v>
          </cell>
          <cell r="L31">
            <v>0.03</v>
          </cell>
          <cell r="M31">
            <v>26</v>
          </cell>
          <cell r="N31">
            <v>36</v>
          </cell>
          <cell r="O31">
            <v>11</v>
          </cell>
          <cell r="P31">
            <v>1.5</v>
          </cell>
          <cell r="Q31">
            <v>1</v>
          </cell>
          <cell r="R31">
            <v>0.5</v>
          </cell>
          <cell r="S31">
            <v>2</v>
          </cell>
          <cell r="T31">
            <v>2</v>
          </cell>
        </row>
        <row r="32">
          <cell r="B32" t="str">
            <v>EUITYPLght</v>
          </cell>
          <cell r="C32" t="e">
            <v>#REF!</v>
          </cell>
          <cell r="D32" t="e">
            <v>#REF!</v>
          </cell>
          <cell r="E32" t="e">
            <v>#REF!</v>
          </cell>
          <cell r="F32" t="e">
            <v>#REF!</v>
          </cell>
          <cell r="G32" t="e">
            <v>#REF!</v>
          </cell>
          <cell r="H32" t="e">
            <v>#REF!</v>
          </cell>
          <cell r="I32" t="e">
            <v>#REF!</v>
          </cell>
          <cell r="J32" t="e">
            <v>#REF!</v>
          </cell>
          <cell r="K32" t="e">
            <v>#REF!</v>
          </cell>
          <cell r="L32" t="e">
            <v>#REF!</v>
          </cell>
          <cell r="M32" t="e">
            <v>#REF!</v>
          </cell>
          <cell r="N32" t="e">
            <v>#REF!</v>
          </cell>
          <cell r="O32" t="e">
            <v>#REF!</v>
          </cell>
          <cell r="P32" t="e">
            <v>#REF!</v>
          </cell>
          <cell r="Q32" t="e">
            <v>#REF!</v>
          </cell>
          <cell r="R32" t="e">
            <v>#REF!</v>
          </cell>
          <cell r="S32" t="e">
            <v>#REF!</v>
          </cell>
          <cell r="T32" t="e">
            <v>#REF!</v>
          </cell>
        </row>
        <row r="33">
          <cell r="B33" t="str">
            <v>EUITYPMisc</v>
          </cell>
          <cell r="C33">
            <v>5</v>
          </cell>
          <cell r="D33">
            <v>5</v>
          </cell>
          <cell r="E33">
            <v>4</v>
          </cell>
          <cell r="F33">
            <v>4</v>
          </cell>
          <cell r="G33">
            <v>2</v>
          </cell>
          <cell r="H33">
            <v>2</v>
          </cell>
          <cell r="I33">
            <v>2</v>
          </cell>
          <cell r="J33">
            <v>1</v>
          </cell>
          <cell r="K33">
            <v>6</v>
          </cell>
          <cell r="L33">
            <v>1.2</v>
          </cell>
          <cell r="M33">
            <v>2</v>
          </cell>
          <cell r="N33">
            <v>3</v>
          </cell>
          <cell r="O33">
            <v>3</v>
          </cell>
          <cell r="P33">
            <v>3.5</v>
          </cell>
          <cell r="Q33">
            <v>6</v>
          </cell>
          <cell r="R33">
            <v>3</v>
          </cell>
          <cell r="S33">
            <v>5</v>
          </cell>
          <cell r="T33">
            <v>5</v>
          </cell>
        </row>
        <row r="35">
          <cell r="B35" t="str">
            <v>ElecHtEUITYPTotal</v>
          </cell>
          <cell r="C35" t="e">
            <v>#REF!</v>
          </cell>
          <cell r="D35" t="e">
            <v>#REF!</v>
          </cell>
          <cell r="E35" t="e">
            <v>#REF!</v>
          </cell>
          <cell r="F35" t="e">
            <v>#REF!</v>
          </cell>
          <cell r="G35" t="e">
            <v>#REF!</v>
          </cell>
          <cell r="H35" t="e">
            <v>#REF!</v>
          </cell>
          <cell r="I35" t="e">
            <v>#REF!</v>
          </cell>
          <cell r="J35" t="e">
            <v>#REF!</v>
          </cell>
          <cell r="K35" t="e">
            <v>#REF!</v>
          </cell>
          <cell r="L35" t="e">
            <v>#REF!</v>
          </cell>
          <cell r="M35" t="e">
            <v>#REF!</v>
          </cell>
          <cell r="N35" t="e">
            <v>#REF!</v>
          </cell>
          <cell r="O35" t="e">
            <v>#REF!</v>
          </cell>
          <cell r="P35" t="e">
            <v>#REF!</v>
          </cell>
          <cell r="Q35" t="e">
            <v>#REF!</v>
          </cell>
          <cell r="R35" t="e">
            <v>#REF!</v>
          </cell>
          <cell r="S35" t="e">
            <v>#REF!</v>
          </cell>
          <cell r="T35" t="e">
            <v>#REF!</v>
          </cell>
        </row>
        <row r="36">
          <cell r="B36" t="str">
            <v>GasHtEUITYPTotal</v>
          </cell>
          <cell r="C36" t="e">
            <v>#REF!</v>
          </cell>
          <cell r="D36" t="e">
            <v>#REF!</v>
          </cell>
          <cell r="E36" t="e">
            <v>#REF!</v>
          </cell>
          <cell r="F36" t="e">
            <v>#REF!</v>
          </cell>
          <cell r="G36" t="e">
            <v>#REF!</v>
          </cell>
          <cell r="H36" t="e">
            <v>#REF!</v>
          </cell>
          <cell r="I36" t="e">
            <v>#REF!</v>
          </cell>
          <cell r="J36" t="e">
            <v>#REF!</v>
          </cell>
          <cell r="K36" t="e">
            <v>#REF!</v>
          </cell>
          <cell r="L36" t="e">
            <v>#REF!</v>
          </cell>
          <cell r="M36" t="e">
            <v>#REF!</v>
          </cell>
          <cell r="N36" t="e">
            <v>#REF!</v>
          </cell>
          <cell r="O36" t="e">
            <v>#REF!</v>
          </cell>
          <cell r="P36" t="e">
            <v>#REF!</v>
          </cell>
          <cell r="Q36" t="e">
            <v>#REF!</v>
          </cell>
          <cell r="R36" t="e">
            <v>#REF!</v>
          </cell>
          <cell r="S36" t="e">
            <v>#REF!</v>
          </cell>
          <cell r="T36" t="e">
            <v>#REF!</v>
          </cell>
        </row>
        <row r="37">
          <cell r="B37" t="str">
            <v>HtPmpHtEUITYPTotal</v>
          </cell>
          <cell r="C37" t="e">
            <v>#REF!</v>
          </cell>
          <cell r="D37" t="e">
            <v>#REF!</v>
          </cell>
          <cell r="E37" t="e">
            <v>#REF!</v>
          </cell>
          <cell r="F37" t="e">
            <v>#REF!</v>
          </cell>
          <cell r="G37" t="e">
            <v>#REF!</v>
          </cell>
          <cell r="H37" t="e">
            <v>#REF!</v>
          </cell>
          <cell r="I37" t="e">
            <v>#REF!</v>
          </cell>
          <cell r="J37" t="e">
            <v>#REF!</v>
          </cell>
          <cell r="K37" t="e">
            <v>#REF!</v>
          </cell>
          <cell r="L37" t="e">
            <v>#REF!</v>
          </cell>
          <cell r="M37" t="e">
            <v>#REF!</v>
          </cell>
          <cell r="N37" t="e">
            <v>#REF!</v>
          </cell>
          <cell r="O37" t="e">
            <v>#REF!</v>
          </cell>
          <cell r="P37" t="e">
            <v>#REF!</v>
          </cell>
          <cell r="Q37" t="e">
            <v>#REF!</v>
          </cell>
          <cell r="R37" t="e">
            <v>#REF!</v>
          </cell>
          <cell r="S37" t="e">
            <v>#REF!</v>
          </cell>
          <cell r="T37" t="e">
            <v>#REF!</v>
          </cell>
        </row>
        <row r="38">
          <cell r="C38" t="e">
            <v>#REF!</v>
          </cell>
          <cell r="D38" t="e">
            <v>#REF!</v>
          </cell>
          <cell r="E38" t="e">
            <v>#REF!</v>
          </cell>
          <cell r="F38" t="e">
            <v>#REF!</v>
          </cell>
          <cell r="G38" t="e">
            <v>#REF!</v>
          </cell>
          <cell r="H38" t="e">
            <v>#REF!</v>
          </cell>
          <cell r="I38" t="e">
            <v>#REF!</v>
          </cell>
          <cell r="J38" t="e">
            <v>#REF!</v>
          </cell>
          <cell r="K38" t="e">
            <v>#REF!</v>
          </cell>
          <cell r="L38" t="e">
            <v>#REF!</v>
          </cell>
          <cell r="M38" t="e">
            <v>#REF!</v>
          </cell>
          <cell r="N38" t="e">
            <v>#REF!</v>
          </cell>
          <cell r="O38" t="e">
            <v>#REF!</v>
          </cell>
          <cell r="P38" t="e">
            <v>#REF!</v>
          </cell>
          <cell r="Q38" t="e">
            <v>#REF!</v>
          </cell>
          <cell r="R38" t="e">
            <v>#REF!</v>
          </cell>
          <cell r="S38" t="e">
            <v>#REF!</v>
          </cell>
          <cell r="T38" t="e">
            <v>#REF!</v>
          </cell>
        </row>
        <row r="39">
          <cell r="B39" t="str">
            <v>EUITYP Space Heat Weigheted Elec EUI by Type</v>
          </cell>
          <cell r="C39" t="e">
            <v>#REF!</v>
          </cell>
          <cell r="D39" t="e">
            <v>#REF!</v>
          </cell>
          <cell r="E39" t="e">
            <v>#REF!</v>
          </cell>
          <cell r="F39" t="e">
            <v>#REF!</v>
          </cell>
          <cell r="G39" t="e">
            <v>#REF!</v>
          </cell>
          <cell r="H39" t="e">
            <v>#REF!</v>
          </cell>
          <cell r="I39" t="e">
            <v>#REF!</v>
          </cell>
          <cell r="J39" t="e">
            <v>#REF!</v>
          </cell>
          <cell r="K39" t="e">
            <v>#REF!</v>
          </cell>
          <cell r="L39" t="e">
            <v>#REF!</v>
          </cell>
          <cell r="M39" t="e">
            <v>#REF!</v>
          </cell>
          <cell r="N39" t="e">
            <v>#REF!</v>
          </cell>
          <cell r="O39" t="e">
            <v>#REF!</v>
          </cell>
          <cell r="P39" t="e">
            <v>#REF!</v>
          </cell>
          <cell r="Q39" t="e">
            <v>#REF!</v>
          </cell>
          <cell r="R39" t="e">
            <v>#REF!</v>
          </cell>
          <cell r="S39" t="e">
            <v>#REF!</v>
          </cell>
          <cell r="T39" t="e">
            <v>#REF!</v>
          </cell>
        </row>
        <row r="41">
          <cell r="B41" t="str">
            <v>LPD</v>
          </cell>
          <cell r="C41">
            <v>1.1000000000000001</v>
          </cell>
          <cell r="D41">
            <v>1.3</v>
          </cell>
          <cell r="E41">
            <v>1.6</v>
          </cell>
          <cell r="F41">
            <v>1.5</v>
          </cell>
          <cell r="G41">
            <v>1.5</v>
          </cell>
          <cell r="H41">
            <v>2</v>
          </cell>
          <cell r="I41">
            <v>1.5</v>
          </cell>
          <cell r="J41">
            <v>1.1000000000000001</v>
          </cell>
          <cell r="K41">
            <v>1.2</v>
          </cell>
          <cell r="L41">
            <v>0.9</v>
          </cell>
          <cell r="M41">
            <v>1.6</v>
          </cell>
          <cell r="N41">
            <v>1.4</v>
          </cell>
          <cell r="O41">
            <v>1.3</v>
          </cell>
          <cell r="P41">
            <v>1.4</v>
          </cell>
          <cell r="Q41">
            <v>1.2</v>
          </cell>
          <cell r="R41">
            <v>1.3</v>
          </cell>
          <cell r="S41">
            <v>1</v>
          </cell>
          <cell r="T41">
            <v>1</v>
          </cell>
        </row>
        <row r="42">
          <cell r="B42" t="str">
            <v>HOURSLght</v>
          </cell>
          <cell r="C42" t="e">
            <v>#REF!</v>
          </cell>
          <cell r="D42" t="e">
            <v>#REF!</v>
          </cell>
          <cell r="E42" t="e">
            <v>#REF!</v>
          </cell>
          <cell r="F42" t="e">
            <v>#REF!</v>
          </cell>
          <cell r="G42" t="e">
            <v>#REF!</v>
          </cell>
          <cell r="H42" t="e">
            <v>#REF!</v>
          </cell>
          <cell r="I42" t="e">
            <v>#REF!</v>
          </cell>
          <cell r="J42" t="e">
            <v>#REF!</v>
          </cell>
          <cell r="K42" t="e">
            <v>#REF!</v>
          </cell>
          <cell r="L42" t="e">
            <v>#REF!</v>
          </cell>
          <cell r="M42" t="e">
            <v>#REF!</v>
          </cell>
          <cell r="N42" t="e">
            <v>#REF!</v>
          </cell>
          <cell r="O42" t="e">
            <v>#REF!</v>
          </cell>
          <cell r="P42" t="e">
            <v>#REF!</v>
          </cell>
          <cell r="Q42" t="e">
            <v>#REF!</v>
          </cell>
          <cell r="R42" t="e">
            <v>#REF!</v>
          </cell>
          <cell r="S42" t="e">
            <v>#REF!</v>
          </cell>
          <cell r="T42" t="e">
            <v>#REF!</v>
          </cell>
        </row>
        <row r="43">
          <cell r="B43" t="str">
            <v>LPDAdjust</v>
          </cell>
          <cell r="C43" t="e">
            <v>#REF!</v>
          </cell>
          <cell r="D43" t="e">
            <v>#REF!</v>
          </cell>
          <cell r="E43" t="e">
            <v>#REF!</v>
          </cell>
          <cell r="F43" t="e">
            <v>#REF!</v>
          </cell>
          <cell r="G43" t="e">
            <v>#REF!</v>
          </cell>
          <cell r="H43" t="e">
            <v>#REF!</v>
          </cell>
          <cell r="I43" t="e">
            <v>#REF!</v>
          </cell>
          <cell r="J43" t="e">
            <v>#REF!</v>
          </cell>
          <cell r="K43" t="e">
            <v>#REF!</v>
          </cell>
          <cell r="L43" t="e">
            <v>#REF!</v>
          </cell>
          <cell r="M43" t="e">
            <v>#REF!</v>
          </cell>
          <cell r="N43" t="e">
            <v>#REF!</v>
          </cell>
          <cell r="O43" t="e">
            <v>#REF!</v>
          </cell>
          <cell r="P43" t="e">
            <v>#REF!</v>
          </cell>
          <cell r="Q43" t="e">
            <v>#REF!</v>
          </cell>
          <cell r="R43" t="e">
            <v>#REF!</v>
          </cell>
          <cell r="S43" t="e">
            <v>#REF!</v>
          </cell>
          <cell r="T43" t="e">
            <v>#REF!</v>
          </cell>
        </row>
        <row r="44">
          <cell r="B44" t="str">
            <v>KWHLght</v>
          </cell>
          <cell r="C44" t="e">
            <v>#REF!</v>
          </cell>
          <cell r="D44" t="e">
            <v>#REF!</v>
          </cell>
          <cell r="E44" t="e">
            <v>#REF!</v>
          </cell>
          <cell r="F44" t="e">
            <v>#REF!</v>
          </cell>
          <cell r="G44" t="e">
            <v>#REF!</v>
          </cell>
          <cell r="H44" t="e">
            <v>#REF!</v>
          </cell>
          <cell r="I44" t="e">
            <v>#REF!</v>
          </cell>
          <cell r="J44" t="e">
            <v>#REF!</v>
          </cell>
          <cell r="K44" t="e">
            <v>#REF!</v>
          </cell>
          <cell r="L44" t="e">
            <v>#REF!</v>
          </cell>
          <cell r="M44" t="e">
            <v>#REF!</v>
          </cell>
          <cell r="N44" t="e">
            <v>#REF!</v>
          </cell>
          <cell r="O44" t="e">
            <v>#REF!</v>
          </cell>
          <cell r="P44" t="e">
            <v>#REF!</v>
          </cell>
          <cell r="Q44" t="e">
            <v>#REF!</v>
          </cell>
          <cell r="R44" t="e">
            <v>#REF!</v>
          </cell>
          <cell r="S44" t="e">
            <v>#REF!</v>
          </cell>
          <cell r="T44" t="e">
            <v>#REF!</v>
          </cell>
        </row>
        <row r="46">
          <cell r="B46" t="str">
            <v>VPD</v>
          </cell>
          <cell r="C46">
            <v>0.6</v>
          </cell>
          <cell r="D46">
            <v>0.6</v>
          </cell>
          <cell r="E46">
            <v>0.6</v>
          </cell>
          <cell r="F46">
            <v>0.6</v>
          </cell>
          <cell r="G46">
            <v>0.6</v>
          </cell>
          <cell r="H46">
            <v>0.6</v>
          </cell>
          <cell r="I46">
            <v>0.6</v>
          </cell>
          <cell r="J46">
            <v>0.8</v>
          </cell>
          <cell r="K46">
            <v>0.6</v>
          </cell>
          <cell r="L46">
            <v>0.6</v>
          </cell>
          <cell r="M46">
            <v>1.8</v>
          </cell>
          <cell r="N46">
            <v>1.6</v>
          </cell>
          <cell r="O46">
            <v>2.6</v>
          </cell>
          <cell r="P46">
            <v>1.3</v>
          </cell>
          <cell r="Q46">
            <v>1.3</v>
          </cell>
          <cell r="R46">
            <v>1.3</v>
          </cell>
          <cell r="S46">
            <v>1.3</v>
          </cell>
          <cell r="T46">
            <v>1.3</v>
          </cell>
        </row>
        <row r="47">
          <cell r="B47" t="str">
            <v>KWHVent</v>
          </cell>
          <cell r="C47" t="e">
            <v>#REF!</v>
          </cell>
          <cell r="D47" t="e">
            <v>#REF!</v>
          </cell>
          <cell r="E47" t="e">
            <v>#REF!</v>
          </cell>
          <cell r="F47" t="e">
            <v>#REF!</v>
          </cell>
          <cell r="G47" t="e">
            <v>#REF!</v>
          </cell>
          <cell r="H47" t="e">
            <v>#REF!</v>
          </cell>
          <cell r="I47" t="e">
            <v>#REF!</v>
          </cell>
          <cell r="J47" t="e">
            <v>#REF!</v>
          </cell>
          <cell r="K47" t="e">
            <v>#REF!</v>
          </cell>
          <cell r="L47" t="e">
            <v>#REF!</v>
          </cell>
          <cell r="M47" t="e">
            <v>#REF!</v>
          </cell>
          <cell r="N47" t="e">
            <v>#REF!</v>
          </cell>
          <cell r="O47" t="e">
            <v>#REF!</v>
          </cell>
          <cell r="P47" t="e">
            <v>#REF!</v>
          </cell>
          <cell r="Q47" t="e">
            <v>#REF!</v>
          </cell>
          <cell r="R47" t="e">
            <v>#REF!</v>
          </cell>
          <cell r="S47" t="e">
            <v>#REF!</v>
          </cell>
          <cell r="T47" t="e">
            <v>#REF!</v>
          </cell>
        </row>
        <row r="49">
          <cell r="B49" t="str">
            <v>HVACElecHt</v>
          </cell>
          <cell r="C49" t="e">
            <v>#REF!</v>
          </cell>
          <cell r="D49" t="e">
            <v>#REF!</v>
          </cell>
          <cell r="E49" t="e">
            <v>#REF!</v>
          </cell>
          <cell r="F49" t="e">
            <v>#REF!</v>
          </cell>
          <cell r="G49">
            <v>6.7</v>
          </cell>
          <cell r="H49">
            <v>9.3000000000000007</v>
          </cell>
          <cell r="I49">
            <v>9.6</v>
          </cell>
          <cell r="J49">
            <v>6</v>
          </cell>
          <cell r="K49">
            <v>9</v>
          </cell>
          <cell r="L49">
            <v>3</v>
          </cell>
          <cell r="M49">
            <v>12.5</v>
          </cell>
          <cell r="N49">
            <v>14</v>
          </cell>
          <cell r="O49">
            <v>14</v>
          </cell>
          <cell r="P49">
            <v>9</v>
          </cell>
          <cell r="Q49">
            <v>15</v>
          </cell>
          <cell r="R49">
            <v>12.7</v>
          </cell>
          <cell r="S49">
            <v>8.5</v>
          </cell>
          <cell r="T49">
            <v>8.5</v>
          </cell>
        </row>
        <row r="50">
          <cell r="B50" t="str">
            <v>HVACGasHt</v>
          </cell>
          <cell r="C50" t="e">
            <v>#REF!</v>
          </cell>
          <cell r="D50" t="e">
            <v>#REF!</v>
          </cell>
          <cell r="E50" t="e">
            <v>#REF!</v>
          </cell>
          <cell r="F50" t="e">
            <v>#REF!</v>
          </cell>
          <cell r="G50">
            <v>4.5999999999999996</v>
          </cell>
          <cell r="H50">
            <v>6.4</v>
          </cell>
          <cell r="I50">
            <v>6.6999999999999993</v>
          </cell>
          <cell r="J50">
            <v>3.0999999999999996</v>
          </cell>
          <cell r="K50">
            <v>5.0999999999999996</v>
          </cell>
          <cell r="L50">
            <v>1.1000000000000001</v>
          </cell>
          <cell r="M50">
            <v>7.6</v>
          </cell>
          <cell r="N50">
            <v>10.1</v>
          </cell>
          <cell r="O50">
            <v>10.1</v>
          </cell>
          <cell r="P50">
            <v>5.0999999999999996</v>
          </cell>
          <cell r="Q50">
            <v>9.1999999999999993</v>
          </cell>
          <cell r="R50">
            <v>7.8000000000000007</v>
          </cell>
          <cell r="S50">
            <v>4.5999999999999996</v>
          </cell>
          <cell r="T50">
            <v>4.5999999999999996</v>
          </cell>
        </row>
        <row r="51">
          <cell r="B51" t="str">
            <v>HVACHtPmpHt</v>
          </cell>
          <cell r="C51" t="e">
            <v>#REF!</v>
          </cell>
          <cell r="D51" t="e">
            <v>#REF!</v>
          </cell>
          <cell r="E51" t="e">
            <v>#REF!</v>
          </cell>
          <cell r="F51" t="e">
            <v>#REF!</v>
          </cell>
          <cell r="G51">
            <v>5.6</v>
          </cell>
          <cell r="H51">
            <v>7.8</v>
          </cell>
          <cell r="I51">
            <v>8.1</v>
          </cell>
          <cell r="J51">
            <v>4.5</v>
          </cell>
          <cell r="K51">
            <v>7</v>
          </cell>
          <cell r="L51">
            <v>2</v>
          </cell>
          <cell r="M51">
            <v>10</v>
          </cell>
          <cell r="N51">
            <v>12</v>
          </cell>
          <cell r="O51">
            <v>12</v>
          </cell>
          <cell r="P51">
            <v>7</v>
          </cell>
          <cell r="Q51">
            <v>12</v>
          </cell>
          <cell r="R51">
            <v>10.199999999999999</v>
          </cell>
          <cell r="S51">
            <v>6.5</v>
          </cell>
          <cell r="T51">
            <v>6.5</v>
          </cell>
        </row>
        <row r="52">
          <cell r="B52" t="str">
            <v>Elec HVAC EUI All Fuel Weighted Btype</v>
          </cell>
          <cell r="C52" t="e">
            <v>#REF!</v>
          </cell>
          <cell r="D52" t="e">
            <v>#REF!</v>
          </cell>
          <cell r="E52" t="e">
            <v>#REF!</v>
          </cell>
          <cell r="F52" t="e">
            <v>#REF!</v>
          </cell>
          <cell r="G52" t="e">
            <v>#REF!</v>
          </cell>
          <cell r="H52" t="e">
            <v>#REF!</v>
          </cell>
          <cell r="I52" t="e">
            <v>#REF!</v>
          </cell>
          <cell r="J52" t="e">
            <v>#REF!</v>
          </cell>
          <cell r="K52" t="e">
            <v>#REF!</v>
          </cell>
          <cell r="L52" t="e">
            <v>#REF!</v>
          </cell>
          <cell r="M52" t="e">
            <v>#REF!</v>
          </cell>
          <cell r="N52" t="e">
            <v>#REF!</v>
          </cell>
          <cell r="O52" t="e">
            <v>#REF!</v>
          </cell>
          <cell r="P52" t="e">
            <v>#REF!</v>
          </cell>
          <cell r="Q52" t="e">
            <v>#REF!</v>
          </cell>
          <cell r="R52" t="e">
            <v>#REF!</v>
          </cell>
          <cell r="S52" t="e">
            <v>#REF!</v>
          </cell>
          <cell r="T52" t="e">
            <v>#REF!</v>
          </cell>
        </row>
        <row r="53">
          <cell r="B53" t="str">
            <v>Elec HVAC EUI All Fuel Weighted Act</v>
          </cell>
          <cell r="C53" t="e">
            <v>#REF!</v>
          </cell>
          <cell r="F53" t="e">
            <v>#REF!</v>
          </cell>
          <cell r="J53" t="e">
            <v>#REF!</v>
          </cell>
          <cell r="M53" t="e">
            <v>#REF!</v>
          </cell>
        </row>
        <row r="64">
          <cell r="B64" t="str">
            <v>CBSA2001 e-EUI Raw - GasHt</v>
          </cell>
          <cell r="C64">
            <v>16</v>
          </cell>
          <cell r="D64">
            <v>15</v>
          </cell>
          <cell r="E64">
            <v>13</v>
          </cell>
          <cell r="F64">
            <v>29</v>
          </cell>
          <cell r="G64">
            <v>11</v>
          </cell>
          <cell r="H64">
            <v>16</v>
          </cell>
          <cell r="I64">
            <v>15</v>
          </cell>
          <cell r="J64">
            <v>6.2</v>
          </cell>
          <cell r="K64">
            <v>34</v>
          </cell>
          <cell r="L64">
            <v>12.6</v>
          </cell>
          <cell r="M64">
            <v>52</v>
          </cell>
          <cell r="O64">
            <v>40</v>
          </cell>
          <cell r="P64">
            <v>17</v>
          </cell>
          <cell r="Q64" t="str">
            <v>Q</v>
          </cell>
          <cell r="T64">
            <v>16</v>
          </cell>
        </row>
        <row r="65">
          <cell r="B65" t="str">
            <v>CBSA2001 e-EUI Corrected - GasHt</v>
          </cell>
          <cell r="F65">
            <v>35</v>
          </cell>
          <cell r="L65">
            <v>6.8</v>
          </cell>
          <cell r="Q65" t="str">
            <v>Q</v>
          </cell>
        </row>
        <row r="66">
          <cell r="B66" t="str">
            <v>CBSA2001 e-EUI Raw - GasHt - %ACT</v>
          </cell>
          <cell r="C66">
            <v>15</v>
          </cell>
          <cell r="F66">
            <v>18.5</v>
          </cell>
          <cell r="Q66" t="str">
            <v>Q</v>
          </cell>
        </row>
        <row r="67">
          <cell r="B67" t="str">
            <v>CBSA2001 g-EUI Raw - Gas Ht (kBtu/sf)</v>
          </cell>
          <cell r="J67">
            <v>29</v>
          </cell>
          <cell r="L67">
            <v>17</v>
          </cell>
          <cell r="M67">
            <v>73</v>
          </cell>
          <cell r="O67">
            <v>281</v>
          </cell>
          <cell r="P67">
            <v>120</v>
          </cell>
          <cell r="Q67" t="str">
            <v>Q</v>
          </cell>
          <cell r="T67">
            <v>50</v>
          </cell>
        </row>
        <row r="68">
          <cell r="C68">
            <v>27</v>
          </cell>
          <cell r="F68">
            <v>29</v>
          </cell>
        </row>
        <row r="70">
          <cell r="B70" t="str">
            <v>CBSA2001 e-EUI Raw - ElecHt</v>
          </cell>
          <cell r="C70">
            <v>20</v>
          </cell>
          <cell r="D70">
            <v>23</v>
          </cell>
          <cell r="E70">
            <v>15</v>
          </cell>
          <cell r="F70" t="str">
            <v>Q</v>
          </cell>
          <cell r="G70">
            <v>10</v>
          </cell>
          <cell r="H70">
            <v>28</v>
          </cell>
          <cell r="I70">
            <v>22</v>
          </cell>
          <cell r="J70">
            <v>17</v>
          </cell>
          <cell r="K70" t="str">
            <v>Q</v>
          </cell>
          <cell r="L70">
            <v>6.6</v>
          </cell>
          <cell r="M70">
            <v>38</v>
          </cell>
          <cell r="N70">
            <v>71</v>
          </cell>
          <cell r="O70">
            <v>45</v>
          </cell>
          <cell r="P70">
            <v>20</v>
          </cell>
          <cell r="Q70" t="str">
            <v>Q</v>
          </cell>
          <cell r="T70">
            <v>13</v>
          </cell>
        </row>
        <row r="71">
          <cell r="B71" t="str">
            <v>CBSA2001 e-EUI Corrected - ElectHt</v>
          </cell>
          <cell r="G71">
            <v>12</v>
          </cell>
          <cell r="H71">
            <v>30</v>
          </cell>
          <cell r="I71">
            <v>22</v>
          </cell>
          <cell r="Q71" t="str">
            <v>Q</v>
          </cell>
        </row>
        <row r="72">
          <cell r="B72" t="str">
            <v>CBSA2001 e-EUI Raw - ElecHt - %ACT</v>
          </cell>
          <cell r="C72">
            <v>19</v>
          </cell>
          <cell r="F72">
            <v>17</v>
          </cell>
          <cell r="Q72" t="str">
            <v>Q</v>
          </cell>
        </row>
        <row r="74">
          <cell r="B74" t="str">
            <v>CBECS1999 - West - AllHt - Mean</v>
          </cell>
          <cell r="C74">
            <v>17.600000000000001</v>
          </cell>
          <cell r="F74">
            <v>17.899999999999999</v>
          </cell>
          <cell r="J74">
            <v>8.1999999999999993</v>
          </cell>
          <cell r="L74">
            <v>5.4</v>
          </cell>
          <cell r="M74" t="str">
            <v>Q</v>
          </cell>
          <cell r="O74" t="str">
            <v>Q</v>
          </cell>
          <cell r="P74">
            <v>10.9</v>
          </cell>
          <cell r="Q74">
            <v>25.6</v>
          </cell>
          <cell r="R74">
            <v>15.9</v>
          </cell>
          <cell r="T74" t="str">
            <v>Q</v>
          </cell>
        </row>
        <row r="75">
          <cell r="B75" t="str">
            <v>CBECS1999 - West - AllHt - 95%CI</v>
          </cell>
        </row>
        <row r="76">
          <cell r="B76" t="str">
            <v>CBECS1999 - US - AllHt - Mean</v>
          </cell>
          <cell r="C76">
            <v>18.7</v>
          </cell>
          <cell r="F76">
            <v>14.7</v>
          </cell>
          <cell r="J76">
            <v>8.6999999999999993</v>
          </cell>
          <cell r="L76">
            <v>6.5</v>
          </cell>
          <cell r="M76">
            <v>49</v>
          </cell>
          <cell r="O76">
            <v>34</v>
          </cell>
          <cell r="P76">
            <v>12.7</v>
          </cell>
          <cell r="Q76">
            <v>27</v>
          </cell>
          <cell r="R76">
            <v>16.7</v>
          </cell>
          <cell r="T76">
            <v>24.4</v>
          </cell>
          <cell r="U76">
            <v>2.7</v>
          </cell>
        </row>
        <row r="77">
          <cell r="B77" t="str">
            <v>CBECS1999 - US - AllHt - 95%CI</v>
          </cell>
          <cell r="C77" t="str">
            <v>17 - 21</v>
          </cell>
          <cell r="F77" t="str">
            <v>12 - 19</v>
          </cell>
          <cell r="J77" t="str">
            <v>7.8 - 9.6</v>
          </cell>
          <cell r="L77" t="str">
            <v>5.3 - 7.7</v>
          </cell>
          <cell r="M77" t="str">
            <v>37 - 60</v>
          </cell>
          <cell r="O77" t="str">
            <v>25 - 43</v>
          </cell>
          <cell r="P77" t="str">
            <v xml:space="preserve"> 11 - 14</v>
          </cell>
          <cell r="Q77" t="str">
            <v>25 - 29</v>
          </cell>
          <cell r="R77" t="str">
            <v>14 - 19</v>
          </cell>
          <cell r="T77" t="str">
            <v>18 - 31</v>
          </cell>
          <cell r="U77" t="str">
            <v>1 - 4.4</v>
          </cell>
        </row>
        <row r="79">
          <cell r="B79" t="str">
            <v>CBECS2003 Mean US in kWh/sf</v>
          </cell>
          <cell r="C79">
            <v>17.3</v>
          </cell>
          <cell r="F79">
            <v>19.2</v>
          </cell>
          <cell r="J79">
            <v>11</v>
          </cell>
          <cell r="L79">
            <v>7.6</v>
          </cell>
          <cell r="M79">
            <v>49.4</v>
          </cell>
          <cell r="O79">
            <v>38.4</v>
          </cell>
          <cell r="P79">
            <v>13.5</v>
          </cell>
          <cell r="Q79">
            <v>27.5</v>
          </cell>
          <cell r="R79">
            <v>16.100000000000001</v>
          </cell>
          <cell r="S79">
            <v>12.5</v>
          </cell>
          <cell r="T79">
            <v>22.5</v>
          </cell>
        </row>
        <row r="80">
          <cell r="B80" t="str">
            <v>CBECS2003 Mean US in therms/sf</v>
          </cell>
          <cell r="C80">
            <v>0.28100000000000003</v>
          </cell>
          <cell r="F80">
            <v>0.33500000000000002</v>
          </cell>
          <cell r="J80">
            <v>0.38100000000000001</v>
          </cell>
          <cell r="L80">
            <v>0.24099999999999999</v>
          </cell>
          <cell r="M80">
            <v>0.51700000000000002</v>
          </cell>
          <cell r="O80">
            <v>1.45</v>
          </cell>
          <cell r="P80">
            <v>0.504</v>
          </cell>
          <cell r="Q80">
            <v>1.1299999999999999</v>
          </cell>
          <cell r="R80">
            <v>0.51800000000000002</v>
          </cell>
          <cell r="S80">
            <v>0.375</v>
          </cell>
          <cell r="T80">
            <v>0.69699999999999995</v>
          </cell>
        </row>
        <row r="83">
          <cell r="B83" t="str">
            <v>CBSA 2002-2004 New Bldg Elec in kWh/sf</v>
          </cell>
          <cell r="C83">
            <v>17.8</v>
          </cell>
          <cell r="F83">
            <v>21.6</v>
          </cell>
          <cell r="J83">
            <v>9.6</v>
          </cell>
          <cell r="K83">
            <v>12.7</v>
          </cell>
          <cell r="L83">
            <v>15.1</v>
          </cell>
          <cell r="M83">
            <v>46.6</v>
          </cell>
          <cell r="O83">
            <v>86.2</v>
          </cell>
          <cell r="P83">
            <v>10.6</v>
          </cell>
          <cell r="Q83">
            <v>25.3</v>
          </cell>
          <cell r="R83">
            <v>14.3</v>
          </cell>
          <cell r="S83">
            <v>13.3</v>
          </cell>
          <cell r="T83">
            <v>18.3</v>
          </cell>
        </row>
        <row r="84">
          <cell r="B84" t="str">
            <v>CBSA 2002-2004 New Bldg Gas in therms/sf</v>
          </cell>
          <cell r="C84">
            <v>0.11</v>
          </cell>
          <cell r="F84">
            <v>0.21</v>
          </cell>
          <cell r="J84">
            <v>0.3</v>
          </cell>
          <cell r="K84">
            <v>0.18</v>
          </cell>
          <cell r="L84">
            <v>0.18</v>
          </cell>
          <cell r="M84">
            <v>0.61</v>
          </cell>
          <cell r="O84">
            <v>1.57</v>
          </cell>
          <cell r="P84">
            <v>0.23</v>
          </cell>
          <cell r="Q84">
            <v>1.07</v>
          </cell>
          <cell r="R84">
            <v>0.69</v>
          </cell>
          <cell r="S84">
            <v>0.37</v>
          </cell>
          <cell r="T84">
            <v>0.22</v>
          </cell>
        </row>
        <row r="85">
          <cell r="B85" t="str">
            <v>CBSA 2002-2004 New Bldg All Fuel kBtu/sf</v>
          </cell>
          <cell r="C85">
            <v>71.7</v>
          </cell>
          <cell r="F85">
            <v>95.5</v>
          </cell>
          <cell r="J85">
            <v>61.4</v>
          </cell>
          <cell r="K85">
            <v>62.2</v>
          </cell>
          <cell r="L85">
            <v>70.5</v>
          </cell>
          <cell r="M85">
            <v>219.8</v>
          </cell>
          <cell r="O85">
            <v>451</v>
          </cell>
          <cell r="P85">
            <v>64</v>
          </cell>
          <cell r="Q85">
            <v>193.5</v>
          </cell>
          <cell r="R85">
            <v>111.8</v>
          </cell>
          <cell r="S85">
            <v>83.1</v>
          </cell>
          <cell r="T85">
            <v>102.5</v>
          </cell>
        </row>
        <row r="86">
          <cell r="B86" t="str">
            <v>CBSA 2002-2004 New Bldg Elec in kBtu/sf</v>
          </cell>
          <cell r="C86">
            <v>60.733600000000003</v>
          </cell>
          <cell r="F86">
            <v>73.699200000000005</v>
          </cell>
        </row>
        <row r="87">
          <cell r="B87" t="str">
            <v>CBSA 2002-2004 New Bldg Gas in kBtu/sf</v>
          </cell>
          <cell r="C87">
            <v>11</v>
          </cell>
          <cell r="F87">
            <v>21</v>
          </cell>
        </row>
        <row r="90">
          <cell r="C90" t="str">
            <v>Electricity Energy Intensity (kWh/square foot)</v>
          </cell>
        </row>
        <row r="91">
          <cell r="B91" t="str">
            <v>CBECS2003</v>
          </cell>
          <cell r="C91" t="str">
            <v xml:space="preserve">Total  </v>
          </cell>
          <cell r="D91" t="str">
            <v>Space Heat-
ing</v>
          </cell>
          <cell r="E91" t="str">
            <v>Cool-
ing</v>
          </cell>
          <cell r="F91" t="str">
            <v>Venti-
lation</v>
          </cell>
          <cell r="G91" t="str">
            <v>Water Heat-
ing</v>
          </cell>
          <cell r="H91" t="str">
            <v>Light-
ing</v>
          </cell>
          <cell r="I91" t="str">
            <v>Cook-
ing</v>
          </cell>
          <cell r="J91" t="str">
            <v>Refrig-
eration</v>
          </cell>
          <cell r="K91" t="str">
            <v>Office Equip-
ment</v>
          </cell>
          <cell r="L91" t="str">
            <v>Com-
puters</v>
          </cell>
          <cell r="M91" t="str">
            <v>Other</v>
          </cell>
          <cell r="O91" t="str">
            <v>Sum EQ, COMP, OTH</v>
          </cell>
          <cell r="P91" t="str">
            <v>HVAC EUI</v>
          </cell>
        </row>
        <row r="92">
          <cell r="B92" t="str">
            <v>Principal Building Activity</v>
          </cell>
        </row>
        <row r="93">
          <cell r="B93" t="str">
            <v>Education ....................</v>
          </cell>
          <cell r="C93">
            <v>11</v>
          </cell>
          <cell r="D93">
            <v>0.5</v>
          </cell>
          <cell r="E93">
            <v>2.2000000000000002</v>
          </cell>
          <cell r="F93">
            <v>2.5</v>
          </cell>
          <cell r="G93">
            <v>0.3</v>
          </cell>
          <cell r="H93">
            <v>3.4</v>
          </cell>
          <cell r="I93" t="str">
            <v>(*)</v>
          </cell>
          <cell r="J93">
            <v>0.5</v>
          </cell>
          <cell r="K93">
            <v>0.1</v>
          </cell>
          <cell r="L93">
            <v>1</v>
          </cell>
          <cell r="M93">
            <v>0.6</v>
          </cell>
          <cell r="O93">
            <v>1.7000000000000002</v>
          </cell>
          <cell r="P93">
            <v>5.2</v>
          </cell>
        </row>
        <row r="94">
          <cell r="B94" t="str">
            <v>Food Sales ...................</v>
          </cell>
          <cell r="C94">
            <v>49.4</v>
          </cell>
          <cell r="D94">
            <v>1.5</v>
          </cell>
          <cell r="E94">
            <v>2.9</v>
          </cell>
          <cell r="F94">
            <v>1.8</v>
          </cell>
          <cell r="G94" t="str">
            <v>Q</v>
          </cell>
          <cell r="H94">
            <v>10.9</v>
          </cell>
          <cell r="I94">
            <v>0.6</v>
          </cell>
          <cell r="J94">
            <v>28.2</v>
          </cell>
          <cell r="K94">
            <v>0.5</v>
          </cell>
          <cell r="L94">
            <v>0.4</v>
          </cell>
          <cell r="M94">
            <v>2.4</v>
          </cell>
          <cell r="O94">
            <v>3.3</v>
          </cell>
          <cell r="P94">
            <v>6.2</v>
          </cell>
        </row>
        <row r="95">
          <cell r="B95" t="str">
            <v>Food Service .................</v>
          </cell>
          <cell r="C95">
            <v>38.4</v>
          </cell>
          <cell r="D95">
            <v>1.8</v>
          </cell>
          <cell r="E95">
            <v>5</v>
          </cell>
          <cell r="F95">
            <v>4.3</v>
          </cell>
          <cell r="G95">
            <v>1.8</v>
          </cell>
          <cell r="H95">
            <v>7.5</v>
          </cell>
          <cell r="I95">
            <v>2.4</v>
          </cell>
          <cell r="J95">
            <v>12.3</v>
          </cell>
          <cell r="K95">
            <v>0.3</v>
          </cell>
          <cell r="L95">
            <v>0.3</v>
          </cell>
          <cell r="M95">
            <v>2.6</v>
          </cell>
          <cell r="O95">
            <v>3.2</v>
          </cell>
          <cell r="P95">
            <v>11.1</v>
          </cell>
        </row>
        <row r="96">
          <cell r="B96" t="str">
            <v>Health Care ..................</v>
          </cell>
          <cell r="C96">
            <v>22.9</v>
          </cell>
          <cell r="D96">
            <v>0.5</v>
          </cell>
          <cell r="E96">
            <v>3.1</v>
          </cell>
          <cell r="F96">
            <v>3.9</v>
          </cell>
          <cell r="G96">
            <v>0.2</v>
          </cell>
          <cell r="H96">
            <v>9.6999999999999993</v>
          </cell>
          <cell r="I96">
            <v>0.1</v>
          </cell>
          <cell r="J96">
            <v>0.8</v>
          </cell>
          <cell r="K96">
            <v>0.3</v>
          </cell>
          <cell r="L96">
            <v>0.9</v>
          </cell>
          <cell r="M96">
            <v>3.3</v>
          </cell>
          <cell r="O96">
            <v>4.5</v>
          </cell>
          <cell r="P96">
            <v>7.5</v>
          </cell>
        </row>
        <row r="97">
          <cell r="B97" t="str">
            <v xml:space="preserve">  Inpatient ..................</v>
          </cell>
          <cell r="C97">
            <v>27.5</v>
          </cell>
          <cell r="D97">
            <v>0.5</v>
          </cell>
          <cell r="E97">
            <v>3.8</v>
          </cell>
          <cell r="F97">
            <v>5.9</v>
          </cell>
          <cell r="G97">
            <v>0.3</v>
          </cell>
          <cell r="H97">
            <v>11.7</v>
          </cell>
          <cell r="I97">
            <v>0.1</v>
          </cell>
          <cell r="J97">
            <v>0.6</v>
          </cell>
          <cell r="K97">
            <v>0.3</v>
          </cell>
          <cell r="L97">
            <v>1</v>
          </cell>
          <cell r="M97">
            <v>3.2</v>
          </cell>
          <cell r="O97">
            <v>4.5</v>
          </cell>
          <cell r="P97">
            <v>10.199999999999999</v>
          </cell>
        </row>
        <row r="98">
          <cell r="B98" t="str">
            <v xml:space="preserve">  Outpatient .................</v>
          </cell>
          <cell r="C98">
            <v>16.100000000000001</v>
          </cell>
          <cell r="D98">
            <v>0.7</v>
          </cell>
          <cell r="E98">
            <v>2.1</v>
          </cell>
          <cell r="F98">
            <v>1</v>
          </cell>
          <cell r="G98">
            <v>0.1</v>
          </cell>
          <cell r="H98">
            <v>6.6</v>
          </cell>
          <cell r="I98" t="str">
            <v>(*)</v>
          </cell>
          <cell r="J98">
            <v>1</v>
          </cell>
          <cell r="K98">
            <v>0.4</v>
          </cell>
          <cell r="L98">
            <v>0.8</v>
          </cell>
          <cell r="M98">
            <v>3.5</v>
          </cell>
          <cell r="O98">
            <v>4.7</v>
          </cell>
          <cell r="P98">
            <v>3.8</v>
          </cell>
        </row>
        <row r="99">
          <cell r="B99" t="str">
            <v>Lodging ......................</v>
          </cell>
          <cell r="C99">
            <v>13.5</v>
          </cell>
          <cell r="D99">
            <v>0.8</v>
          </cell>
          <cell r="E99">
            <v>1.4</v>
          </cell>
          <cell r="F99">
            <v>0.8</v>
          </cell>
          <cell r="G99">
            <v>0.7</v>
          </cell>
          <cell r="H99">
            <v>7.1</v>
          </cell>
          <cell r="I99">
            <v>0.1</v>
          </cell>
          <cell r="J99">
            <v>0.7</v>
          </cell>
          <cell r="K99" t="str">
            <v>Q</v>
          </cell>
          <cell r="L99">
            <v>0.4</v>
          </cell>
          <cell r="M99">
            <v>1.4</v>
          </cell>
          <cell r="O99">
            <v>1.7999999999999998</v>
          </cell>
          <cell r="P99">
            <v>3</v>
          </cell>
        </row>
        <row r="100">
          <cell r="B100" t="str">
            <v>Mercantile ...................</v>
          </cell>
          <cell r="C100">
            <v>19.2</v>
          </cell>
          <cell r="D100">
            <v>1.5</v>
          </cell>
          <cell r="E100">
            <v>2.9</v>
          </cell>
          <cell r="F100">
            <v>1.8</v>
          </cell>
          <cell r="G100">
            <v>1</v>
          </cell>
          <cell r="H100">
            <v>8.1</v>
          </cell>
          <cell r="I100">
            <v>0.1</v>
          </cell>
          <cell r="J100">
            <v>1.3</v>
          </cell>
          <cell r="K100">
            <v>0.2</v>
          </cell>
          <cell r="L100">
            <v>0.3</v>
          </cell>
          <cell r="M100">
            <v>2.2000000000000002</v>
          </cell>
          <cell r="O100">
            <v>2.7</v>
          </cell>
          <cell r="P100">
            <v>6.2</v>
          </cell>
        </row>
        <row r="101">
          <cell r="B101" t="str">
            <v xml:space="preserve">  Retail (Other Than Mall) ...</v>
          </cell>
          <cell r="C101">
            <v>14.3</v>
          </cell>
          <cell r="D101">
            <v>0.4</v>
          </cell>
          <cell r="E101">
            <v>1.7</v>
          </cell>
          <cell r="F101">
            <v>1.1000000000000001</v>
          </cell>
          <cell r="G101">
            <v>0.1</v>
          </cell>
          <cell r="H101">
            <v>7.5</v>
          </cell>
          <cell r="I101" t="str">
            <v>(*)</v>
          </cell>
          <cell r="J101">
            <v>1.5</v>
          </cell>
          <cell r="K101">
            <v>0.2</v>
          </cell>
          <cell r="L101">
            <v>0.3</v>
          </cell>
          <cell r="M101">
            <v>1.5</v>
          </cell>
          <cell r="O101">
            <v>2</v>
          </cell>
          <cell r="P101">
            <v>3.2</v>
          </cell>
        </row>
        <row r="102">
          <cell r="B102" t="str">
            <v xml:space="preserve">  Enclosed and Strip Malls ...</v>
          </cell>
          <cell r="C102">
            <v>22.3</v>
          </cell>
          <cell r="D102">
            <v>2.2000000000000002</v>
          </cell>
          <cell r="E102">
            <v>3.6</v>
          </cell>
          <cell r="F102">
            <v>2.2000000000000002</v>
          </cell>
          <cell r="G102">
            <v>1.5</v>
          </cell>
          <cell r="H102">
            <v>8.4</v>
          </cell>
          <cell r="I102">
            <v>0.1</v>
          </cell>
          <cell r="J102">
            <v>1.2</v>
          </cell>
          <cell r="K102">
            <v>0.2</v>
          </cell>
          <cell r="L102">
            <v>0.3</v>
          </cell>
          <cell r="M102">
            <v>2.6</v>
          </cell>
          <cell r="O102">
            <v>3.1</v>
          </cell>
          <cell r="P102">
            <v>8</v>
          </cell>
        </row>
        <row r="103">
          <cell r="B103" t="str">
            <v>Office .......................</v>
          </cell>
          <cell r="C103">
            <v>17.3</v>
          </cell>
          <cell r="D103">
            <v>0.8</v>
          </cell>
          <cell r="E103">
            <v>2.4</v>
          </cell>
          <cell r="F103">
            <v>1.5</v>
          </cell>
          <cell r="G103">
            <v>0.2</v>
          </cell>
          <cell r="H103">
            <v>6.8</v>
          </cell>
          <cell r="I103" t="str">
            <v>(*)</v>
          </cell>
          <cell r="J103">
            <v>0.8</v>
          </cell>
          <cell r="K103">
            <v>0.8</v>
          </cell>
          <cell r="L103">
            <v>1.8</v>
          </cell>
          <cell r="M103">
            <v>2.2000000000000002</v>
          </cell>
          <cell r="O103">
            <v>4.8000000000000007</v>
          </cell>
          <cell r="P103">
            <v>4.7</v>
          </cell>
        </row>
        <row r="104">
          <cell r="B104" t="str">
            <v>Public Assembly ..............</v>
          </cell>
          <cell r="C104">
            <v>12.5</v>
          </cell>
          <cell r="D104">
            <v>0.4</v>
          </cell>
          <cell r="E104">
            <v>2.6</v>
          </cell>
          <cell r="F104">
            <v>4.7</v>
          </cell>
          <cell r="G104" t="str">
            <v>(*)</v>
          </cell>
          <cell r="H104">
            <v>2</v>
          </cell>
          <cell r="I104" t="str">
            <v>(*)</v>
          </cell>
          <cell r="J104">
            <v>0.7</v>
          </cell>
          <cell r="K104" t="str">
            <v>Q</v>
          </cell>
          <cell r="L104">
            <v>0.2</v>
          </cell>
          <cell r="M104">
            <v>1.7</v>
          </cell>
          <cell r="O104">
            <v>1.9</v>
          </cell>
          <cell r="P104">
            <v>7.7</v>
          </cell>
        </row>
        <row r="105">
          <cell r="B105" t="str">
            <v>Public Order and Safety ......</v>
          </cell>
          <cell r="C105">
            <v>15.3</v>
          </cell>
          <cell r="D105">
            <v>0.5</v>
          </cell>
          <cell r="E105">
            <v>2.1</v>
          </cell>
          <cell r="F105">
            <v>2.8</v>
          </cell>
          <cell r="G105">
            <v>0.9</v>
          </cell>
          <cell r="H105">
            <v>4.8</v>
          </cell>
          <cell r="I105" t="str">
            <v>(*)</v>
          </cell>
          <cell r="J105">
            <v>0.9</v>
          </cell>
          <cell r="K105">
            <v>0.2</v>
          </cell>
          <cell r="L105">
            <v>0.4</v>
          </cell>
          <cell r="M105">
            <v>2.7</v>
          </cell>
          <cell r="O105">
            <v>3.3000000000000003</v>
          </cell>
          <cell r="P105">
            <v>5.4</v>
          </cell>
        </row>
        <row r="106">
          <cell r="B106" t="str">
            <v>Religious Worship ............</v>
          </cell>
          <cell r="C106">
            <v>4.9000000000000004</v>
          </cell>
          <cell r="D106">
            <v>0.2</v>
          </cell>
          <cell r="E106">
            <v>0.8</v>
          </cell>
          <cell r="F106">
            <v>0.4</v>
          </cell>
          <cell r="G106" t="str">
            <v>(*)</v>
          </cell>
          <cell r="H106">
            <v>1.3</v>
          </cell>
          <cell r="I106" t="str">
            <v>(*)</v>
          </cell>
          <cell r="J106">
            <v>0.5</v>
          </cell>
          <cell r="K106" t="str">
            <v>(*)</v>
          </cell>
          <cell r="L106">
            <v>0.1</v>
          </cell>
          <cell r="M106">
            <v>1.4</v>
          </cell>
          <cell r="O106">
            <v>1.5</v>
          </cell>
          <cell r="P106">
            <v>1.4</v>
          </cell>
        </row>
        <row r="107">
          <cell r="B107" t="str">
            <v>Service ......................</v>
          </cell>
          <cell r="C107">
            <v>11</v>
          </cell>
          <cell r="D107">
            <v>0.4</v>
          </cell>
          <cell r="E107">
            <v>1.1000000000000001</v>
          </cell>
          <cell r="F107">
            <v>1.8</v>
          </cell>
          <cell r="G107" t="str">
            <v>(*)</v>
          </cell>
          <cell r="H107">
            <v>4.5999999999999996</v>
          </cell>
          <cell r="I107" t="str">
            <v>Q</v>
          </cell>
          <cell r="J107">
            <v>0.6</v>
          </cell>
          <cell r="K107">
            <v>0.1</v>
          </cell>
          <cell r="L107">
            <v>0.2</v>
          </cell>
          <cell r="M107">
            <v>2.1</v>
          </cell>
          <cell r="O107">
            <v>2.4000000000000004</v>
          </cell>
          <cell r="P107">
            <v>3.3</v>
          </cell>
        </row>
        <row r="108">
          <cell r="B108" t="str">
            <v>Warehouse and Storage ........</v>
          </cell>
          <cell r="C108">
            <v>7.6</v>
          </cell>
          <cell r="D108">
            <v>0.2</v>
          </cell>
          <cell r="E108">
            <v>0.4</v>
          </cell>
          <cell r="F108">
            <v>0.6</v>
          </cell>
          <cell r="G108">
            <v>0.1</v>
          </cell>
          <cell r="H108">
            <v>4.0999999999999996</v>
          </cell>
          <cell r="I108" t="str">
            <v>Q</v>
          </cell>
          <cell r="J108">
            <v>1.1000000000000001</v>
          </cell>
          <cell r="K108">
            <v>0.1</v>
          </cell>
          <cell r="L108">
            <v>0.1</v>
          </cell>
          <cell r="M108">
            <v>0.9</v>
          </cell>
          <cell r="O108">
            <v>1.1000000000000001</v>
          </cell>
          <cell r="P108">
            <v>1.2000000000000002</v>
          </cell>
        </row>
        <row r="109">
          <cell r="B109" t="str">
            <v>Other ........................</v>
          </cell>
          <cell r="C109">
            <v>22.5</v>
          </cell>
          <cell r="D109">
            <v>0.4</v>
          </cell>
          <cell r="E109">
            <v>2.7</v>
          </cell>
          <cell r="F109">
            <v>1.8</v>
          </cell>
          <cell r="G109">
            <v>0.1</v>
          </cell>
          <cell r="H109">
            <v>10.1</v>
          </cell>
          <cell r="I109" t="str">
            <v>Q</v>
          </cell>
          <cell r="J109">
            <v>1.8</v>
          </cell>
          <cell r="K109" t="str">
            <v>Q</v>
          </cell>
          <cell r="L109">
            <v>0.9</v>
          </cell>
          <cell r="M109">
            <v>3.7</v>
          </cell>
          <cell r="O109">
            <v>4.6000000000000005</v>
          </cell>
          <cell r="P109">
            <v>4.9000000000000004</v>
          </cell>
        </row>
        <row r="110">
          <cell r="B110" t="str">
            <v>Vacant .......................</v>
          </cell>
          <cell r="C110">
            <v>2.4</v>
          </cell>
          <cell r="D110">
            <v>0.1</v>
          </cell>
          <cell r="E110">
            <v>0.2</v>
          </cell>
          <cell r="F110">
            <v>0.2</v>
          </cell>
          <cell r="G110" t="str">
            <v>Q</v>
          </cell>
          <cell r="H110">
            <v>0.7</v>
          </cell>
          <cell r="I110" t="str">
            <v>Q</v>
          </cell>
          <cell r="J110">
            <v>0.1</v>
          </cell>
          <cell r="K110" t="str">
            <v>Q</v>
          </cell>
          <cell r="L110" t="str">
            <v>(*)</v>
          </cell>
          <cell r="M110">
            <v>1.1000000000000001</v>
          </cell>
          <cell r="O110">
            <v>1.1000000000000001</v>
          </cell>
          <cell r="P110">
            <v>0.5</v>
          </cell>
        </row>
        <row r="113">
          <cell r="C113" t="str">
            <v>Total Natural Gas Consumption
(trillion Btu)</v>
          </cell>
          <cell r="H113" t="str">
            <v>Natural Gas Energy Intensity
(thousand Btu/square foot)</v>
          </cell>
          <cell r="O113">
            <v>0.7</v>
          </cell>
          <cell r="P113">
            <v>2</v>
          </cell>
        </row>
        <row r="114">
          <cell r="B114" t="str">
            <v>CBECS2003</v>
          </cell>
          <cell r="C114" t="str">
            <v xml:space="preserve">Total  </v>
          </cell>
          <cell r="D114" t="str">
            <v>Space Heating</v>
          </cell>
          <cell r="E114" t="str">
            <v>Water Heating</v>
          </cell>
          <cell r="F114" t="str">
            <v>Cook-
ing</v>
          </cell>
          <cell r="G114" t="str">
            <v>Other</v>
          </cell>
          <cell r="H114" t="str">
            <v xml:space="preserve">Total  </v>
          </cell>
          <cell r="I114" t="str">
            <v>Space Heating</v>
          </cell>
          <cell r="J114" t="str">
            <v>Water Heating</v>
          </cell>
          <cell r="K114" t="str">
            <v>Cook-
ing</v>
          </cell>
          <cell r="L114" t="str">
            <v>Other</v>
          </cell>
          <cell r="O114" t="str">
            <v>Space Heating Elec Equiv</v>
          </cell>
          <cell r="P114" t="str">
            <v>Heating HP Equiv</v>
          </cell>
          <cell r="R114" t="str">
            <v>CBSA 2002-2004 New Bldg Gas (kBtu/SF Heat)</v>
          </cell>
          <cell r="S114" t="str">
            <v>CBSA 2002-2004 New Bldg Heat Elec Equiv</v>
          </cell>
          <cell r="T114" t="str">
            <v>NEEA Heat HP Equiv</v>
          </cell>
          <cell r="U114" t="str">
            <v>CEUS Gas (kBtu/SF Heat)</v>
          </cell>
          <cell r="V114" t="str">
            <v>CEUS Heat Elec Equiv</v>
          </cell>
          <cell r="W114" t="str">
            <v>CEUS Heat HP Equiv</v>
          </cell>
        </row>
        <row r="115">
          <cell r="B115" t="str">
            <v>Principal Building Activity</v>
          </cell>
        </row>
        <row r="116">
          <cell r="B116" t="str">
            <v>Education ....................</v>
          </cell>
          <cell r="C116">
            <v>268</v>
          </cell>
          <cell r="D116">
            <v>207</v>
          </cell>
          <cell r="E116">
            <v>37</v>
          </cell>
          <cell r="F116">
            <v>5</v>
          </cell>
          <cell r="G116">
            <v>19</v>
          </cell>
          <cell r="H116">
            <v>38.1</v>
          </cell>
          <cell r="I116">
            <v>29.5</v>
          </cell>
          <cell r="J116">
            <v>5.2</v>
          </cell>
          <cell r="K116">
            <v>0.7</v>
          </cell>
          <cell r="L116">
            <v>2.7</v>
          </cell>
          <cell r="N116" t="str">
            <v>Educ</v>
          </cell>
          <cell r="O116">
            <v>6.0521688159437277</v>
          </cell>
          <cell r="P116">
            <v>3.0260844079718638</v>
          </cell>
          <cell r="R116">
            <v>23.2</v>
          </cell>
          <cell r="S116">
            <v>4.7596717467760836</v>
          </cell>
          <cell r="T116">
            <v>2.3798358733880418</v>
          </cell>
          <cell r="U116">
            <v>24</v>
          </cell>
          <cell r="V116">
            <v>4.9237983587338796</v>
          </cell>
        </row>
        <row r="117">
          <cell r="B117" t="str">
            <v>Food Sales ...................</v>
          </cell>
          <cell r="C117">
            <v>39</v>
          </cell>
          <cell r="D117">
            <v>27</v>
          </cell>
          <cell r="E117">
            <v>2</v>
          </cell>
          <cell r="F117">
            <v>8</v>
          </cell>
          <cell r="G117" t="str">
            <v>Q</v>
          </cell>
          <cell r="H117">
            <v>51.7</v>
          </cell>
          <cell r="I117">
            <v>35.6</v>
          </cell>
          <cell r="J117">
            <v>3.2</v>
          </cell>
          <cell r="K117">
            <v>11.2</v>
          </cell>
          <cell r="L117" t="str">
            <v>Q</v>
          </cell>
          <cell r="N117" t="str">
            <v>Groc</v>
          </cell>
          <cell r="O117">
            <v>7.3036342321219214</v>
          </cell>
          <cell r="P117">
            <v>3.6518171160609607</v>
          </cell>
          <cell r="R117">
            <v>40.299999999999997</v>
          </cell>
          <cell r="S117">
            <v>8.2678780773739735</v>
          </cell>
          <cell r="T117">
            <v>4.1339390386869868</v>
          </cell>
          <cell r="U117">
            <v>21.8</v>
          </cell>
          <cell r="V117">
            <v>4.4724501758499411</v>
          </cell>
        </row>
        <row r="118">
          <cell r="B118" t="str">
            <v>Food Service .................</v>
          </cell>
          <cell r="C118">
            <v>203</v>
          </cell>
          <cell r="D118">
            <v>54</v>
          </cell>
          <cell r="E118">
            <v>56</v>
          </cell>
          <cell r="F118">
            <v>91</v>
          </cell>
          <cell r="G118" t="str">
            <v>Q</v>
          </cell>
          <cell r="H118">
            <v>145.6</v>
          </cell>
          <cell r="I118">
            <v>39</v>
          </cell>
          <cell r="J118">
            <v>40</v>
          </cell>
          <cell r="K118">
            <v>65.400000000000006</v>
          </cell>
          <cell r="L118" t="str">
            <v>Q</v>
          </cell>
          <cell r="N118" t="str">
            <v>Restau</v>
          </cell>
          <cell r="O118">
            <v>8.0011723329425539</v>
          </cell>
          <cell r="P118">
            <v>4.000586166471277</v>
          </cell>
        </row>
        <row r="119">
          <cell r="B119" t="str">
            <v>Health Care ..................</v>
          </cell>
          <cell r="C119">
            <v>243</v>
          </cell>
          <cell r="D119">
            <v>136</v>
          </cell>
          <cell r="E119">
            <v>74</v>
          </cell>
          <cell r="F119">
            <v>10</v>
          </cell>
          <cell r="G119">
            <v>23</v>
          </cell>
          <cell r="H119">
            <v>95.3</v>
          </cell>
          <cell r="I119">
            <v>53.6</v>
          </cell>
          <cell r="J119">
            <v>28.9</v>
          </cell>
          <cell r="K119">
            <v>3.8</v>
          </cell>
          <cell r="L119">
            <v>9.1</v>
          </cell>
          <cell r="N119" t="str">
            <v>Health</v>
          </cell>
          <cell r="O119">
            <v>10.996483001172331</v>
          </cell>
          <cell r="P119">
            <v>5.4982415005861656</v>
          </cell>
        </row>
      </sheetData>
      <sheetData sheetId="17">
        <row r="11">
          <cell r="B11" t="str">
            <v>Water Using Devices</v>
          </cell>
          <cell r="C11" t="str">
            <v>Pre-Rinse Spray Valve</v>
          </cell>
          <cell r="D11" t="str">
            <v>Pre-Rinse Spray Valve</v>
          </cell>
          <cell r="E11" t="str">
            <v>CBSA 2014</v>
          </cell>
          <cell r="F11" t="str">
            <v>Some</v>
          </cell>
          <cell r="H11" t="str">
            <v>Retro</v>
          </cell>
          <cell r="I11">
            <v>0</v>
          </cell>
        </row>
        <row r="12">
          <cell r="B12" t="str">
            <v>Cooking</v>
          </cell>
          <cell r="C12" t="str">
            <v>Cooking Equipment</v>
          </cell>
          <cell r="D12" t="str">
            <v>Cooking Equipment</v>
          </cell>
          <cell r="E12" t="str">
            <v>CBSA 2014</v>
          </cell>
          <cell r="F12" t="str">
            <v>All</v>
          </cell>
          <cell r="H12" t="str">
            <v>NR</v>
          </cell>
          <cell r="I12">
            <v>0</v>
          </cell>
        </row>
        <row r="13">
          <cell r="B13" t="str">
            <v>HVAC System Improvements</v>
          </cell>
          <cell r="C13" t="str">
            <v>Premium HVAC Equipment</v>
          </cell>
          <cell r="D13" t="str">
            <v>Premium HVAC Equipment</v>
          </cell>
          <cell r="E13" t="str">
            <v>CBSA 2014</v>
          </cell>
          <cell r="F13" t="str">
            <v>All</v>
          </cell>
          <cell r="H13" t="str">
            <v>New</v>
          </cell>
          <cell r="I13">
            <v>0</v>
          </cell>
        </row>
        <row r="14">
          <cell r="B14" t="str">
            <v>HVAC System Improvements</v>
          </cell>
          <cell r="C14" t="str">
            <v>Premium HVAC Equipment</v>
          </cell>
          <cell r="D14" t="str">
            <v>Premium HVAC Equipment</v>
          </cell>
          <cell r="E14" t="str">
            <v>CBSA 2014</v>
          </cell>
          <cell r="F14" t="str">
            <v>All</v>
          </cell>
          <cell r="H14" t="str">
            <v>New</v>
          </cell>
          <cell r="I14">
            <v>0</v>
          </cell>
        </row>
        <row r="15">
          <cell r="B15" t="str">
            <v>Envelope</v>
          </cell>
          <cell r="C15" t="str">
            <v>Glass</v>
          </cell>
          <cell r="D15" t="str">
            <v>Windows</v>
          </cell>
          <cell r="E15" t="str">
            <v>CBSA 2014</v>
          </cell>
          <cell r="F15" t="str">
            <v>All</v>
          </cell>
          <cell r="H15" t="str">
            <v>New</v>
          </cell>
          <cell r="I15">
            <v>0</v>
          </cell>
        </row>
        <row r="16">
          <cell r="B16" t="str">
            <v>Envelope</v>
          </cell>
          <cell r="C16" t="str">
            <v>Glass</v>
          </cell>
          <cell r="D16" t="str">
            <v>Windows</v>
          </cell>
          <cell r="E16" t="str">
            <v>CBSA 2014</v>
          </cell>
          <cell r="F16" t="str">
            <v>All</v>
          </cell>
          <cell r="H16" t="str">
            <v>New</v>
          </cell>
          <cell r="I16">
            <v>0</v>
          </cell>
        </row>
        <row r="17">
          <cell r="B17" t="str">
            <v>Envelope</v>
          </cell>
          <cell r="C17" t="str">
            <v>Glass</v>
          </cell>
          <cell r="D17" t="str">
            <v>Windows</v>
          </cell>
          <cell r="E17" t="str">
            <v>CBSA 2014</v>
          </cell>
          <cell r="F17" t="str">
            <v>All</v>
          </cell>
          <cell r="H17" t="str">
            <v>New</v>
          </cell>
          <cell r="I17">
            <v>0</v>
          </cell>
        </row>
        <row r="18">
          <cell r="B18" t="str">
            <v>HVAC System Improvements</v>
          </cell>
          <cell r="C18" t="str">
            <v>Advanced Rooftop Controller</v>
          </cell>
          <cell r="D18" t="str">
            <v>Advanced Rooftop Controller</v>
          </cell>
          <cell r="E18" t="str">
            <v>CBSA 2014</v>
          </cell>
          <cell r="F18" t="str">
            <v>Most</v>
          </cell>
          <cell r="H18" t="str">
            <v>New</v>
          </cell>
          <cell r="I18">
            <v>0</v>
          </cell>
        </row>
        <row r="19">
          <cell r="B19" t="str">
            <v>HVAC System Improvements</v>
          </cell>
          <cell r="C19" t="str">
            <v>Advanced Rooftop Controller</v>
          </cell>
          <cell r="D19" t="str">
            <v>Advanced Rooftop Controller</v>
          </cell>
          <cell r="E19" t="str">
            <v>CBSA 2014</v>
          </cell>
          <cell r="F19" t="str">
            <v>Most</v>
          </cell>
          <cell r="H19" t="str">
            <v>New</v>
          </cell>
          <cell r="I19">
            <v>0</v>
          </cell>
        </row>
        <row r="20">
          <cell r="B20" t="str">
            <v>HVAC System Improvements</v>
          </cell>
          <cell r="C20" t="str">
            <v>Advanced Rooftop Controller</v>
          </cell>
          <cell r="D20" t="str">
            <v>Advanced Rooftop Controller</v>
          </cell>
          <cell r="E20" t="str">
            <v>CBSA 2014</v>
          </cell>
          <cell r="F20" t="str">
            <v>Most</v>
          </cell>
          <cell r="H20" t="str">
            <v>New</v>
          </cell>
          <cell r="I20">
            <v>0</v>
          </cell>
        </row>
        <row r="21">
          <cell r="B21" t="str">
            <v>Envelope</v>
          </cell>
          <cell r="C21" t="str">
            <v>Variable Speed Chiller</v>
          </cell>
          <cell r="D21" t="str">
            <v>Variable Speed Chiller</v>
          </cell>
          <cell r="E21" t="str">
            <v>CBSA 2014</v>
          </cell>
          <cell r="F21" t="str">
            <v>Some</v>
          </cell>
          <cell r="H21" t="str">
            <v>New</v>
          </cell>
          <cell r="I21">
            <v>0</v>
          </cell>
        </row>
        <row r="22">
          <cell r="B22" t="str">
            <v>Envelope</v>
          </cell>
          <cell r="C22" t="str">
            <v>Variable Speed Chiller</v>
          </cell>
          <cell r="D22" t="str">
            <v>Variable Speed Chiller</v>
          </cell>
          <cell r="E22" t="str">
            <v>CBSA 2014</v>
          </cell>
          <cell r="F22" t="str">
            <v>Some</v>
          </cell>
          <cell r="H22" t="str">
            <v>New</v>
          </cell>
          <cell r="I22">
            <v>0</v>
          </cell>
        </row>
        <row r="23">
          <cell r="B23" t="str">
            <v>Whole Bldg/Meter Level System Improvements</v>
          </cell>
          <cell r="C23" t="str">
            <v>Commercial EM</v>
          </cell>
          <cell r="D23" t="str">
            <v>Commercial Energy Management For Complex systems</v>
          </cell>
          <cell r="E23" t="str">
            <v>CBSA 2014</v>
          </cell>
          <cell r="F23" t="str">
            <v>All</v>
          </cell>
          <cell r="H23" t="str">
            <v>New</v>
          </cell>
          <cell r="I23">
            <v>0</v>
          </cell>
        </row>
        <row r="24">
          <cell r="B24" t="str">
            <v>Whole Bldg/Meter Level System Improvements</v>
          </cell>
          <cell r="C24" t="str">
            <v>Commercial EM</v>
          </cell>
          <cell r="D24" t="str">
            <v>Commercial Energy Management For Complex systems</v>
          </cell>
          <cell r="E24" t="str">
            <v>CBSA 2014</v>
          </cell>
          <cell r="F24" t="str">
            <v>All</v>
          </cell>
          <cell r="H24" t="str">
            <v>New</v>
          </cell>
          <cell r="I24">
            <v>0</v>
          </cell>
        </row>
        <row r="25">
          <cell r="B25" t="str">
            <v>Whole Bldg/Meter Level System Improvements</v>
          </cell>
          <cell r="C25" t="str">
            <v>Commercial EM</v>
          </cell>
          <cell r="D25" t="str">
            <v>Commercial Energy Management For Complex systems</v>
          </cell>
          <cell r="E25" t="str">
            <v>CBSA 2014</v>
          </cell>
          <cell r="F25" t="str">
            <v>All</v>
          </cell>
          <cell r="H25" t="str">
            <v>New</v>
          </cell>
          <cell r="I25">
            <v>0</v>
          </cell>
        </row>
        <row r="26">
          <cell r="B26" t="str">
            <v>HVAC System Improvements</v>
          </cell>
          <cell r="C26" t="str">
            <v>Evaporative Assist Cooling</v>
          </cell>
          <cell r="D26" t="str">
            <v>Evaporative Assist Cooling</v>
          </cell>
          <cell r="E26" t="str">
            <v>CBSA 2014</v>
          </cell>
          <cell r="F26" t="str">
            <v>Some</v>
          </cell>
          <cell r="H26" t="str">
            <v>New</v>
          </cell>
          <cell r="I26">
            <v>0</v>
          </cell>
        </row>
        <row r="27">
          <cell r="B27" t="str">
            <v>HVAC System Improvements</v>
          </cell>
          <cell r="C27" t="str">
            <v>Evaporative Assist Cooling</v>
          </cell>
          <cell r="D27" t="str">
            <v>Evaporative Assist Cooling</v>
          </cell>
          <cell r="E27" t="str">
            <v>CBSA 2014</v>
          </cell>
          <cell r="F27" t="str">
            <v>Some</v>
          </cell>
          <cell r="H27" t="str">
            <v>New</v>
          </cell>
          <cell r="I27">
            <v>0</v>
          </cell>
        </row>
        <row r="28">
          <cell r="B28" t="e">
            <v>#N/A</v>
          </cell>
          <cell r="C28" t="str">
            <v>Low Pressure Distribution Complex HVAC</v>
          </cell>
          <cell r="D28" t="e">
            <v>#N/A</v>
          </cell>
          <cell r="E28" t="e">
            <v>#N/A</v>
          </cell>
          <cell r="F28" t="e">
            <v>#N/A</v>
          </cell>
          <cell r="H28" t="e">
            <v>#N/A</v>
          </cell>
          <cell r="I28" t="e">
            <v>#N/A</v>
          </cell>
        </row>
        <row r="29">
          <cell r="B29" t="str">
            <v>HVAC System Controls</v>
          </cell>
          <cell r="C29" t="str">
            <v>Demand Control Ventilation</v>
          </cell>
          <cell r="D29" t="str">
            <v>Demand Control Ventilation</v>
          </cell>
          <cell r="E29" t="str">
            <v>CBSA 2014</v>
          </cell>
          <cell r="F29" t="str">
            <v>All</v>
          </cell>
          <cell r="H29" t="str">
            <v>New</v>
          </cell>
          <cell r="I29">
            <v>0</v>
          </cell>
        </row>
        <row r="30">
          <cell r="B30" t="str">
            <v>HVAC System Controls</v>
          </cell>
          <cell r="C30" t="str">
            <v>Demand Control Ventilation</v>
          </cell>
          <cell r="D30" t="str">
            <v>Demand Control Ventilation</v>
          </cell>
          <cell r="E30" t="str">
            <v>CBSA 2014</v>
          </cell>
          <cell r="F30" t="str">
            <v>All</v>
          </cell>
          <cell r="H30" t="str">
            <v>New</v>
          </cell>
          <cell r="I30">
            <v>0</v>
          </cell>
        </row>
        <row r="31">
          <cell r="B31" t="str">
            <v>HVAC System Controls</v>
          </cell>
          <cell r="C31" t="str">
            <v>Demand Control Ventilation</v>
          </cell>
          <cell r="D31" t="str">
            <v>Demand Control Ventilation</v>
          </cell>
          <cell r="E31" t="str">
            <v>CBSA 2014</v>
          </cell>
          <cell r="F31" t="str">
            <v>All</v>
          </cell>
          <cell r="H31" t="str">
            <v>New</v>
          </cell>
          <cell r="I31">
            <v>0</v>
          </cell>
        </row>
        <row r="32">
          <cell r="B32" t="str">
            <v>Pumps and Fans</v>
          </cell>
          <cell r="C32" t="str">
            <v>Premium Fume Hood</v>
          </cell>
          <cell r="D32" t="str">
            <v>Premium Fume Hood</v>
          </cell>
          <cell r="E32" t="str">
            <v>CBSA 2014</v>
          </cell>
          <cell r="F32" t="str">
            <v>Some</v>
          </cell>
          <cell r="H32" t="str">
            <v>NR</v>
          </cell>
          <cell r="I32">
            <v>0</v>
          </cell>
        </row>
        <row r="33">
          <cell r="B33" t="str">
            <v>Pumps and Fans</v>
          </cell>
          <cell r="C33" t="str">
            <v>DCV Restaurant Hood</v>
          </cell>
          <cell r="D33" t="str">
            <v>DCV Restaurant Hood</v>
          </cell>
          <cell r="E33" t="str">
            <v>CBSA 2014</v>
          </cell>
          <cell r="F33" t="str">
            <v>Restaurant</v>
          </cell>
          <cell r="H33" t="str">
            <v>Retro</v>
          </cell>
          <cell r="I33">
            <v>0</v>
          </cell>
        </row>
        <row r="34">
          <cell r="B34" t="str">
            <v>Pumps and Fans</v>
          </cell>
          <cell r="C34" t="str">
            <v>DCV Parking Garage</v>
          </cell>
          <cell r="D34" t="str">
            <v>DCV Parking Garage</v>
          </cell>
          <cell r="E34" t="str">
            <v>CBSA 2014</v>
          </cell>
          <cell r="F34" t="str">
            <v>All</v>
          </cell>
          <cell r="H34" t="str">
            <v>Retro</v>
          </cell>
          <cell r="I34" t="str">
            <v>x</v>
          </cell>
        </row>
        <row r="35">
          <cell r="B35" t="str">
            <v>Envelope</v>
          </cell>
          <cell r="C35" t="str">
            <v>Weatherization - School</v>
          </cell>
          <cell r="D35" t="str">
            <v>Weatherization - School</v>
          </cell>
          <cell r="E35" t="str">
            <v>CBSA 2014</v>
          </cell>
          <cell r="F35" t="str">
            <v>K-12</v>
          </cell>
          <cell r="H35" t="str">
            <v>Retro</v>
          </cell>
          <cell r="I35" t="str">
            <v>x</v>
          </cell>
        </row>
        <row r="36">
          <cell r="B36" t="str">
            <v>Computer Technologies</v>
          </cell>
          <cell r="C36" t="str">
            <v>Energy Recovery Ventilator</v>
          </cell>
          <cell r="D36" t="str">
            <v>Heat Recovery Ventilation</v>
          </cell>
          <cell r="E36" t="str">
            <v>CBSA 20154</v>
          </cell>
          <cell r="F36" t="str">
            <v>All</v>
          </cell>
          <cell r="H36" t="str">
            <v>NR</v>
          </cell>
          <cell r="I36">
            <v>0</v>
          </cell>
        </row>
        <row r="37">
          <cell r="B37" t="str">
            <v>Heat Recovery</v>
          </cell>
          <cell r="C37" t="str">
            <v>AC Heat Recovery for Water Heating</v>
          </cell>
          <cell r="D37" t="str">
            <v>AC Heat Recovery for Water Heating</v>
          </cell>
          <cell r="E37" t="str">
            <v>CBSA 2014</v>
          </cell>
          <cell r="F37" t="str">
            <v>All</v>
          </cell>
          <cell r="H37" t="str">
            <v>NR</v>
          </cell>
          <cell r="I37" t="str">
            <v>x</v>
          </cell>
        </row>
        <row r="38">
          <cell r="B38" t="str">
            <v>Whole Bldg/Meter Level System Improvements</v>
          </cell>
          <cell r="C38" t="str">
            <v>Room Occupancy Sensors in Lodging</v>
          </cell>
          <cell r="D38" t="str">
            <v>Room Occupancy Sensors in Lodging</v>
          </cell>
          <cell r="E38" t="str">
            <v>CBSA 2014</v>
          </cell>
          <cell r="F38" t="str">
            <v>Lodging</v>
          </cell>
          <cell r="H38" t="str">
            <v>Retro</v>
          </cell>
          <cell r="I38" t="str">
            <v>x</v>
          </cell>
        </row>
        <row r="39">
          <cell r="B39" t="str">
            <v>HVAC System Improvements</v>
          </cell>
          <cell r="C39" t="str">
            <v>Chiller - chilled water retrofit</v>
          </cell>
          <cell r="D39" t="str">
            <v>Chiller - chilled water retrofit</v>
          </cell>
          <cell r="E39" t="str">
            <v>CBSA 2014</v>
          </cell>
          <cell r="F39" t="str">
            <v>Some</v>
          </cell>
          <cell r="H39" t="str">
            <v>Retro</v>
          </cell>
          <cell r="I39" t="str">
            <v>x</v>
          </cell>
        </row>
        <row r="40">
          <cell r="B40" t="str">
            <v>HVAC System Improvements</v>
          </cell>
          <cell r="C40" t="str">
            <v>Chiller - equip retrofits</v>
          </cell>
          <cell r="D40" t="str">
            <v>Chiller - equip retrofits</v>
          </cell>
          <cell r="E40" t="str">
            <v>CBSA 2014</v>
          </cell>
          <cell r="F40" t="str">
            <v>Some</v>
          </cell>
          <cell r="H40" t="str">
            <v>Retro</v>
          </cell>
          <cell r="I40" t="str">
            <v>x</v>
          </cell>
        </row>
        <row r="41">
          <cell r="B41" t="str">
            <v>Pool System Improvements</v>
          </cell>
          <cell r="C41" t="str">
            <v>Pool Blankets</v>
          </cell>
          <cell r="D41" t="str">
            <v>Pool Blankets</v>
          </cell>
          <cell r="E41" t="str">
            <v>CBSA 2014</v>
          </cell>
          <cell r="F41" t="str">
            <v>Some</v>
          </cell>
          <cell r="H41" t="str">
            <v>Retro</v>
          </cell>
          <cell r="I41" t="str">
            <v>x</v>
          </cell>
        </row>
        <row r="42">
          <cell r="B42" t="str">
            <v>HVAC System Controls</v>
          </cell>
          <cell r="C42" t="str">
            <v>Web-Enabled Thermostats</v>
          </cell>
          <cell r="D42" t="str">
            <v>Web-Enabled Thermostats</v>
          </cell>
          <cell r="E42" t="str">
            <v>CBSA 2014</v>
          </cell>
          <cell r="F42" t="str">
            <v>Some</v>
          </cell>
          <cell r="H42" t="str">
            <v>Retro</v>
          </cell>
          <cell r="I42" t="str">
            <v>x</v>
          </cell>
        </row>
        <row r="43">
          <cell r="B43" t="str">
            <v>HVAC System Controls</v>
          </cell>
          <cell r="C43" t="str">
            <v>Garage CO2 ventilation</v>
          </cell>
          <cell r="D43" t="str">
            <v>Garage CO2 ventilation</v>
          </cell>
          <cell r="E43" t="str">
            <v>CBSA 2014</v>
          </cell>
          <cell r="F43" t="str">
            <v>Some</v>
          </cell>
          <cell r="H43" t="str">
            <v>Retro</v>
          </cell>
          <cell r="I43" t="str">
            <v>x</v>
          </cell>
        </row>
        <row r="44">
          <cell r="B44" t="str">
            <v>Pumps and Fans</v>
          </cell>
          <cell r="C44" t="str">
            <v>Circ Pump ECM and drive</v>
          </cell>
          <cell r="D44" t="str">
            <v>Circ Pump ECM and drive</v>
          </cell>
          <cell r="E44" t="str">
            <v>CBSA 2014</v>
          </cell>
          <cell r="F44" t="str">
            <v>Some</v>
          </cell>
          <cell r="H44" t="str">
            <v>Retro</v>
          </cell>
          <cell r="I44" t="str">
            <v>x</v>
          </cell>
        </row>
        <row r="45">
          <cell r="B45" t="str">
            <v>HVAC System Improvements</v>
          </cell>
          <cell r="C45" t="str">
            <v>VRF</v>
          </cell>
          <cell r="D45" t="str">
            <v>Variable Refrigerant Flow</v>
          </cell>
          <cell r="E45" t="str">
            <v>CBSA 2014</v>
          </cell>
          <cell r="F45" t="str">
            <v>Some</v>
          </cell>
          <cell r="H45" t="str">
            <v>New</v>
          </cell>
          <cell r="I45" t="str">
            <v>x</v>
          </cell>
        </row>
        <row r="46">
          <cell r="B46" t="str">
            <v>HVAC System Improvements</v>
          </cell>
          <cell r="C46" t="str">
            <v>VRF</v>
          </cell>
          <cell r="D46" t="str">
            <v>Variable Refrigerant Flow</v>
          </cell>
          <cell r="E46" t="str">
            <v>CBSA 2014</v>
          </cell>
          <cell r="F46" t="str">
            <v>Some</v>
          </cell>
          <cell r="H46" t="str">
            <v>New</v>
          </cell>
          <cell r="I46" t="str">
            <v>x</v>
          </cell>
        </row>
        <row r="47">
          <cell r="B47" t="str">
            <v>HVAC System Improvements</v>
          </cell>
          <cell r="C47" t="str">
            <v>Evaporator Roof Top HVAC</v>
          </cell>
          <cell r="D47" t="str">
            <v>Evaporator Roof Top HVAC</v>
          </cell>
          <cell r="E47" t="str">
            <v>CBSA 2014</v>
          </cell>
          <cell r="F47" t="str">
            <v>Some</v>
          </cell>
          <cell r="H47" t="str">
            <v>Retro</v>
          </cell>
          <cell r="I47" t="str">
            <v>x</v>
          </cell>
        </row>
        <row r="48">
          <cell r="B48" t="str">
            <v>Envelope</v>
          </cell>
          <cell r="C48" t="str">
            <v>Secondary Glazing Systems</v>
          </cell>
          <cell r="D48" t="str">
            <v>Secondary Glazing Systems</v>
          </cell>
          <cell r="E48" t="str">
            <v>CBSA 2014</v>
          </cell>
          <cell r="F48" t="str">
            <v>All</v>
          </cell>
          <cell r="H48" t="str">
            <v>Retro</v>
          </cell>
          <cell r="I48" t="str">
            <v>x</v>
          </cell>
        </row>
        <row r="49">
          <cell r="B49" t="str">
            <v>Lamps/Ballasts/Fixtures</v>
          </cell>
          <cell r="C49" t="str">
            <v>LPD Package</v>
          </cell>
          <cell r="D49" t="str">
            <v>Lighting Power Density</v>
          </cell>
          <cell r="E49" t="str">
            <v>CBSA 2014</v>
          </cell>
          <cell r="F49" t="str">
            <v>All</v>
          </cell>
          <cell r="H49" t="str">
            <v>New</v>
          </cell>
          <cell r="I49">
            <v>0</v>
          </cell>
        </row>
        <row r="50">
          <cell r="B50" t="str">
            <v>Lamps/Ballasts/Fixtures</v>
          </cell>
          <cell r="C50" t="str">
            <v>LPD Package</v>
          </cell>
          <cell r="D50" t="str">
            <v>Lighting Power Density</v>
          </cell>
          <cell r="E50" t="str">
            <v>CBSA 2014</v>
          </cell>
          <cell r="F50" t="str">
            <v>All</v>
          </cell>
          <cell r="H50" t="str">
            <v>New</v>
          </cell>
          <cell r="I50">
            <v>0</v>
          </cell>
        </row>
        <row r="51">
          <cell r="B51" t="str">
            <v>Lamps/Ballasts/Fixtures</v>
          </cell>
          <cell r="C51" t="str">
            <v>LPD Package</v>
          </cell>
          <cell r="D51" t="str">
            <v>Lighting Power Density</v>
          </cell>
          <cell r="E51" t="str">
            <v>CBSA 2014</v>
          </cell>
          <cell r="F51" t="str">
            <v>All</v>
          </cell>
          <cell r="H51" t="str">
            <v>New</v>
          </cell>
          <cell r="I51">
            <v>0</v>
          </cell>
        </row>
        <row r="52">
          <cell r="B52" t="str">
            <v>Lighting Controls</v>
          </cell>
          <cell r="C52" t="str">
            <v>Top Daylighting</v>
          </cell>
          <cell r="D52" t="str">
            <v>Daylighting with Skylights</v>
          </cell>
          <cell r="E52" t="str">
            <v>CBSA 2014</v>
          </cell>
          <cell r="F52" t="str">
            <v>All</v>
          </cell>
          <cell r="H52" t="str">
            <v>New</v>
          </cell>
          <cell r="I52">
            <v>0</v>
          </cell>
        </row>
        <row r="53">
          <cell r="B53" t="str">
            <v>Lighting Controls</v>
          </cell>
          <cell r="C53" t="str">
            <v>Perimeter Daylighting Controls Advanced</v>
          </cell>
          <cell r="D53" t="str">
            <v>Daylighting with Windows</v>
          </cell>
          <cell r="E53" t="str">
            <v>CBSA 2014</v>
          </cell>
          <cell r="F53" t="str">
            <v>All</v>
          </cell>
          <cell r="H53" t="str">
            <v>New</v>
          </cell>
          <cell r="I53">
            <v>0</v>
          </cell>
        </row>
        <row r="54">
          <cell r="B54" t="str">
            <v>Lighting Controls</v>
          </cell>
          <cell r="C54" t="str">
            <v>Perimeter Daylighting Controls Advanced</v>
          </cell>
          <cell r="D54" t="str">
            <v>Daylighting with Windows</v>
          </cell>
          <cell r="E54" t="str">
            <v>CBSA 2014</v>
          </cell>
          <cell r="F54" t="str">
            <v>All</v>
          </cell>
          <cell r="H54" t="str">
            <v>New</v>
          </cell>
          <cell r="I54">
            <v>0</v>
          </cell>
        </row>
        <row r="55">
          <cell r="B55" t="str">
            <v>Lighting Controls</v>
          </cell>
          <cell r="C55" t="str">
            <v>Lighting Controls Interior</v>
          </cell>
          <cell r="D55" t="str">
            <v>Lighting Controls Interior</v>
          </cell>
          <cell r="E55" t="str">
            <v>CBSA 2014</v>
          </cell>
          <cell r="F55" t="str">
            <v>All</v>
          </cell>
          <cell r="H55" t="str">
            <v>New</v>
          </cell>
          <cell r="I55">
            <v>0</v>
          </cell>
        </row>
        <row r="56">
          <cell r="B56" t="str">
            <v>Lighting Controls</v>
          </cell>
          <cell r="C56" t="str">
            <v>Lighting Controls Interior</v>
          </cell>
          <cell r="D56" t="str">
            <v>Lighting Controls Interior</v>
          </cell>
          <cell r="E56" t="str">
            <v>CBSA 2014</v>
          </cell>
          <cell r="F56" t="str">
            <v>All</v>
          </cell>
          <cell r="H56" t="str">
            <v>New</v>
          </cell>
          <cell r="I56">
            <v>0</v>
          </cell>
        </row>
        <row r="57">
          <cell r="B57" t="str">
            <v>Lamps/Ballasts/Fixtures</v>
          </cell>
          <cell r="C57" t="str">
            <v>Exterior Building Lighting</v>
          </cell>
          <cell r="D57" t="str">
            <v>Exterior Building Lighting</v>
          </cell>
          <cell r="E57" t="str">
            <v>CBSA 2014</v>
          </cell>
          <cell r="F57" t="str">
            <v>All</v>
          </cell>
          <cell r="H57" t="str">
            <v>New</v>
          </cell>
          <cell r="I57">
            <v>0</v>
          </cell>
        </row>
        <row r="58">
          <cell r="B58" t="str">
            <v>Lamps/Ballasts/Fixtures</v>
          </cell>
          <cell r="C58" t="str">
            <v>Exterior Building Lighting</v>
          </cell>
          <cell r="D58" t="str">
            <v>Exterior Building Lighting</v>
          </cell>
          <cell r="E58" t="str">
            <v>CBSA 2014</v>
          </cell>
          <cell r="F58" t="str">
            <v>All</v>
          </cell>
          <cell r="H58" t="str">
            <v>New</v>
          </cell>
          <cell r="I58">
            <v>0</v>
          </cell>
        </row>
        <row r="59">
          <cell r="B59" t="str">
            <v>Lamps/Ballasts/Fixtures</v>
          </cell>
          <cell r="C59" t="str">
            <v>Street and Roadway Lighting</v>
          </cell>
          <cell r="D59" t="str">
            <v>Street and Roadway Lighting</v>
          </cell>
          <cell r="E59" t="str">
            <v>Navigant 2014</v>
          </cell>
          <cell r="F59" t="str">
            <v>Non-Building</v>
          </cell>
          <cell r="H59" t="str">
            <v>New</v>
          </cell>
          <cell r="I59">
            <v>0</v>
          </cell>
        </row>
        <row r="60">
          <cell r="B60" t="str">
            <v>Lamps/Ballasts/Fixtures</v>
          </cell>
          <cell r="C60" t="str">
            <v>Street and Roadway Lighting</v>
          </cell>
          <cell r="D60" t="str">
            <v>Street and Roadway Lighting</v>
          </cell>
          <cell r="E60" t="str">
            <v>Navigant 2014</v>
          </cell>
          <cell r="F60" t="str">
            <v>Non-Building</v>
          </cell>
          <cell r="H60" t="str">
            <v>New</v>
          </cell>
          <cell r="I60">
            <v>0</v>
          </cell>
        </row>
        <row r="61">
          <cell r="B61" t="str">
            <v>Lamps/Ballasts/Fixtures</v>
          </cell>
          <cell r="C61" t="str">
            <v>Parking Lighting</v>
          </cell>
          <cell r="D61" t="str">
            <v>Parking Lighting</v>
          </cell>
          <cell r="E61" t="str">
            <v>CBSA 2014</v>
          </cell>
          <cell r="F61" t="str">
            <v>All</v>
          </cell>
          <cell r="H61" t="str">
            <v>New</v>
          </cell>
          <cell r="I61">
            <v>0</v>
          </cell>
        </row>
        <row r="62">
          <cell r="B62" t="str">
            <v>Lamps/Ballasts/Fixtures</v>
          </cell>
          <cell r="C62" t="str">
            <v>Parking Lighting</v>
          </cell>
          <cell r="D62" t="str">
            <v>Parking Lighting</v>
          </cell>
          <cell r="E62" t="str">
            <v>CBSA 2014</v>
          </cell>
          <cell r="F62" t="str">
            <v>All</v>
          </cell>
          <cell r="H62" t="str">
            <v>New</v>
          </cell>
          <cell r="I62">
            <v>0</v>
          </cell>
        </row>
        <row r="63">
          <cell r="B63" t="e">
            <v>#N/A</v>
          </cell>
          <cell r="C63" t="str">
            <v>Bi-Level Stiarwell Lighting</v>
          </cell>
          <cell r="D63" t="e">
            <v>#N/A</v>
          </cell>
          <cell r="E63" t="e">
            <v>#N/A</v>
          </cell>
          <cell r="F63" t="e">
            <v>#N/A</v>
          </cell>
          <cell r="H63" t="e">
            <v>#N/A</v>
          </cell>
          <cell r="I63" t="e">
            <v>#N/A</v>
          </cell>
        </row>
        <row r="64">
          <cell r="B64" t="str">
            <v>Motors</v>
          </cell>
          <cell r="C64" t="str">
            <v>ECM-VAV</v>
          </cell>
          <cell r="D64" t="str">
            <v>ECM Motors on Variable Air Volume Boxes</v>
          </cell>
          <cell r="E64" t="str">
            <v>CBSA 2014</v>
          </cell>
          <cell r="F64" t="str">
            <v>All</v>
          </cell>
          <cell r="H64" t="str">
            <v>New</v>
          </cell>
          <cell r="I64">
            <v>0</v>
          </cell>
        </row>
        <row r="65">
          <cell r="B65" t="str">
            <v>Motors</v>
          </cell>
          <cell r="C65" t="str">
            <v>ECM-VAV</v>
          </cell>
          <cell r="D65" t="str">
            <v>ECM Motors on Variable Air Volume Boxes</v>
          </cell>
          <cell r="E65" t="str">
            <v>CBSA 2014</v>
          </cell>
          <cell r="F65" t="str">
            <v>All</v>
          </cell>
          <cell r="H65" t="str">
            <v>New</v>
          </cell>
          <cell r="I65">
            <v>0</v>
          </cell>
        </row>
        <row r="66">
          <cell r="B66" t="str">
            <v>Pool System Improvements</v>
          </cell>
          <cell r="C66" t="str">
            <v>Pool pumps</v>
          </cell>
          <cell r="D66" t="str">
            <v>Pool pumps</v>
          </cell>
          <cell r="E66" t="str">
            <v>CBSA 2014</v>
          </cell>
          <cell r="F66" t="str">
            <v>Some</v>
          </cell>
          <cell r="H66" t="str">
            <v>Retro</v>
          </cell>
          <cell r="I66" t="str">
            <v>x</v>
          </cell>
        </row>
        <row r="67">
          <cell r="B67" t="str">
            <v>Motors</v>
          </cell>
          <cell r="C67" t="str">
            <v>MotorsRewind</v>
          </cell>
          <cell r="D67" t="str">
            <v>Motors - Rewind</v>
          </cell>
          <cell r="E67" t="str">
            <v>CBSA 2014</v>
          </cell>
          <cell r="F67" t="str">
            <v>All</v>
          </cell>
          <cell r="H67" t="str">
            <v>New</v>
          </cell>
          <cell r="I67" t="str">
            <v>x</v>
          </cell>
        </row>
        <row r="68">
          <cell r="B68" t="str">
            <v>Motors</v>
          </cell>
          <cell r="C68" t="str">
            <v>MotorsRewind</v>
          </cell>
          <cell r="D68" t="str">
            <v>Motors - Rewind</v>
          </cell>
          <cell r="E68" t="str">
            <v>CBSA 2014</v>
          </cell>
          <cell r="F68" t="str">
            <v>All</v>
          </cell>
          <cell r="H68" t="str">
            <v>New</v>
          </cell>
          <cell r="I68" t="str">
            <v>x</v>
          </cell>
        </row>
        <row r="69">
          <cell r="B69" t="str">
            <v>Process Loads System Improvements</v>
          </cell>
          <cell r="C69" t="str">
            <v>Municipal Sewage Treatment</v>
          </cell>
          <cell r="D69" t="str">
            <v>Municipal Sewage Treatment</v>
          </cell>
          <cell r="E69" t="str">
            <v>2013 EPA Flow rates</v>
          </cell>
          <cell r="F69" t="str">
            <v>Non-Building</v>
          </cell>
          <cell r="H69" t="str">
            <v>Retro</v>
          </cell>
          <cell r="I69">
            <v>0</v>
          </cell>
        </row>
        <row r="70">
          <cell r="B70" t="str">
            <v>Process Loads System Improvements</v>
          </cell>
          <cell r="C70" t="str">
            <v>Municipal Water Supply</v>
          </cell>
          <cell r="D70" t="str">
            <v>Municipal Water Supply</v>
          </cell>
          <cell r="E70" t="str">
            <v>2013 EPA Flow rates</v>
          </cell>
          <cell r="F70" t="str">
            <v>Non-Building</v>
          </cell>
          <cell r="H70" t="str">
            <v>Retro</v>
          </cell>
          <cell r="I70">
            <v>0</v>
          </cell>
        </row>
        <row r="71">
          <cell r="B71" t="str">
            <v>Process Loads System Controls</v>
          </cell>
          <cell r="C71" t="str">
            <v>Engine Generator Block Heaters</v>
          </cell>
          <cell r="D71" t="str">
            <v>Engine Generator Block Heaters</v>
          </cell>
          <cell r="E71" t="str">
            <v>No Control</v>
          </cell>
          <cell r="F71" t="str">
            <v>All</v>
          </cell>
          <cell r="H71" t="str">
            <v>Retro</v>
          </cell>
          <cell r="I71" t="str">
            <v>x</v>
          </cell>
        </row>
        <row r="72">
          <cell r="B72" t="str">
            <v>Refrigeration System Improvements</v>
          </cell>
          <cell r="C72" t="str">
            <v>Grocery Refrigeration Bundle</v>
          </cell>
          <cell r="D72" t="str">
            <v>Grocery Refrigeration Bundle</v>
          </cell>
          <cell r="E72" t="str">
            <v>CBSA 2014</v>
          </cell>
          <cell r="F72" t="str">
            <v>Grocery</v>
          </cell>
          <cell r="H72" t="str">
            <v>Retro</v>
          </cell>
          <cell r="I72">
            <v>0</v>
          </cell>
        </row>
        <row r="73">
          <cell r="B73" t="str">
            <v>Packaged Refrigeration</v>
          </cell>
          <cell r="C73" t="str">
            <v>Packaged Refrigeration Equipment</v>
          </cell>
          <cell r="D73" t="str">
            <v>Packaged Refrigeration Equipment</v>
          </cell>
          <cell r="E73" t="str">
            <v>CBSA 2014</v>
          </cell>
          <cell r="F73" t="str">
            <v>Grocery</v>
          </cell>
          <cell r="H73" t="str">
            <v>New</v>
          </cell>
          <cell r="I73">
            <v>0</v>
          </cell>
        </row>
        <row r="74">
          <cell r="B74" t="str">
            <v>Refrigeration System Improvements</v>
          </cell>
          <cell r="C74" t="str">
            <v>Appliances - Freezers</v>
          </cell>
          <cell r="D74" t="str">
            <v>Appliances - Freezers</v>
          </cell>
          <cell r="E74" t="str">
            <v>Fed Std 2014</v>
          </cell>
          <cell r="F74" t="str">
            <v>All</v>
          </cell>
          <cell r="H74" t="str">
            <v>NR</v>
          </cell>
          <cell r="I74" t="str">
            <v>x</v>
          </cell>
        </row>
        <row r="75">
          <cell r="B75" t="str">
            <v>Refrigeration System Improvements</v>
          </cell>
          <cell r="C75" t="str">
            <v>Appliances - Refrigerators</v>
          </cell>
          <cell r="D75" t="str">
            <v>Appliances - Refrigerators</v>
          </cell>
          <cell r="E75" t="str">
            <v>Fed Std 2014</v>
          </cell>
          <cell r="F75" t="str">
            <v>All</v>
          </cell>
          <cell r="H75" t="str">
            <v>NR</v>
          </cell>
          <cell r="I75" t="str">
            <v>x</v>
          </cell>
        </row>
        <row r="76">
          <cell r="B76" t="str">
            <v>Refrigeration System Controls</v>
          </cell>
          <cell r="C76" t="str">
            <v>Water Cooler Controls</v>
          </cell>
          <cell r="D76" t="str">
            <v>Water Cooler Controls</v>
          </cell>
          <cell r="E76" t="str">
            <v>Uncontrolled</v>
          </cell>
          <cell r="F76" t="str">
            <v>Some</v>
          </cell>
          <cell r="H76" t="str">
            <v>NR</v>
          </cell>
          <cell r="I76" t="str">
            <v>x</v>
          </cell>
        </row>
        <row r="77">
          <cell r="B77" t="str">
            <v>Water Using Devices</v>
          </cell>
          <cell r="C77" t="str">
            <v>WHTanks</v>
          </cell>
          <cell r="D77" t="str">
            <v>DHW - Efficient Tanks</v>
          </cell>
          <cell r="E77" t="str">
            <v>CBSA 2014</v>
          </cell>
          <cell r="F77" t="str">
            <v>Some</v>
          </cell>
          <cell r="H77" t="str">
            <v>New</v>
          </cell>
          <cell r="I77">
            <v>0</v>
          </cell>
        </row>
        <row r="78">
          <cell r="B78" t="str">
            <v>Water Using Devices</v>
          </cell>
          <cell r="C78" t="str">
            <v>WHTanks</v>
          </cell>
          <cell r="D78" t="str">
            <v>DHW - Efficient Tanks</v>
          </cell>
          <cell r="E78" t="str">
            <v>CBSA 2014</v>
          </cell>
          <cell r="F78" t="str">
            <v>Some</v>
          </cell>
          <cell r="H78" t="str">
            <v>New</v>
          </cell>
          <cell r="I78">
            <v>0</v>
          </cell>
        </row>
        <row r="79">
          <cell r="B79" t="str">
            <v>Water Using Devices</v>
          </cell>
          <cell r="C79" t="str">
            <v>Appliances - Clothes Washers</v>
          </cell>
          <cell r="D79" t="str">
            <v>Appliances - Clothes Washers</v>
          </cell>
          <cell r="E79" t="str">
            <v>CBSA 2014</v>
          </cell>
          <cell r="F79" t="str">
            <v>Some</v>
          </cell>
          <cell r="H79" t="str">
            <v>NR</v>
          </cell>
          <cell r="I79" t="str">
            <v>x</v>
          </cell>
        </row>
        <row r="80">
          <cell r="B80" t="str">
            <v>Water Using Devices</v>
          </cell>
          <cell r="C80" t="str">
            <v>Showerheads</v>
          </cell>
          <cell r="D80" t="str">
            <v>DHW - Showerheads</v>
          </cell>
          <cell r="E80" t="str">
            <v>2.5 GPM</v>
          </cell>
          <cell r="F80" t="str">
            <v>Some</v>
          </cell>
          <cell r="H80" t="str">
            <v>Retro</v>
          </cell>
          <cell r="I80" t="str">
            <v>x</v>
          </cell>
        </row>
        <row r="81">
          <cell r="B81" t="str">
            <v>Water Using Devices</v>
          </cell>
          <cell r="C81" t="str">
            <v>Water Heating - GFHX</v>
          </cell>
          <cell r="D81" t="str">
            <v>Water Heating - GFHX</v>
          </cell>
          <cell r="E81" t="str">
            <v>No Heat Recovery</v>
          </cell>
          <cell r="F81" t="str">
            <v>All</v>
          </cell>
          <cell r="H81" t="str">
            <v>New</v>
          </cell>
          <cell r="I81" t="str">
            <v>x</v>
          </cell>
        </row>
        <row r="82">
          <cell r="B82" t="str">
            <v>Water Using Devices</v>
          </cell>
          <cell r="C82" t="str">
            <v>Demand Control Circulating system DHW</v>
          </cell>
          <cell r="D82" t="str">
            <v>Demand Control Circulating system DHW</v>
          </cell>
          <cell r="E82" t="str">
            <v>CBSA 2014</v>
          </cell>
          <cell r="F82" t="str">
            <v>Some</v>
          </cell>
          <cell r="H82" t="str">
            <v>Retro</v>
          </cell>
          <cell r="I82" t="str">
            <v>x</v>
          </cell>
        </row>
        <row r="83">
          <cell r="B83" t="str">
            <v>Water Heaters</v>
          </cell>
          <cell r="C83" t="str">
            <v>Central HPWH MF</v>
          </cell>
          <cell r="D83" t="str">
            <v>Central HPWH MF</v>
          </cell>
          <cell r="E83" t="str">
            <v>CBSA 2014</v>
          </cell>
          <cell r="F83" t="str">
            <v>Multifamily</v>
          </cell>
          <cell r="H83" t="str">
            <v>Retro</v>
          </cell>
          <cell r="I83" t="str">
            <v>x</v>
          </cell>
        </row>
        <row r="84">
          <cell r="B84" t="str">
            <v>Whole Bldg/Meter Level System Improvements</v>
          </cell>
          <cell r="C84" t="str">
            <v>Ultra Low Energy Building</v>
          </cell>
          <cell r="D84" t="str">
            <v>Ultra Low Energy Building</v>
          </cell>
          <cell r="E84" t="str">
            <v>Code</v>
          </cell>
          <cell r="F84" t="str">
            <v>Some</v>
          </cell>
          <cell r="H84" t="str">
            <v>New</v>
          </cell>
          <cell r="I84">
            <v>0</v>
          </cell>
        </row>
        <row r="85">
          <cell r="B85" t="e">
            <v>#N/A</v>
          </cell>
          <cell r="C85" t="str">
            <v>HPLowPowerGSFL</v>
          </cell>
          <cell r="D85" t="e">
            <v>#N/A</v>
          </cell>
          <cell r="E85" t="e">
            <v>#N/A</v>
          </cell>
          <cell r="F85" t="e">
            <v>#N/A</v>
          </cell>
          <cell r="H85" t="e">
            <v>#N/A</v>
          </cell>
          <cell r="I85" t="e">
            <v>#N/A</v>
          </cell>
        </row>
      </sheetData>
      <sheetData sheetId="18">
        <row r="11">
          <cell r="B11" t="str">
            <v>Assembly</v>
          </cell>
          <cell r="C11">
            <v>0.22184609974487568</v>
          </cell>
          <cell r="D11">
            <v>0.77815390025512432</v>
          </cell>
          <cell r="E11">
            <v>1</v>
          </cell>
          <cell r="G11" t="str">
            <v>Assembly</v>
          </cell>
          <cell r="H11">
            <v>0.47962038771740423</v>
          </cell>
          <cell r="I11">
            <v>0.52037961228259577</v>
          </cell>
          <cell r="J11">
            <v>1</v>
          </cell>
          <cell r="L11">
            <v>0.10640191237323121</v>
          </cell>
          <cell r="M11">
            <v>0.77815390025512432</v>
          </cell>
          <cell r="N11">
            <v>0.11544418737164447</v>
          </cell>
          <cell r="O11">
            <v>1</v>
          </cell>
        </row>
        <row r="12">
          <cell r="B12" t="str">
            <v>Grocery</v>
          </cell>
          <cell r="C12">
            <v>0.19141181754336017</v>
          </cell>
          <cell r="D12">
            <v>0.80858818245663977</v>
          </cell>
          <cell r="E12">
            <v>1</v>
          </cell>
          <cell r="G12" t="str">
            <v>Grocery</v>
          </cell>
          <cell r="H12">
            <v>0.38592097461312147</v>
          </cell>
          <cell r="I12">
            <v>0.61407902538687853</v>
          </cell>
          <cell r="J12">
            <v>1</v>
          </cell>
          <cell r="L12">
            <v>7.3869835178802537E-2</v>
          </cell>
          <cell r="M12">
            <v>0.80858818245663977</v>
          </cell>
          <cell r="N12">
            <v>0.11754198236455764</v>
          </cell>
          <cell r="O12">
            <v>0.99999999999999989</v>
          </cell>
        </row>
        <row r="13">
          <cell r="B13" t="str">
            <v>Lodging</v>
          </cell>
          <cell r="C13">
            <v>0.75058251470213166</v>
          </cell>
          <cell r="D13">
            <v>0.24941748529786834</v>
          </cell>
          <cell r="E13">
            <v>1</v>
          </cell>
          <cell r="G13" t="str">
            <v>Lodging</v>
          </cell>
          <cell r="H13">
            <v>0.59526013213262075</v>
          </cell>
          <cell r="I13">
            <v>0.40473986786737931</v>
          </cell>
          <cell r="J13">
            <v>1</v>
          </cell>
          <cell r="L13">
            <v>0.44679184687802564</v>
          </cell>
          <cell r="M13">
            <v>0.24941748529786834</v>
          </cell>
          <cell r="N13">
            <v>0.30379066782410608</v>
          </cell>
          <cell r="O13">
            <v>1</v>
          </cell>
        </row>
        <row r="14">
          <cell r="B14" t="str">
            <v>Office</v>
          </cell>
          <cell r="C14">
            <v>0.51635908187299928</v>
          </cell>
          <cell r="D14">
            <v>0.48364091812700072</v>
          </cell>
          <cell r="E14">
            <v>1</v>
          </cell>
          <cell r="G14" t="str">
            <v>Office</v>
          </cell>
          <cell r="H14">
            <v>0.45565580415878149</v>
          </cell>
          <cell r="I14">
            <v>0.54434419584121851</v>
          </cell>
          <cell r="J14">
            <v>1</v>
          </cell>
          <cell r="L14">
            <v>0.23528201268553159</v>
          </cell>
          <cell r="M14">
            <v>0.48364091812700072</v>
          </cell>
          <cell r="N14">
            <v>0.28107706918746772</v>
          </cell>
          <cell r="O14">
            <v>1</v>
          </cell>
        </row>
        <row r="15">
          <cell r="B15" t="str">
            <v>Other</v>
          </cell>
          <cell r="C15">
            <v>0.27428395672737665</v>
          </cell>
          <cell r="D15">
            <v>0.7257160432726234</v>
          </cell>
          <cell r="E15">
            <v>1</v>
          </cell>
          <cell r="G15" t="str">
            <v>Other</v>
          </cell>
          <cell r="H15">
            <v>0.6175903960921354</v>
          </cell>
          <cell r="I15">
            <v>0.38240960390786466</v>
          </cell>
          <cell r="J15">
            <v>1</v>
          </cell>
          <cell r="L15">
            <v>0.16939513747697868</v>
          </cell>
          <cell r="M15">
            <v>0.7257160432726234</v>
          </cell>
          <cell r="N15">
            <v>0.104888819250398</v>
          </cell>
          <cell r="O15">
            <v>1</v>
          </cell>
        </row>
        <row r="16">
          <cell r="B16" t="str">
            <v>Residential Care</v>
          </cell>
          <cell r="C16">
            <v>0.59443378738060659</v>
          </cell>
          <cell r="D16">
            <v>0.40556621261939335</v>
          </cell>
          <cell r="E16">
            <v>1</v>
          </cell>
          <cell r="G16" t="str">
            <v>Residential Care</v>
          </cell>
          <cell r="H16">
            <v>0.57173215680136025</v>
          </cell>
          <cell r="I16">
            <v>0.42826784319863981</v>
          </cell>
          <cell r="J16">
            <v>1</v>
          </cell>
          <cell r="L16">
            <v>0.33985691133471541</v>
          </cell>
          <cell r="M16">
            <v>0.40556621261939335</v>
          </cell>
          <cell r="N16">
            <v>0.25457687604589124</v>
          </cell>
          <cell r="O16">
            <v>1</v>
          </cell>
        </row>
        <row r="17">
          <cell r="B17" t="str">
            <v>Restaurant</v>
          </cell>
          <cell r="C17">
            <v>0.20634715054031719</v>
          </cell>
          <cell r="D17">
            <v>0.79365284945968273</v>
          </cell>
          <cell r="E17">
            <v>1</v>
          </cell>
          <cell r="G17" t="str">
            <v>Restaurant</v>
          </cell>
          <cell r="H17">
            <v>0.1456310681449533</v>
          </cell>
          <cell r="I17">
            <v>0.8543689318550467</v>
          </cell>
          <cell r="J17">
            <v>1</v>
          </cell>
          <cell r="L17">
            <v>3.0050555941853869E-2</v>
          </cell>
          <cell r="M17">
            <v>0.79365284945968273</v>
          </cell>
          <cell r="N17">
            <v>0.17629659459846331</v>
          </cell>
          <cell r="O17">
            <v>1</v>
          </cell>
        </row>
        <row r="18">
          <cell r="B18" t="str">
            <v>Retail/Service</v>
          </cell>
          <cell r="C18">
            <v>0.17516537112508487</v>
          </cell>
          <cell r="D18">
            <v>0.8248346288749151</v>
          </cell>
          <cell r="E18">
            <v>1</v>
          </cell>
          <cell r="G18" t="str">
            <v>Retail/Service</v>
          </cell>
          <cell r="H18">
            <v>0.63140923348225164</v>
          </cell>
          <cell r="I18">
            <v>0.3685907665177483</v>
          </cell>
          <cell r="J18">
            <v>1</v>
          </cell>
          <cell r="L18">
            <v>0.11060103271472398</v>
          </cell>
          <cell r="M18">
            <v>0.8248346288749151</v>
          </cell>
          <cell r="N18">
            <v>6.4564338410360883E-2</v>
          </cell>
          <cell r="O18">
            <v>1</v>
          </cell>
        </row>
        <row r="19">
          <cell r="B19" t="str">
            <v>School K-12</v>
          </cell>
          <cell r="C19">
            <v>0.15222217778811709</v>
          </cell>
          <cell r="D19">
            <v>0.84777782221188291</v>
          </cell>
          <cell r="E19">
            <v>1</v>
          </cell>
          <cell r="G19" t="str">
            <v>School K-12</v>
          </cell>
          <cell r="H19">
            <v>0.38344835656863396</v>
          </cell>
          <cell r="I19">
            <v>0.61655164343136604</v>
          </cell>
          <cell r="J19">
            <v>1</v>
          </cell>
          <cell r="L19">
            <v>5.8369343906151915E-2</v>
          </cell>
          <cell r="M19">
            <v>0.84777782221188291</v>
          </cell>
          <cell r="N19">
            <v>9.3852833881965178E-2</v>
          </cell>
          <cell r="O19">
            <v>1</v>
          </cell>
        </row>
        <row r="20">
          <cell r="B20" t="str">
            <v>Warehouse</v>
          </cell>
          <cell r="C20">
            <v>1.2996176702745714E-2</v>
          </cell>
          <cell r="D20">
            <v>0.98700382329725422</v>
          </cell>
          <cell r="E20">
            <v>1</v>
          </cell>
          <cell r="G20" t="str">
            <v>Warehouse</v>
          </cell>
          <cell r="H20">
            <v>0.49190726224873216</v>
          </cell>
          <cell r="I20">
            <v>0.50809273775126784</v>
          </cell>
          <cell r="J20">
            <v>1</v>
          </cell>
          <cell r="L20">
            <v>6.3929137015483993E-3</v>
          </cell>
          <cell r="M20">
            <v>0.98700382329725422</v>
          </cell>
          <cell r="N20">
            <v>6.6032630011973147E-3</v>
          </cell>
          <cell r="O20">
            <v>0.99999999999999989</v>
          </cell>
        </row>
        <row r="21">
          <cell r="B21" t="str">
            <v>Grand Total</v>
          </cell>
          <cell r="C21">
            <v>0.31549365790667433</v>
          </cell>
          <cell r="D21">
            <v>0.68450634209332561</v>
          </cell>
          <cell r="E21">
            <v>1</v>
          </cell>
          <cell r="G21" t="str">
            <v>Grand Total</v>
          </cell>
          <cell r="H21">
            <v>0.51592151636315642</v>
          </cell>
          <cell r="I21">
            <v>0.48407848363684358</v>
          </cell>
          <cell r="J21">
            <v>1</v>
          </cell>
          <cell r="L21">
            <v>0.16276996639017036</v>
          </cell>
          <cell r="M21">
            <v>0.68450634209332561</v>
          </cell>
          <cell r="N21">
            <v>0.15272369151650397</v>
          </cell>
          <cell r="O21">
            <v>1</v>
          </cell>
        </row>
        <row r="25">
          <cell r="B25" t="str">
            <v>Built-up share - for Com_Master -CHAR</v>
          </cell>
        </row>
        <row r="27">
          <cell r="B27" t="str">
            <v>Multizone Systems Only</v>
          </cell>
          <cell r="C27" t="str">
            <v>Everything But SZ ducted systems</v>
          </cell>
          <cell r="G27" t="str">
            <v>Custom work in this table</v>
          </cell>
          <cell r="K27" t="str">
            <v>Electric</v>
          </cell>
          <cell r="L27" t="str">
            <v>Gas</v>
          </cell>
          <cell r="M27" t="str">
            <v>HP</v>
          </cell>
          <cell r="N27" t="str">
            <v>Total</v>
          </cell>
          <cell r="P27" t="str">
            <v>Everything But SZ Ducted</v>
          </cell>
        </row>
        <row r="28">
          <cell r="B28">
            <v>0.13911514778937467</v>
          </cell>
          <cell r="C28">
            <v>0.27379566641599334</v>
          </cell>
          <cell r="G28" t="str">
            <v>Not all formulas are the same</v>
          </cell>
          <cell r="I28" t="str">
            <v>Large Off</v>
          </cell>
          <cell r="J28" t="str">
            <v>&gt;50,000</v>
          </cell>
          <cell r="K28">
            <v>0.20943280302167308</v>
          </cell>
          <cell r="L28">
            <v>0.54037060186620078</v>
          </cell>
          <cell r="M28">
            <v>0.25019659511212627</v>
          </cell>
          <cell r="N28">
            <v>1.0000000000000002</v>
          </cell>
          <cell r="P28">
            <v>0.72977881629252517</v>
          </cell>
        </row>
        <row r="29">
          <cell r="B29">
            <v>0</v>
          </cell>
          <cell r="C29">
            <v>0.20656505403266429</v>
          </cell>
          <cell r="G29" t="str">
            <v>Pulling from different parts of this worksheet</v>
          </cell>
          <cell r="I29" t="str">
            <v>Medium Off</v>
          </cell>
          <cell r="J29" t="str">
            <v>5,000 to 50,000</v>
          </cell>
          <cell r="K29">
            <v>0.22131165109110185</v>
          </cell>
          <cell r="L29">
            <v>0.51430081857580845</v>
          </cell>
          <cell r="M29">
            <v>0.26438753033308959</v>
          </cell>
          <cell r="N29">
            <v>0.99999999999999989</v>
          </cell>
          <cell r="P29">
            <v>0.46635610541382266</v>
          </cell>
        </row>
        <row r="30">
          <cell r="B30">
            <v>0.53</v>
          </cell>
          <cell r="C30">
            <v>0.53</v>
          </cell>
          <cell r="I30" t="str">
            <v>Small Off</v>
          </cell>
          <cell r="J30" t="str">
            <v>&lt;5,000</v>
          </cell>
          <cell r="K30">
            <v>0.30640942705415353</v>
          </cell>
          <cell r="L30">
            <v>0.3275419203320854</v>
          </cell>
          <cell r="M30">
            <v>0.36604865261376096</v>
          </cell>
          <cell r="N30">
            <v>0.99999999999999989</v>
          </cell>
          <cell r="P30">
            <v>0.18010901567330029</v>
          </cell>
        </row>
        <row r="31">
          <cell r="B31">
            <v>5.6924185465057203E-2</v>
          </cell>
          <cell r="C31">
            <v>0.68482020855141457</v>
          </cell>
          <cell r="I31" t="str">
            <v>Xlarge Ret</v>
          </cell>
          <cell r="J31" t="str">
            <v>&gt;100,000</v>
          </cell>
          <cell r="K31">
            <v>5.2995881766435368E-2</v>
          </cell>
          <cell r="L31">
            <v>0.91606730000738101</v>
          </cell>
          <cell r="M31">
            <v>3.0936818226183656E-2</v>
          </cell>
          <cell r="N31">
            <v>1</v>
          </cell>
          <cell r="P31">
            <v>0.2530928144049488</v>
          </cell>
        </row>
        <row r="32">
          <cell r="B32">
            <v>0.25506362599984067</v>
          </cell>
          <cell r="C32">
            <v>0.37830047353246543</v>
          </cell>
          <cell r="I32" t="str">
            <v>Large Ret</v>
          </cell>
          <cell r="J32" t="str">
            <v>50,000 - 100,000</v>
          </cell>
          <cell r="K32">
            <v>1.0593107738682607E-2</v>
          </cell>
          <cell r="L32">
            <v>0.98322307122393326</v>
          </cell>
          <cell r="M32">
            <v>6.1838210373840949E-3</v>
          </cell>
          <cell r="N32">
            <v>1</v>
          </cell>
          <cell r="P32">
            <v>0.2530928144049488</v>
          </cell>
        </row>
        <row r="33">
          <cell r="B33">
            <v>0.16716328428783481</v>
          </cell>
          <cell r="C33">
            <v>0.46120223430256424</v>
          </cell>
          <cell r="I33" t="str">
            <v>Medium Ret</v>
          </cell>
          <cell r="J33" t="str">
            <v>5000 - 50,000</v>
          </cell>
          <cell r="K33">
            <v>0.12006240959495594</v>
          </cell>
          <cell r="L33">
            <v>0.80985008893074606</v>
          </cell>
          <cell r="M33">
            <v>7.0087501474297986E-2</v>
          </cell>
          <cell r="N33">
            <v>1</v>
          </cell>
          <cell r="P33">
            <v>0.2530928144049488</v>
          </cell>
        </row>
        <row r="34">
          <cell r="B34">
            <v>2.8348285792584815E-2</v>
          </cell>
          <cell r="C34">
            <v>0.52265270042747103</v>
          </cell>
          <cell r="I34" t="str">
            <v>Small Ret</v>
          </cell>
          <cell r="J34" t="str">
            <v>&lt;5000</v>
          </cell>
          <cell r="K34">
            <v>0.2732917310450087</v>
          </cell>
          <cell r="L34">
            <v>0.56717178566142912</v>
          </cell>
          <cell r="M34">
            <v>0.15953648329356207</v>
          </cell>
          <cell r="N34">
            <v>0.99999999999999989</v>
          </cell>
          <cell r="P34">
            <v>0.2530928144049488</v>
          </cell>
        </row>
        <row r="35">
          <cell r="B35">
            <v>0</v>
          </cell>
          <cell r="C35">
            <v>5.8610362131589246E-2</v>
          </cell>
          <cell r="I35" t="str">
            <v>School K-12</v>
          </cell>
          <cell r="J35" t="str">
            <v>Any</v>
          </cell>
          <cell r="K35">
            <v>5.8369343906151915E-2</v>
          </cell>
          <cell r="L35">
            <v>0.84777782221188291</v>
          </cell>
          <cell r="M35">
            <v>9.3852833881965178E-2</v>
          </cell>
          <cell r="N35">
            <v>1</v>
          </cell>
          <cell r="P35">
            <v>0.45489304544728093</v>
          </cell>
        </row>
        <row r="36">
          <cell r="B36">
            <v>1.9041724473909054E-2</v>
          </cell>
          <cell r="C36">
            <v>0.2530928144049488</v>
          </cell>
          <cell r="I36" t="str">
            <v>University</v>
          </cell>
          <cell r="J36" t="str">
            <v>Any</v>
          </cell>
          <cell r="K36">
            <v>5.8369343906151915E-2</v>
          </cell>
          <cell r="L36">
            <v>0.84777782221188291</v>
          </cell>
          <cell r="M36">
            <v>9.3852833881965178E-2</v>
          </cell>
          <cell r="N36">
            <v>1</v>
          </cell>
          <cell r="P36">
            <v>0.45489304544728093</v>
          </cell>
        </row>
        <row r="37">
          <cell r="B37">
            <v>0.21392277044122734</v>
          </cell>
          <cell r="C37">
            <v>0.45489304544728093</v>
          </cell>
          <cell r="I37" t="str">
            <v>Warehouse</v>
          </cell>
          <cell r="J37" t="str">
            <v>Any</v>
          </cell>
          <cell r="K37">
            <v>6.3929137015483993E-3</v>
          </cell>
          <cell r="L37">
            <v>0.98700382329725422</v>
          </cell>
          <cell r="M37">
            <v>6.6032630011973147E-3</v>
          </cell>
          <cell r="N37">
            <v>0.99999999999999989</v>
          </cell>
          <cell r="P37">
            <v>0.68364721407456519</v>
          </cell>
        </row>
        <row r="38">
          <cell r="B38">
            <v>0.72</v>
          </cell>
          <cell r="C38">
            <v>0.72</v>
          </cell>
          <cell r="I38" t="str">
            <v>Supermarket</v>
          </cell>
          <cell r="J38" t="str">
            <v>&gt; 5000</v>
          </cell>
          <cell r="K38">
            <v>3.9182634298973458E-2</v>
          </cell>
          <cell r="L38">
            <v>0.46957192737561176</v>
          </cell>
          <cell r="M38">
            <v>6.234756715808213E-2</v>
          </cell>
          <cell r="N38">
            <v>0.57110212883266731</v>
          </cell>
          <cell r="P38">
            <v>0.20656505403266429</v>
          </cell>
        </row>
        <row r="39">
          <cell r="B39">
            <v>0</v>
          </cell>
          <cell r="C39">
            <v>0.68364721407456519</v>
          </cell>
          <cell r="I39" t="str">
            <v>MiniMart</v>
          </cell>
          <cell r="J39" t="str">
            <v>&lt; 5000</v>
          </cell>
          <cell r="K39">
            <v>9.8940421863423066E-3</v>
          </cell>
          <cell r="L39">
            <v>0.86606113087441317</v>
          </cell>
          <cell r="M39">
            <v>1.5743440192688529E-2</v>
          </cell>
          <cell r="N39">
            <v>0.89169861325344391</v>
          </cell>
          <cell r="P39">
            <v>0.20656505403266429</v>
          </cell>
        </row>
        <row r="40">
          <cell r="I40" t="str">
            <v>Restaurant</v>
          </cell>
          <cell r="J40" t="str">
            <v>Any</v>
          </cell>
          <cell r="K40">
            <v>3.0050555941853869E-2</v>
          </cell>
          <cell r="L40">
            <v>0.79365284945968273</v>
          </cell>
          <cell r="M40">
            <v>0.17629659459846331</v>
          </cell>
          <cell r="N40">
            <v>1</v>
          </cell>
          <cell r="P40">
            <v>5.8610362131589246E-2</v>
          </cell>
        </row>
        <row r="41">
          <cell r="I41" t="str">
            <v>Lodging</v>
          </cell>
          <cell r="J41" t="str">
            <v>Any</v>
          </cell>
          <cell r="K41">
            <v>0.44679184687802564</v>
          </cell>
          <cell r="L41">
            <v>0.24941748529786834</v>
          </cell>
          <cell r="M41">
            <v>0.30379066782410608</v>
          </cell>
          <cell r="N41">
            <v>1</v>
          </cell>
          <cell r="P41">
            <v>0.68482020855141457</v>
          </cell>
        </row>
        <row r="42">
          <cell r="I42" t="str">
            <v>Hospital</v>
          </cell>
          <cell r="J42" t="str">
            <v>Any</v>
          </cell>
          <cell r="K42">
            <v>0.33985691133471541</v>
          </cell>
          <cell r="L42">
            <v>0.40556621261939335</v>
          </cell>
          <cell r="M42">
            <v>0.25457687604589124</v>
          </cell>
          <cell r="N42">
            <v>1</v>
          </cell>
          <cell r="P42">
            <v>0.53</v>
          </cell>
        </row>
        <row r="43">
          <cell r="I43" t="str">
            <v>Residential Care</v>
          </cell>
          <cell r="J43" t="str">
            <v>Any</v>
          </cell>
          <cell r="K43">
            <v>0.33985691133471541</v>
          </cell>
          <cell r="L43">
            <v>0.40556621261939335</v>
          </cell>
          <cell r="M43">
            <v>0.25457687604589124</v>
          </cell>
          <cell r="N43">
            <v>1</v>
          </cell>
          <cell r="P43">
            <v>0.53</v>
          </cell>
        </row>
        <row r="44">
          <cell r="I44" t="str">
            <v>Assembly</v>
          </cell>
          <cell r="J44" t="str">
            <v>Any</v>
          </cell>
          <cell r="K44">
            <v>0.10640191237323121</v>
          </cell>
          <cell r="L44">
            <v>0.77815390025512432</v>
          </cell>
          <cell r="M44">
            <v>0.11544418737164447</v>
          </cell>
          <cell r="N44">
            <v>1</v>
          </cell>
          <cell r="P44">
            <v>0.27379566641599334</v>
          </cell>
        </row>
        <row r="45">
          <cell r="I45" t="str">
            <v>Other</v>
          </cell>
          <cell r="J45" t="str">
            <v>Any</v>
          </cell>
          <cell r="K45">
            <v>0.16939513747697868</v>
          </cell>
          <cell r="L45">
            <v>0.7257160432726234</v>
          </cell>
          <cell r="M45">
            <v>0.104888819250398</v>
          </cell>
          <cell r="N45">
            <v>1</v>
          </cell>
          <cell r="P45">
            <v>0.46120223430256424</v>
          </cell>
        </row>
        <row r="48">
          <cell r="B48" t="str">
            <v>Site_ID</v>
          </cell>
          <cell r="C48" t="str">
            <v>(All)</v>
          </cell>
        </row>
        <row r="49">
          <cell r="B49" t="str">
            <v>Fan_Ctr</v>
          </cell>
          <cell r="C49" t="str">
            <v>(All)</v>
          </cell>
        </row>
        <row r="50">
          <cell r="B50" t="str">
            <v>DistSys</v>
          </cell>
          <cell r="C50" t="str">
            <v>(All)</v>
          </cell>
        </row>
        <row r="51">
          <cell r="B51" t="str">
            <v>Equip_Type</v>
          </cell>
          <cell r="C51" t="str">
            <v>(All)</v>
          </cell>
        </row>
        <row r="52">
          <cell r="B52" t="str">
            <v>DistSys_Detail</v>
          </cell>
          <cell r="C52" t="str">
            <v>(All)</v>
          </cell>
        </row>
        <row r="54">
          <cell r="B54" t="str">
            <v>Sum of Heat_Frac_Sf_PNW_Heated</v>
          </cell>
          <cell r="D54" t="str">
            <v>Column Labels</v>
          </cell>
        </row>
        <row r="55">
          <cell r="B55" t="str">
            <v>Row Labels</v>
          </cell>
          <cell r="C55" t="str">
            <v>Size_Group</v>
          </cell>
          <cell r="D55" t="str">
            <v>Electricity</v>
          </cell>
          <cell r="E55" t="str">
            <v>Natural Gas</v>
          </cell>
          <cell r="F55" t="str">
            <v>Grand Total</v>
          </cell>
          <cell r="G55" t="str">
            <v>SF</v>
          </cell>
        </row>
        <row r="56">
          <cell r="B56" t="str">
            <v>Assembly</v>
          </cell>
          <cell r="C56" t="str">
            <v>&lt;5,001</v>
          </cell>
          <cell r="D56">
            <v>0.28968678369813988</v>
          </cell>
          <cell r="E56">
            <v>0.71031321630186006</v>
          </cell>
          <cell r="F56">
            <v>1</v>
          </cell>
          <cell r="G56">
            <v>10791889.418072201</v>
          </cell>
        </row>
        <row r="57">
          <cell r="C57" t="str">
            <v>100,001+</v>
          </cell>
          <cell r="D57">
            <v>0.18435982906228074</v>
          </cell>
          <cell r="E57">
            <v>0.81564017093771923</v>
          </cell>
          <cell r="F57">
            <v>1</v>
          </cell>
          <cell r="G57">
            <v>47585686.482744053</v>
          </cell>
        </row>
        <row r="58">
          <cell r="C58" t="str">
            <v>20,001-50,000</v>
          </cell>
          <cell r="D58">
            <v>0.20157557375693722</v>
          </cell>
          <cell r="E58">
            <v>0.79842442624306276</v>
          </cell>
          <cell r="F58">
            <v>1</v>
          </cell>
          <cell r="G58">
            <v>75093057.6555399</v>
          </cell>
        </row>
        <row r="59">
          <cell r="C59" t="str">
            <v>5,001-20,000</v>
          </cell>
          <cell r="D59">
            <v>0.28320940685422302</v>
          </cell>
          <cell r="E59">
            <v>0.71679059314577698</v>
          </cell>
          <cell r="F59">
            <v>1</v>
          </cell>
          <cell r="G59">
            <v>133312634.77726388</v>
          </cell>
        </row>
        <row r="60">
          <cell r="C60" t="str">
            <v>50,001-100,000</v>
          </cell>
          <cell r="D60">
            <v>0.12313805305365039</v>
          </cell>
          <cell r="E60">
            <v>0.87686194694634967</v>
          </cell>
          <cell r="F60">
            <v>1</v>
          </cell>
          <cell r="G60">
            <v>56800309.557055436</v>
          </cell>
          <cell r="O60" t="str">
            <v>Electric</v>
          </cell>
          <cell r="P60" t="str">
            <v>Gas</v>
          </cell>
        </row>
        <row r="61">
          <cell r="B61" t="str">
            <v>Grocery</v>
          </cell>
          <cell r="C61" t="str">
            <v>&lt;5,001</v>
          </cell>
          <cell r="D61">
            <v>0.53042807262438818</v>
          </cell>
          <cell r="E61">
            <v>0.46957192737561176</v>
          </cell>
          <cell r="F61">
            <v>1</v>
          </cell>
          <cell r="G61">
            <v>9815889.4471183456</v>
          </cell>
          <cell r="I61" t="str">
            <v>&lt;5,001</v>
          </cell>
          <cell r="J61">
            <v>0.53042807262438818</v>
          </cell>
          <cell r="K61">
            <v>0.46957192737561176</v>
          </cell>
          <cell r="L61">
            <v>1</v>
          </cell>
          <cell r="M61">
            <v>9815889.4471183456</v>
          </cell>
          <cell r="N61" t="str">
            <v>&gt; 5000</v>
          </cell>
          <cell r="O61">
            <v>0.53042807262438818</v>
          </cell>
          <cell r="P61">
            <v>0.46957192737561176</v>
          </cell>
        </row>
        <row r="62">
          <cell r="C62" t="str">
            <v>20,001-50,000</v>
          </cell>
          <cell r="D62">
            <v>3.5142286878275322E-2</v>
          </cell>
          <cell r="E62">
            <v>0.96485771312172464</v>
          </cell>
          <cell r="F62">
            <v>1</v>
          </cell>
          <cell r="G62">
            <v>23241500.137925949</v>
          </cell>
          <cell r="I62" t="str">
            <v>20,001-50,000</v>
          </cell>
          <cell r="J62">
            <v>3.5142286878275322E-2</v>
          </cell>
          <cell r="K62">
            <v>0.96485771312172464</v>
          </cell>
          <cell r="L62">
            <v>1</v>
          </cell>
          <cell r="M62">
            <v>23241500.137925949</v>
          </cell>
          <cell r="N62" t="str">
            <v>&lt; 5000</v>
          </cell>
          <cell r="O62">
            <v>0.13393886912558689</v>
          </cell>
          <cell r="P62">
            <v>0.86606113087441317</v>
          </cell>
        </row>
        <row r="63">
          <cell r="C63" t="str">
            <v>5,001-20,000</v>
          </cell>
          <cell r="D63">
            <v>0.24107220109261876</v>
          </cell>
          <cell r="E63">
            <v>0.75892779890738127</v>
          </cell>
          <cell r="F63">
            <v>1</v>
          </cell>
          <cell r="G63">
            <v>16084444.905748043</v>
          </cell>
          <cell r="I63" t="str">
            <v>5,001-20,000</v>
          </cell>
          <cell r="J63">
            <v>0.24107220109261876</v>
          </cell>
          <cell r="K63">
            <v>0.75892779890738127</v>
          </cell>
          <cell r="L63">
            <v>1</v>
          </cell>
          <cell r="M63">
            <v>16084444.905748043</v>
          </cell>
        </row>
        <row r="64">
          <cell r="C64" t="str">
            <v>50,001-100,000</v>
          </cell>
          <cell r="D64">
            <v>0.16478658283274414</v>
          </cell>
          <cell r="E64">
            <v>0.83521341716725583</v>
          </cell>
          <cell r="F64">
            <v>1</v>
          </cell>
          <cell r="G64">
            <v>18575140.114893399</v>
          </cell>
          <cell r="I64" t="str">
            <v>50,001-100,000</v>
          </cell>
          <cell r="J64">
            <v>0.16478658283274414</v>
          </cell>
          <cell r="K64">
            <v>0.83521341716725583</v>
          </cell>
          <cell r="L64">
            <v>1</v>
          </cell>
          <cell r="M64">
            <v>18575140.114893399</v>
          </cell>
        </row>
        <row r="65">
          <cell r="B65" t="str">
            <v>Lodging</v>
          </cell>
          <cell r="C65" t="str">
            <v>&lt;5,001</v>
          </cell>
          <cell r="D65">
            <v>1</v>
          </cell>
          <cell r="E65">
            <v>0</v>
          </cell>
          <cell r="F65">
            <v>1</v>
          </cell>
          <cell r="G65">
            <v>771154.95824772085</v>
          </cell>
        </row>
        <row r="66">
          <cell r="C66" t="str">
            <v>100,001+</v>
          </cell>
          <cell r="D66">
            <v>0.66932609944359711</v>
          </cell>
          <cell r="E66">
            <v>0.33067390055640283</v>
          </cell>
          <cell r="F66">
            <v>1</v>
          </cell>
          <cell r="G66">
            <v>37478802.645819291</v>
          </cell>
        </row>
        <row r="67">
          <cell r="C67" t="str">
            <v>20,001-50,000</v>
          </cell>
          <cell r="D67">
            <v>0.80938461207249257</v>
          </cell>
          <cell r="E67">
            <v>0.19061538792750743</v>
          </cell>
          <cell r="F67">
            <v>1</v>
          </cell>
          <cell r="G67">
            <v>44511439.869276322</v>
          </cell>
        </row>
        <row r="68">
          <cell r="C68" t="str">
            <v>5,001-20,000</v>
          </cell>
          <cell r="D68">
            <v>0.708233600439651</v>
          </cell>
          <cell r="E68">
            <v>0.29176639956034905</v>
          </cell>
          <cell r="F68">
            <v>1</v>
          </cell>
          <cell r="G68">
            <v>8867151.9690522291</v>
          </cell>
        </row>
        <row r="69">
          <cell r="C69" t="str">
            <v>50,001-100,000</v>
          </cell>
          <cell r="D69">
            <v>0.75967537196550394</v>
          </cell>
          <cell r="E69">
            <v>0.24032462803449609</v>
          </cell>
          <cell r="F69">
            <v>1</v>
          </cell>
          <cell r="G69">
            <v>67217799.666102752</v>
          </cell>
          <cell r="O69" t="str">
            <v>Electric</v>
          </cell>
          <cell r="P69" t="str">
            <v>Gas</v>
          </cell>
          <cell r="T69" t="str">
            <v>SZ Ducted</v>
          </cell>
          <cell r="V69" t="str">
            <v>SZ Ducted</v>
          </cell>
          <cell r="W69" t="str">
            <v>Everything but</v>
          </cell>
          <cell r="Y69" t="str">
            <v>Multizone systems</v>
          </cell>
        </row>
        <row r="70">
          <cell r="B70" t="str">
            <v>Office</v>
          </cell>
          <cell r="C70" t="str">
            <v>&lt;5,001</v>
          </cell>
          <cell r="D70">
            <v>0.67245807966791449</v>
          </cell>
          <cell r="E70">
            <v>0.3275419203320854</v>
          </cell>
          <cell r="F70">
            <v>1</v>
          </cell>
          <cell r="G70">
            <v>88922415.770519257</v>
          </cell>
          <cell r="I70" t="str">
            <v>100,001+</v>
          </cell>
          <cell r="J70">
            <v>0.56343603427674449</v>
          </cell>
          <cell r="K70">
            <v>0.43656396572325545</v>
          </cell>
          <cell r="L70">
            <v>1</v>
          </cell>
          <cell r="M70">
            <v>161400968.09734377</v>
          </cell>
          <cell r="N70" t="str">
            <v>&gt;50,000</v>
          </cell>
          <cell r="O70">
            <v>0.45962939813379933</v>
          </cell>
          <cell r="P70">
            <v>0.54037060186620078</v>
          </cell>
          <cell r="S70" t="str">
            <v>100,001+</v>
          </cell>
          <cell r="T70">
            <v>0.20317755500773604</v>
          </cell>
          <cell r="U70" t="str">
            <v>&gt;50,000</v>
          </cell>
          <cell r="V70">
            <v>0.27022118370747483</v>
          </cell>
          <cell r="W70">
            <v>0.72977881629252517</v>
          </cell>
          <cell r="Y70" t="str">
            <v>&lt;5,001</v>
          </cell>
        </row>
        <row r="71">
          <cell r="C71" t="str">
            <v>100,001+</v>
          </cell>
          <cell r="D71">
            <v>0.56343603427674449</v>
          </cell>
          <cell r="E71">
            <v>0.43656396572325545</v>
          </cell>
          <cell r="F71">
            <v>1</v>
          </cell>
          <cell r="G71">
            <v>161400968.09734377</v>
          </cell>
          <cell r="I71" t="str">
            <v>50,001-100,000</v>
          </cell>
          <cell r="J71">
            <v>0.25807624626210907</v>
          </cell>
          <cell r="K71">
            <v>0.74192375373789099</v>
          </cell>
          <cell r="L71">
            <v>1</v>
          </cell>
          <cell r="M71">
            <v>83126914.229880497</v>
          </cell>
          <cell r="N71" t="str">
            <v>5,000 to 50,000</v>
          </cell>
          <cell r="O71">
            <v>0.48569918142419144</v>
          </cell>
          <cell r="P71">
            <v>0.51430081857580845</v>
          </cell>
          <cell r="S71" t="str">
            <v>50,001-100,000</v>
          </cell>
          <cell r="T71">
            <v>0.40039450575540259</v>
          </cell>
          <cell r="U71" t="str">
            <v>5,000 to 50,000</v>
          </cell>
          <cell r="V71">
            <v>0.53364389458617734</v>
          </cell>
          <cell r="W71">
            <v>0.46635610541382266</v>
          </cell>
          <cell r="Y71" t="str">
            <v>100,001+</v>
          </cell>
        </row>
        <row r="72">
          <cell r="C72" t="str">
            <v>20,001-50,000</v>
          </cell>
          <cell r="D72">
            <v>0.34614420585949485</v>
          </cell>
          <cell r="E72">
            <v>0.6538557941405051</v>
          </cell>
          <cell r="F72">
            <v>1</v>
          </cell>
          <cell r="G72">
            <v>121088778.65134136</v>
          </cell>
          <cell r="I72" t="str">
            <v>20,001-50,000</v>
          </cell>
          <cell r="J72">
            <v>0.34614420585949485</v>
          </cell>
          <cell r="K72">
            <v>0.6538557941405051</v>
          </cell>
          <cell r="L72">
            <v>1</v>
          </cell>
          <cell r="M72">
            <v>121088778.65134136</v>
          </cell>
          <cell r="N72" t="str">
            <v>&lt;5,000</v>
          </cell>
          <cell r="O72">
            <v>0.67245807966791449</v>
          </cell>
          <cell r="P72">
            <v>0.3275419203320854</v>
          </cell>
          <cell r="S72" t="str">
            <v>20,001-50,000</v>
          </cell>
          <cell r="T72">
            <v>0.79236371541570771</v>
          </cell>
          <cell r="U72" t="str">
            <v>&lt;5,000</v>
          </cell>
          <cell r="V72">
            <v>0.81989098432669971</v>
          </cell>
          <cell r="W72">
            <v>0.18010901567330029</v>
          </cell>
          <cell r="Y72" t="str">
            <v>20,001-50,000</v>
          </cell>
        </row>
        <row r="73">
          <cell r="C73" t="str">
            <v>5,001-20,000</v>
          </cell>
          <cell r="D73">
            <v>0.59535158312648861</v>
          </cell>
          <cell r="E73">
            <v>0.40464841687351133</v>
          </cell>
          <cell r="F73">
            <v>1</v>
          </cell>
          <cell r="G73">
            <v>154110090.46318847</v>
          </cell>
          <cell r="I73" t="str">
            <v>5,001-20,000</v>
          </cell>
          <cell r="J73">
            <v>0.59535158312648861</v>
          </cell>
          <cell r="K73">
            <v>0.40464841687351133</v>
          </cell>
          <cell r="L73">
            <v>1</v>
          </cell>
          <cell r="M73">
            <v>154110090.46318847</v>
          </cell>
          <cell r="S73" t="str">
            <v>5,001-20,000</v>
          </cell>
          <cell r="T73">
            <v>0.87333850962546711</v>
          </cell>
          <cell r="Y73" t="str">
            <v>5,001-20,000</v>
          </cell>
        </row>
        <row r="74">
          <cell r="C74" t="str">
            <v>50,001-100,000</v>
          </cell>
          <cell r="D74">
            <v>0.25807624626210907</v>
          </cell>
          <cell r="E74">
            <v>0.74192375373789099</v>
          </cell>
          <cell r="F74">
            <v>1</v>
          </cell>
          <cell r="G74">
            <v>83126914.229880497</v>
          </cell>
          <cell r="I74" t="str">
            <v>&lt;5,001</v>
          </cell>
          <cell r="J74">
            <v>0.67245807966791449</v>
          </cell>
          <cell r="K74">
            <v>0.3275419203320854</v>
          </cell>
          <cell r="L74">
            <v>1</v>
          </cell>
          <cell r="M74">
            <v>88922415.770519257</v>
          </cell>
          <cell r="S74" t="str">
            <v>&lt;5,001</v>
          </cell>
          <cell r="T74">
            <v>0.86743113566731078</v>
          </cell>
          <cell r="Y74" t="str">
            <v>50,001-100,000</v>
          </cell>
        </row>
        <row r="75">
          <cell r="B75" t="str">
            <v>Other</v>
          </cell>
          <cell r="C75" t="str">
            <v>&lt;5,001</v>
          </cell>
          <cell r="D75">
            <v>0.36963108384061777</v>
          </cell>
          <cell r="E75">
            <v>0.63036891615938218</v>
          </cell>
          <cell r="F75">
            <v>1</v>
          </cell>
          <cell r="G75">
            <v>11401400.474691771</v>
          </cell>
        </row>
        <row r="76">
          <cell r="C76" t="str">
            <v>100,001+</v>
          </cell>
          <cell r="D76">
            <v>0.11927323464793231</v>
          </cell>
          <cell r="E76">
            <v>0.88072676535206773</v>
          </cell>
          <cell r="F76">
            <v>1</v>
          </cell>
          <cell r="G76">
            <v>60024943.803527087</v>
          </cell>
        </row>
        <row r="77">
          <cell r="C77" t="str">
            <v>20,001-50,000</v>
          </cell>
          <cell r="D77">
            <v>0.28972859528015749</v>
          </cell>
          <cell r="E77">
            <v>0.71027140471984251</v>
          </cell>
          <cell r="F77">
            <v>1</v>
          </cell>
          <cell r="G77">
            <v>67056749.230095625</v>
          </cell>
        </row>
        <row r="78">
          <cell r="C78" t="str">
            <v>5,001-20,000</v>
          </cell>
          <cell r="D78">
            <v>0.19665327325738066</v>
          </cell>
          <cell r="E78">
            <v>0.80334672674261942</v>
          </cell>
          <cell r="F78">
            <v>1</v>
          </cell>
          <cell r="G78">
            <v>90016986.964126915</v>
          </cell>
        </row>
        <row r="79">
          <cell r="C79" t="str">
            <v>50,001-100,000</v>
          </cell>
          <cell r="D79">
            <v>0.58009651662613548</v>
          </cell>
          <cell r="E79">
            <v>0.41990348337386446</v>
          </cell>
          <cell r="F79">
            <v>1</v>
          </cell>
          <cell r="G79">
            <v>46335023.23670388</v>
          </cell>
        </row>
        <row r="80">
          <cell r="B80" t="str">
            <v>Residential Care</v>
          </cell>
          <cell r="C80" t="str">
            <v>&lt;5,001</v>
          </cell>
          <cell r="D80">
            <v>1.3677517552166963E-2</v>
          </cell>
          <cell r="E80">
            <v>0.98632248244783316</v>
          </cell>
          <cell r="F80">
            <v>1</v>
          </cell>
          <cell r="G80">
            <v>617607.67825962591</v>
          </cell>
        </row>
        <row r="81">
          <cell r="C81" t="str">
            <v>100,001+</v>
          </cell>
          <cell r="D81">
            <v>0.65208373998713842</v>
          </cell>
          <cell r="E81">
            <v>0.34791626001286152</v>
          </cell>
          <cell r="F81">
            <v>1</v>
          </cell>
          <cell r="G81">
            <v>29481393.869044412</v>
          </cell>
        </row>
        <row r="82">
          <cell r="C82" t="str">
            <v>20,001-50,000</v>
          </cell>
          <cell r="D82">
            <v>0.58940370199270897</v>
          </cell>
          <cell r="E82">
            <v>0.41059629800729103</v>
          </cell>
          <cell r="F82">
            <v>1</v>
          </cell>
          <cell r="G82">
            <v>45870170.91031719</v>
          </cell>
        </row>
        <row r="83">
          <cell r="C83" t="str">
            <v>5,001-20,000</v>
          </cell>
          <cell r="D83">
            <v>0.43473317164785674</v>
          </cell>
          <cell r="E83">
            <v>0.56526682835214326</v>
          </cell>
          <cell r="F83">
            <v>1</v>
          </cell>
          <cell r="G83">
            <v>21950482.47130106</v>
          </cell>
        </row>
        <row r="84">
          <cell r="C84" t="str">
            <v>50,001-100,000</v>
          </cell>
          <cell r="D84">
            <v>0.7159490279733054</v>
          </cell>
          <cell r="E84">
            <v>0.28405097202669471</v>
          </cell>
          <cell r="F84">
            <v>1</v>
          </cell>
          <cell r="G84">
            <v>19712054.250720531</v>
          </cell>
        </row>
        <row r="85">
          <cell r="B85" t="str">
            <v>Restaurant</v>
          </cell>
          <cell r="C85" t="str">
            <v>&lt;5,001</v>
          </cell>
          <cell r="D85">
            <v>0.222372990309429</v>
          </cell>
          <cell r="E85">
            <v>0.77762700969057108</v>
          </cell>
          <cell r="F85">
            <v>1</v>
          </cell>
          <cell r="G85">
            <v>23327830.483758003</v>
          </cell>
        </row>
        <row r="86">
          <cell r="C86" t="str">
            <v>5,001-20,000</v>
          </cell>
          <cell r="D86">
            <v>0.19083743977042419</v>
          </cell>
          <cell r="E86">
            <v>0.80916256022957589</v>
          </cell>
          <cell r="F86">
            <v>1</v>
          </cell>
          <cell r="G86">
            <v>24104129.2800515</v>
          </cell>
          <cell r="O86" t="str">
            <v>Electric</v>
          </cell>
          <cell r="P86" t="str">
            <v>Gas</v>
          </cell>
        </row>
        <row r="87">
          <cell r="B87" t="str">
            <v>Retail/Service</v>
          </cell>
          <cell r="C87" t="str">
            <v>&lt;5,001</v>
          </cell>
          <cell r="D87">
            <v>0.43282821433857083</v>
          </cell>
          <cell r="E87">
            <v>0.56717178566142912</v>
          </cell>
          <cell r="F87">
            <v>1</v>
          </cell>
          <cell r="G87">
            <v>45229806.543296024</v>
          </cell>
          <cell r="H87">
            <v>0.01</v>
          </cell>
          <cell r="I87" t="str">
            <v>100,001+</v>
          </cell>
          <cell r="J87">
            <v>8.3932699992619028E-2</v>
          </cell>
          <cell r="K87">
            <v>0.91606730000738101</v>
          </cell>
          <cell r="L87">
            <v>1</v>
          </cell>
          <cell r="M87">
            <v>124562026.1368593</v>
          </cell>
          <cell r="N87" t="str">
            <v>&gt;100,000</v>
          </cell>
          <cell r="O87">
            <v>8.3932699992619028E-2</v>
          </cell>
          <cell r="P87">
            <v>0.91606730000738101</v>
          </cell>
        </row>
        <row r="88">
          <cell r="C88" t="str">
            <v>100,001+</v>
          </cell>
          <cell r="D88">
            <v>8.3932699992619028E-2</v>
          </cell>
          <cell r="E88">
            <v>0.91606730000738101</v>
          </cell>
          <cell r="F88">
            <v>1</v>
          </cell>
          <cell r="G88">
            <v>124562026.1368593</v>
          </cell>
          <cell r="H88">
            <v>0.02</v>
          </cell>
          <cell r="I88" t="str">
            <v>50,001-100,000</v>
          </cell>
          <cell r="J88">
            <v>1.6776928776066704E-2</v>
          </cell>
          <cell r="K88">
            <v>0.98322307122393326</v>
          </cell>
          <cell r="L88">
            <v>1</v>
          </cell>
          <cell r="M88">
            <v>29532449.302067615</v>
          </cell>
          <cell r="N88" t="str">
            <v>50,000 - 100,000</v>
          </cell>
          <cell r="O88">
            <v>1.6776928776066704E-2</v>
          </cell>
          <cell r="P88">
            <v>0.98322307122393326</v>
          </cell>
        </row>
        <row r="89">
          <cell r="C89" t="str">
            <v>20,001-50,000</v>
          </cell>
          <cell r="D89">
            <v>0.12300334486769968</v>
          </cell>
          <cell r="E89">
            <v>0.8769966551323003</v>
          </cell>
          <cell r="F89">
            <v>1</v>
          </cell>
          <cell r="G89">
            <v>150479652.53202388</v>
          </cell>
          <cell r="H89">
            <v>0.03</v>
          </cell>
          <cell r="I89" t="str">
            <v>20,001-50,000</v>
          </cell>
          <cell r="J89">
            <v>0.12300334486769968</v>
          </cell>
          <cell r="K89">
            <v>0.8769966551323003</v>
          </cell>
          <cell r="L89">
            <v>1</v>
          </cell>
          <cell r="M89">
            <v>150479652.53202388</v>
          </cell>
          <cell r="N89" t="str">
            <v>5000 - 50,000</v>
          </cell>
          <cell r="O89">
            <v>0.19014991106925394</v>
          </cell>
          <cell r="P89">
            <v>0.80985008893074606</v>
          </cell>
        </row>
        <row r="90">
          <cell r="C90" t="str">
            <v>5,001-20,000</v>
          </cell>
          <cell r="D90">
            <v>0.26113899837633403</v>
          </cell>
          <cell r="E90">
            <v>0.73886100162366586</v>
          </cell>
          <cell r="F90">
            <v>1</v>
          </cell>
          <cell r="G90">
            <v>142334439.47546965</v>
          </cell>
          <cell r="H90">
            <v>0.04</v>
          </cell>
          <cell r="I90" t="str">
            <v>5,001-20,000</v>
          </cell>
          <cell r="J90">
            <v>0.26113899837633403</v>
          </cell>
          <cell r="K90">
            <v>0.73886100162366586</v>
          </cell>
          <cell r="L90">
            <v>1</v>
          </cell>
          <cell r="M90">
            <v>142334439.47546965</v>
          </cell>
          <cell r="N90" t="str">
            <v>&lt;5000</v>
          </cell>
          <cell r="O90">
            <v>0.43282821433857083</v>
          </cell>
          <cell r="P90">
            <v>0.56717178566142912</v>
          </cell>
        </row>
        <row r="91">
          <cell r="C91" t="str">
            <v>50,001-100,000</v>
          </cell>
          <cell r="D91">
            <v>1.6776928776066704E-2</v>
          </cell>
          <cell r="E91">
            <v>0.98322307122393326</v>
          </cell>
          <cell r="F91">
            <v>1</v>
          </cell>
          <cell r="G91">
            <v>29532449.302067615</v>
          </cell>
          <cell r="H91">
            <v>0.05</v>
          </cell>
          <cell r="I91" t="str">
            <v>&lt;5,001</v>
          </cell>
          <cell r="J91">
            <v>0.43282821433857083</v>
          </cell>
          <cell r="K91">
            <v>0.56717178566142912</v>
          </cell>
          <cell r="L91">
            <v>1</v>
          </cell>
          <cell r="M91">
            <v>45229806.543296024</v>
          </cell>
        </row>
        <row r="92">
          <cell r="B92" t="str">
            <v>School K-12</v>
          </cell>
          <cell r="C92" t="str">
            <v>&lt;5,001</v>
          </cell>
          <cell r="D92">
            <v>6.8260893508024292E-2</v>
          </cell>
          <cell r="E92">
            <v>0.93173910649197567</v>
          </cell>
          <cell r="F92">
            <v>1</v>
          </cell>
          <cell r="G92">
            <v>2868722.4248554921</v>
          </cell>
        </row>
        <row r="93">
          <cell r="C93" t="str">
            <v>100,001+</v>
          </cell>
          <cell r="D93">
            <v>0.16029926138119366</v>
          </cell>
          <cell r="E93">
            <v>0.83970073861880623</v>
          </cell>
          <cell r="F93">
            <v>1</v>
          </cell>
          <cell r="G93">
            <v>70407779.68745172</v>
          </cell>
        </row>
        <row r="94">
          <cell r="C94" t="str">
            <v>20,001-50,000</v>
          </cell>
          <cell r="D94">
            <v>0.14157569383085569</v>
          </cell>
          <cell r="E94">
            <v>0.85842430616914434</v>
          </cell>
          <cell r="F94">
            <v>1</v>
          </cell>
          <cell r="G94">
            <v>84555158.13868171</v>
          </cell>
        </row>
        <row r="95">
          <cell r="C95" t="str">
            <v>5,001-20,000</v>
          </cell>
          <cell r="D95">
            <v>0.24053328228867543</v>
          </cell>
          <cell r="E95">
            <v>0.75946671771132457</v>
          </cell>
          <cell r="F95">
            <v>1</v>
          </cell>
          <cell r="G95">
            <v>8452418.6872956287</v>
          </cell>
        </row>
        <row r="96">
          <cell r="C96" t="str">
            <v>50,001-100,000</v>
          </cell>
          <cell r="D96">
            <v>0.14934373572795726</v>
          </cell>
          <cell r="E96">
            <v>0.85065626427204277</v>
          </cell>
          <cell r="F96">
            <v>1</v>
          </cell>
          <cell r="G96">
            <v>60468543.335515603</v>
          </cell>
        </row>
        <row r="97">
          <cell r="B97" t="str">
            <v>Warehouse</v>
          </cell>
          <cell r="C97" t="str">
            <v>&lt;5,001</v>
          </cell>
          <cell r="D97">
            <v>0.12838801779438211</v>
          </cell>
          <cell r="E97">
            <v>0.87161198220561797</v>
          </cell>
          <cell r="F97">
            <v>1</v>
          </cell>
          <cell r="G97">
            <v>8938801.4812825639</v>
          </cell>
        </row>
        <row r="98">
          <cell r="C98" t="str">
            <v>100,001+</v>
          </cell>
          <cell r="D98">
            <v>0</v>
          </cell>
          <cell r="E98">
            <v>1</v>
          </cell>
          <cell r="F98">
            <v>1</v>
          </cell>
          <cell r="G98">
            <v>28824886.069673002</v>
          </cell>
        </row>
        <row r="99">
          <cell r="C99" t="str">
            <v>20,001-50,000</v>
          </cell>
          <cell r="D99">
            <v>5.1437746035443866E-3</v>
          </cell>
          <cell r="E99">
            <v>0.99485622539645557</v>
          </cell>
          <cell r="F99">
            <v>1</v>
          </cell>
          <cell r="G99">
            <v>99863887.212485299</v>
          </cell>
        </row>
        <row r="100">
          <cell r="C100" t="str">
            <v>5,001-20,000</v>
          </cell>
          <cell r="D100">
            <v>1.4492053425769444E-2</v>
          </cell>
          <cell r="E100">
            <v>0.98550794657423046</v>
          </cell>
          <cell r="F100">
            <v>1</v>
          </cell>
          <cell r="G100">
            <v>49025622.289909087</v>
          </cell>
        </row>
        <row r="101">
          <cell r="C101" t="str">
            <v>50,001-100,000</v>
          </cell>
          <cell r="D101">
            <v>1.8182350443928772E-2</v>
          </cell>
          <cell r="E101">
            <v>0.9818176495560712</v>
          </cell>
          <cell r="F101">
            <v>1</v>
          </cell>
          <cell r="G101">
            <v>10409150.518417275</v>
          </cell>
        </row>
        <row r="102">
          <cell r="B102" t="str">
            <v>Grand Total</v>
          </cell>
          <cell r="D102">
            <v>0.31344565584888812</v>
          </cell>
          <cell r="E102">
            <v>0.68655434415111194</v>
          </cell>
          <cell r="F102">
            <v>1</v>
          </cell>
          <cell r="G102">
            <v>2514648185.3050141</v>
          </cell>
        </row>
        <row r="105">
          <cell r="B105" t="str">
            <v>Shares of Electric Heat</v>
          </cell>
        </row>
        <row r="106">
          <cell r="B106" t="str">
            <v>Site_ID</v>
          </cell>
          <cell r="C106" t="str">
            <v>(All)</v>
          </cell>
        </row>
        <row r="107">
          <cell r="B107" t="str">
            <v>Fan_Ctr</v>
          </cell>
          <cell r="C107" t="str">
            <v>(All)</v>
          </cell>
        </row>
        <row r="108">
          <cell r="B108" t="str">
            <v>DistSys</v>
          </cell>
          <cell r="C108" t="str">
            <v>(All)</v>
          </cell>
        </row>
        <row r="109">
          <cell r="B109" t="str">
            <v>DistSys_Detail</v>
          </cell>
          <cell r="C109" t="str">
            <v>(All)</v>
          </cell>
        </row>
        <row r="110">
          <cell r="B110" t="str">
            <v>HeatSys_PrimFuel</v>
          </cell>
          <cell r="C110" t="str">
            <v>Electricity</v>
          </cell>
        </row>
        <row r="111">
          <cell r="B111" t="str">
            <v>Equip_Type</v>
          </cell>
          <cell r="C111" t="str">
            <v>(All)</v>
          </cell>
        </row>
        <row r="113">
          <cell r="B113" t="str">
            <v>Sum of Heat_Frac_Sf_PNW_Heated</v>
          </cell>
          <cell r="C113" t="str">
            <v>Column Labels</v>
          </cell>
        </row>
        <row r="114">
          <cell r="B114" t="str">
            <v>Row Labels</v>
          </cell>
          <cell r="C114" t="str">
            <v>CE</v>
          </cell>
          <cell r="D114" t="str">
            <v>HP</v>
          </cell>
          <cell r="E114" t="str">
            <v>HWC</v>
          </cell>
          <cell r="F114" t="str">
            <v>NA</v>
          </cell>
          <cell r="G114" t="str">
            <v>OT</v>
          </cell>
          <cell r="H114" t="str">
            <v>SC</v>
          </cell>
          <cell r="I114" t="str">
            <v>SE</v>
          </cell>
          <cell r="J114" t="str">
            <v>Grand Total</v>
          </cell>
          <cell r="K114" t="str">
            <v>Elect- Non-HP</v>
          </cell>
          <cell r="L114" t="str">
            <v>Elect-HP</v>
          </cell>
        </row>
        <row r="115">
          <cell r="B115" t="str">
            <v>Assembly</v>
          </cell>
          <cell r="C115">
            <v>2.1933371064227269E-2</v>
          </cell>
          <cell r="D115">
            <v>0.52037961228259577</v>
          </cell>
          <cell r="E115">
            <v>8.4869959933207936E-2</v>
          </cell>
          <cell r="F115">
            <v>0.37281705671996906</v>
          </cell>
          <cell r="G115">
            <v>0</v>
          </cell>
          <cell r="H115">
            <v>0</v>
          </cell>
          <cell r="I115">
            <v>0</v>
          </cell>
          <cell r="J115">
            <v>1</v>
          </cell>
          <cell r="K115">
            <v>0.47962038771740423</v>
          </cell>
          <cell r="L115">
            <v>0.52037961228259577</v>
          </cell>
        </row>
        <row r="116">
          <cell r="B116" t="str">
            <v>Grocery</v>
          </cell>
          <cell r="C116">
            <v>0</v>
          </cell>
          <cell r="D116">
            <v>0.61407902538687853</v>
          </cell>
          <cell r="E116">
            <v>0</v>
          </cell>
          <cell r="F116">
            <v>0.38592097461312153</v>
          </cell>
          <cell r="G116">
            <v>0</v>
          </cell>
          <cell r="H116">
            <v>0</v>
          </cell>
          <cell r="I116">
            <v>0</v>
          </cell>
          <cell r="J116">
            <v>1</v>
          </cell>
          <cell r="K116">
            <v>0.38592097461312147</v>
          </cell>
          <cell r="L116">
            <v>0.61407902538687853</v>
          </cell>
        </row>
        <row r="117">
          <cell r="B117" t="str">
            <v>Lodging</v>
          </cell>
          <cell r="C117">
            <v>0</v>
          </cell>
          <cell r="D117">
            <v>0.40473986786737931</v>
          </cell>
          <cell r="E117">
            <v>1.9101566005885497E-2</v>
          </cell>
          <cell r="F117">
            <v>0.56637390858008696</v>
          </cell>
          <cell r="G117">
            <v>0</v>
          </cell>
          <cell r="H117">
            <v>0</v>
          </cell>
          <cell r="I117">
            <v>9.7846575466481386E-3</v>
          </cell>
          <cell r="J117">
            <v>1</v>
          </cell>
          <cell r="K117">
            <v>0.59526013213262075</v>
          </cell>
          <cell r="L117">
            <v>0.40473986786737931</v>
          </cell>
        </row>
        <row r="118">
          <cell r="B118" t="str">
            <v>Office</v>
          </cell>
          <cell r="C118">
            <v>0</v>
          </cell>
          <cell r="D118">
            <v>0.54434419584121851</v>
          </cell>
          <cell r="E118">
            <v>1.3163924041996011E-2</v>
          </cell>
          <cell r="F118">
            <v>0.29977798762598179</v>
          </cell>
          <cell r="G118">
            <v>5.6989236417166553E-3</v>
          </cell>
          <cell r="H118">
            <v>1.8553743341665496E-2</v>
          </cell>
          <cell r="I118">
            <v>0.11846122550742165</v>
          </cell>
          <cell r="J118">
            <v>1</v>
          </cell>
          <cell r="K118">
            <v>0.45565580415878149</v>
          </cell>
          <cell r="L118">
            <v>0.54434419584121851</v>
          </cell>
        </row>
        <row r="119">
          <cell r="B119" t="str">
            <v>Other</v>
          </cell>
          <cell r="C119">
            <v>1.8656133921888154E-2</v>
          </cell>
          <cell r="D119">
            <v>0.38240960390786466</v>
          </cell>
          <cell r="E119">
            <v>3.4723225987817435E-2</v>
          </cell>
          <cell r="F119">
            <v>0.39770544205545494</v>
          </cell>
          <cell r="G119">
            <v>0</v>
          </cell>
          <cell r="H119">
            <v>0</v>
          </cell>
          <cell r="I119">
            <v>0.1665055941269748</v>
          </cell>
          <cell r="J119">
            <v>1</v>
          </cell>
          <cell r="K119">
            <v>0.6175903960921354</v>
          </cell>
          <cell r="L119">
            <v>0.38240960390786466</v>
          </cell>
        </row>
      </sheetData>
      <sheetData sheetId="19">
        <row r="11">
          <cell r="B11">
            <v>2.0434554153352484E-2</v>
          </cell>
        </row>
        <row r="12">
          <cell r="B12">
            <v>3.1863582040406999E-2</v>
          </cell>
        </row>
        <row r="13">
          <cell r="B13">
            <v>5.5794347273117245E-2</v>
          </cell>
        </row>
        <row r="14">
          <cell r="B14">
            <v>0.23374291413554329</v>
          </cell>
        </row>
        <row r="15">
          <cell r="B15">
            <v>0.12270755891365608</v>
          </cell>
        </row>
        <row r="16">
          <cell r="B16">
            <v>4.2121761451219118E-2</v>
          </cell>
        </row>
        <row r="17">
          <cell r="B17">
            <v>1.255060122823257E-2</v>
          </cell>
        </row>
        <row r="18">
          <cell r="B18">
            <v>0.16379453573805774</v>
          </cell>
        </row>
        <row r="19">
          <cell r="B19">
            <v>8.8639553331737689E-2</v>
          </cell>
          <cell r="N19" t="str">
            <v>Data tables from CBSA</v>
          </cell>
        </row>
        <row r="20">
          <cell r="B20">
            <v>2.590476843098345E-3</v>
          </cell>
        </row>
        <row r="21">
          <cell r="B21">
            <v>9.6266945662747766E-2</v>
          </cell>
          <cell r="N21" t="str">
            <v>Site_ID</v>
          </cell>
          <cell r="O21" t="str">
            <v>(All)</v>
          </cell>
        </row>
        <row r="22">
          <cell r="B22">
            <v>1</v>
          </cell>
          <cell r="N22" t="str">
            <v>Fan_Ctr</v>
          </cell>
          <cell r="O22" t="str">
            <v>(All)</v>
          </cell>
        </row>
        <row r="23">
          <cell r="B23">
            <v>7.398534349162611E-2</v>
          </cell>
          <cell r="N23" t="str">
            <v>DistSys</v>
          </cell>
          <cell r="O23" t="str">
            <v>(All)</v>
          </cell>
        </row>
        <row r="24">
          <cell r="N24" t="str">
            <v>Equip_Type</v>
          </cell>
          <cell r="O24" t="str">
            <v>(All)</v>
          </cell>
        </row>
        <row r="25">
          <cell r="N25" t="str">
            <v>DistSys_Detail</v>
          </cell>
          <cell r="O25" t="str">
            <v>(All)</v>
          </cell>
        </row>
        <row r="26">
          <cell r="N26" t="str">
            <v>Vintage</v>
          </cell>
          <cell r="O26" t="str">
            <v>2004-2013</v>
          </cell>
        </row>
        <row r="27">
          <cell r="B27" t="str">
            <v>2004-2013</v>
          </cell>
          <cell r="I27" t="str">
            <v>To CHAR</v>
          </cell>
          <cell r="U27" t="str">
            <v>Vintage</v>
          </cell>
          <cell r="V27" t="str">
            <v>2004-2013</v>
          </cell>
        </row>
        <row r="28">
          <cell r="P28" t="str">
            <v>Values</v>
          </cell>
        </row>
        <row r="29">
          <cell r="B29" t="str">
            <v>Sum of Sf_PNW</v>
          </cell>
          <cell r="E29" t="str">
            <v>SF</v>
          </cell>
          <cell r="F29" t="str">
            <v>SF Share</v>
          </cell>
          <cell r="G29" t="str">
            <v>Cool Frac</v>
          </cell>
          <cell r="J29" t="str">
            <v>SF</v>
          </cell>
          <cell r="K29" t="str">
            <v>SF Share</v>
          </cell>
          <cell r="L29" t="str">
            <v>Cool Frac</v>
          </cell>
          <cell r="N29" t="str">
            <v>Row Labels</v>
          </cell>
          <cell r="O29" t="str">
            <v>Size_Group</v>
          </cell>
          <cell r="P29" t="str">
            <v>Sum of Heat_Frac_Sf_PNW_Heated</v>
          </cell>
          <cell r="Q29" t="str">
            <v>Sum of Cool_Frac_Sf_PNW</v>
          </cell>
          <cell r="S29" t="str">
            <v>Share</v>
          </cell>
          <cell r="U29" t="str">
            <v>Row Labels</v>
          </cell>
          <cell r="V29" t="str">
            <v>Sum of Sf_PNW</v>
          </cell>
        </row>
        <row r="30">
          <cell r="B30">
            <v>165907691.59999999</v>
          </cell>
          <cell r="D30" t="str">
            <v>Assembly</v>
          </cell>
          <cell r="E30">
            <v>165907691.59999999</v>
          </cell>
          <cell r="F30">
            <v>0.12949316922883078</v>
          </cell>
          <cell r="G30">
            <v>0.91177234717447209</v>
          </cell>
          <cell r="I30" t="str">
            <v>Large Off</v>
          </cell>
          <cell r="J30">
            <v>165907691.59999999</v>
          </cell>
          <cell r="K30">
            <v>0.12949316922883078</v>
          </cell>
          <cell r="L30">
            <v>0.95128694884061893</v>
          </cell>
          <cell r="N30" t="str">
            <v>Assembly</v>
          </cell>
          <cell r="P30">
            <v>162680832.55865625</v>
          </cell>
          <cell r="Q30">
            <v>151270045.38443044</v>
          </cell>
          <cell r="R30">
            <v>165907691.59999999</v>
          </cell>
          <cell r="S30">
            <v>0.91177234717447209</v>
          </cell>
          <cell r="U30" t="str">
            <v>Assembly</v>
          </cell>
          <cell r="V30">
            <v>165907691.59999999</v>
          </cell>
        </row>
        <row r="31">
          <cell r="B31">
            <v>26180915.399999999</v>
          </cell>
          <cell r="D31" t="str">
            <v>Supermarket</v>
          </cell>
          <cell r="E31">
            <v>22661825.399999999</v>
          </cell>
          <cell r="F31">
            <v>1.7687857405861318E-2</v>
          </cell>
          <cell r="G31">
            <v>0.92147944946531313</v>
          </cell>
          <cell r="I31" t="str">
            <v>Medium Off</v>
          </cell>
          <cell r="J31">
            <v>22661825.399999999</v>
          </cell>
          <cell r="K31">
            <v>1.7687857405861318E-2</v>
          </cell>
          <cell r="L31">
            <v>0.97665874571205136</v>
          </cell>
          <cell r="N31" t="str">
            <v>Grocery</v>
          </cell>
          <cell r="O31" t="str">
            <v>&lt;5,001</v>
          </cell>
          <cell r="P31">
            <v>3007817.5990934744</v>
          </cell>
          <cell r="Q31">
            <v>2951425.5438271598</v>
          </cell>
          <cell r="R31">
            <v>3519089.9999999995</v>
          </cell>
          <cell r="S31">
            <v>0.83868998628257874</v>
          </cell>
          <cell r="U31" t="str">
            <v>Grocery</v>
          </cell>
          <cell r="V31">
            <v>26180915.399999999</v>
          </cell>
        </row>
        <row r="32">
          <cell r="B32">
            <v>3519089.9999999995</v>
          </cell>
          <cell r="D32" t="str">
            <v>Minimart</v>
          </cell>
          <cell r="E32">
            <v>3519089.9999999995</v>
          </cell>
          <cell r="F32">
            <v>2.7466967474911578E-3</v>
          </cell>
          <cell r="G32">
            <v>0.83868998628257874</v>
          </cell>
          <cell r="I32" t="str">
            <v>Small Off</v>
          </cell>
          <cell r="J32">
            <v>3519089.9999999995</v>
          </cell>
          <cell r="K32">
            <v>2.7466967474911578E-3</v>
          </cell>
          <cell r="L32">
            <v>0.91122609210258287</v>
          </cell>
          <cell r="O32" t="str">
            <v>5,001-20,000</v>
          </cell>
          <cell r="P32">
            <v>3986446.8767986465</v>
          </cell>
          <cell r="Q32">
            <v>3879036.8423711793</v>
          </cell>
          <cell r="R32">
            <v>4873991.3999999994</v>
          </cell>
          <cell r="S32">
            <v>0.79586452334962665</v>
          </cell>
          <cell r="U32" t="str">
            <v>&lt;5,001</v>
          </cell>
          <cell r="V32">
            <v>3519089.9999999995</v>
          </cell>
        </row>
        <row r="33">
          <cell r="B33">
            <v>4873991.3999999994</v>
          </cell>
          <cell r="D33" t="str">
            <v>Hospital</v>
          </cell>
          <cell r="E33">
            <v>40823878</v>
          </cell>
          <cell r="F33">
            <v>3.1863582040406992E-2</v>
          </cell>
          <cell r="I33" t="str">
            <v>Xlarge Ret</v>
          </cell>
          <cell r="J33">
            <v>40823878</v>
          </cell>
          <cell r="K33">
            <v>3.1863582040406992E-2</v>
          </cell>
          <cell r="L33">
            <v>0.98608503921852686</v>
          </cell>
          <cell r="O33" t="str">
            <v>20,001-50,000</v>
          </cell>
          <cell r="P33">
            <v>11467754.274220692</v>
          </cell>
          <cell r="Q33">
            <v>10683291.020562317</v>
          </cell>
          <cell r="R33">
            <v>11467755</v>
          </cell>
          <cell r="S33">
            <v>0.93159393626410025</v>
          </cell>
          <cell r="U33" t="str">
            <v>5,001-20,000</v>
          </cell>
          <cell r="V33">
            <v>4873991.3999999994</v>
          </cell>
        </row>
        <row r="34">
          <cell r="B34">
            <v>11467755</v>
          </cell>
          <cell r="D34" t="str">
            <v>Lodging</v>
          </cell>
          <cell r="E34">
            <v>71484167.200000003</v>
          </cell>
          <cell r="F34">
            <v>5.5794347273117231E-2</v>
          </cell>
          <cell r="G34">
            <v>0.94438859080377269</v>
          </cell>
          <cell r="I34" t="str">
            <v>Large Ret</v>
          </cell>
          <cell r="J34">
            <v>71484167.200000003</v>
          </cell>
          <cell r="K34">
            <v>5.5794347273117231E-2</v>
          </cell>
          <cell r="L34">
            <v>0.77181511362305244</v>
          </cell>
          <cell r="O34" t="str">
            <v>50,001-100,000</v>
          </cell>
          <cell r="P34">
            <v>6320078.5305375494</v>
          </cell>
          <cell r="Q34">
            <v>6320078.5305375513</v>
          </cell>
          <cell r="R34">
            <v>6320079</v>
          </cell>
          <cell r="S34">
            <v>0.99999992571889551</v>
          </cell>
          <cell r="U34" t="str">
            <v>20,001-50,000</v>
          </cell>
          <cell r="V34">
            <v>11467755</v>
          </cell>
        </row>
        <row r="35">
          <cell r="B35">
            <v>6320079</v>
          </cell>
          <cell r="D35" t="str">
            <v>Large Off</v>
          </cell>
          <cell r="E35">
            <v>148846158</v>
          </cell>
          <cell r="F35">
            <v>0.11617641437279382</v>
          </cell>
          <cell r="G35">
            <v>0.95128694884061893</v>
          </cell>
          <cell r="I35" t="str">
            <v>Medium Ret</v>
          </cell>
          <cell r="J35">
            <v>148846158</v>
          </cell>
          <cell r="K35">
            <v>0.11617641437279382</v>
          </cell>
          <cell r="L35">
            <v>0.90527535536267667</v>
          </cell>
          <cell r="N35" t="str">
            <v>Lodging</v>
          </cell>
          <cell r="P35">
            <v>67358224.807189479</v>
          </cell>
          <cell r="Q35">
            <v>67508831.926789269</v>
          </cell>
          <cell r="R35">
            <v>71484167.200000003</v>
          </cell>
          <cell r="S35">
            <v>0.94438859080377269</v>
          </cell>
          <cell r="U35" t="str">
            <v>50,001-100,000</v>
          </cell>
          <cell r="V35">
            <v>6320079</v>
          </cell>
        </row>
        <row r="36">
          <cell r="B36">
            <v>40823878</v>
          </cell>
          <cell r="D36" t="str">
            <v>Medium Off</v>
          </cell>
          <cell r="E36">
            <v>127597664</v>
          </cell>
          <cell r="F36">
            <v>9.9591681001699198E-2</v>
          </cell>
          <cell r="G36">
            <v>0.97665874571205136</v>
          </cell>
          <cell r="I36" t="str">
            <v>Small Ret</v>
          </cell>
          <cell r="J36">
            <v>127597664</v>
          </cell>
          <cell r="K36">
            <v>9.9591681001699198E-2</v>
          </cell>
          <cell r="L36">
            <v>0.53668215741883951</v>
          </cell>
          <cell r="N36" t="str">
            <v>Office</v>
          </cell>
          <cell r="O36" t="str">
            <v>&lt;5,001</v>
          </cell>
          <cell r="P36">
            <v>23029482.214190245</v>
          </cell>
          <cell r="Q36">
            <v>20985065.432742432</v>
          </cell>
          <cell r="R36">
            <v>23029482.600000001</v>
          </cell>
          <cell r="S36">
            <v>0.91122609210258287</v>
          </cell>
          <cell r="U36" t="str">
            <v>Hospital</v>
          </cell>
          <cell r="V36">
            <v>40823878</v>
          </cell>
        </row>
        <row r="37">
          <cell r="B37">
            <v>71484167.200000003</v>
          </cell>
          <cell r="D37" t="str">
            <v>Small Off</v>
          </cell>
          <cell r="E37">
            <v>23029482.600000001</v>
          </cell>
          <cell r="F37">
            <v>1.7974818761050219E-2</v>
          </cell>
          <cell r="G37">
            <v>0.91122609210258287</v>
          </cell>
          <cell r="I37" t="str">
            <v>School K-12</v>
          </cell>
          <cell r="J37">
            <v>23029482.600000001</v>
          </cell>
          <cell r="K37">
            <v>1.7974818761050219E-2</v>
          </cell>
          <cell r="L37">
            <v>0.96128535178408803</v>
          </cell>
          <cell r="O37" t="str">
            <v>5,001-20,000</v>
          </cell>
          <cell r="P37">
            <v>80784182.574405566</v>
          </cell>
          <cell r="Q37">
            <v>82746734.576799899</v>
          </cell>
          <cell r="R37">
            <v>85725024</v>
          </cell>
          <cell r="S37">
            <v>0.96525764258520241</v>
          </cell>
          <cell r="U37" t="str">
            <v>Lodging</v>
          </cell>
          <cell r="V37">
            <v>71484167.200000003</v>
          </cell>
        </row>
        <row r="38">
          <cell r="B38">
            <v>299473304.60000002</v>
          </cell>
          <cell r="D38" t="str">
            <v>Other</v>
          </cell>
          <cell r="E38">
            <v>157213913</v>
          </cell>
          <cell r="F38">
            <v>0.12270755891365605</v>
          </cell>
          <cell r="G38">
            <v>0.87717751610580841</v>
          </cell>
          <cell r="I38" t="str">
            <v>University</v>
          </cell>
          <cell r="J38">
            <v>157213913</v>
          </cell>
          <cell r="K38">
            <v>0.12270755891365605</v>
          </cell>
          <cell r="L38">
            <v>0</v>
          </cell>
          <cell r="O38" t="str">
            <v>20,001-50,000</v>
          </cell>
          <cell r="P38">
            <v>34539301.857369535</v>
          </cell>
          <cell r="Q38">
            <v>41872639.901227877</v>
          </cell>
          <cell r="R38">
            <v>41872640</v>
          </cell>
          <cell r="S38">
            <v>0.99999999764112979</v>
          </cell>
          <cell r="U38" t="str">
            <v>Office</v>
          </cell>
          <cell r="V38">
            <v>299473304.60000002</v>
          </cell>
        </row>
        <row r="39">
          <cell r="B39">
            <v>23029482.600000001</v>
          </cell>
          <cell r="D39" t="str">
            <v>residential care</v>
          </cell>
          <cell r="E39">
            <v>53966740.100000001</v>
          </cell>
          <cell r="F39">
            <v>4.2121761451219111E-2</v>
          </cell>
          <cell r="G39">
            <v>0.8423386600487599</v>
          </cell>
          <cell r="I39" t="str">
            <v>Warehouse</v>
          </cell>
          <cell r="J39">
            <v>53966740.100000001</v>
          </cell>
          <cell r="K39">
            <v>4.2121761451219111E-2</v>
          </cell>
          <cell r="L39">
            <v>0.18162271351024481</v>
          </cell>
          <cell r="O39" t="str">
            <v>50,001-100,000</v>
          </cell>
          <cell r="P39">
            <v>43034153.216813698</v>
          </cell>
          <cell r="Q39">
            <v>63253424.725206777</v>
          </cell>
          <cell r="R39">
            <v>63929821</v>
          </cell>
          <cell r="S39">
            <v>0.98941970641849253</v>
          </cell>
          <cell r="U39" t="str">
            <v>&lt;5,001</v>
          </cell>
          <cell r="V39">
            <v>23029482.600000001</v>
          </cell>
        </row>
        <row r="40">
          <cell r="B40">
            <v>85725024</v>
          </cell>
          <cell r="D40" t="str">
            <v>Restaurant</v>
          </cell>
          <cell r="E40">
            <v>16079931.400000002</v>
          </cell>
          <cell r="F40">
            <v>1.2550601228232568E-2</v>
          </cell>
          <cell r="G40">
            <v>0.99999997512427186</v>
          </cell>
          <cell r="I40" t="str">
            <v>Supermarket</v>
          </cell>
          <cell r="J40">
            <v>16079931.400000002</v>
          </cell>
          <cell r="K40">
            <v>1.2550601228232568E-2</v>
          </cell>
          <cell r="L40">
            <v>0.92147944946531313</v>
          </cell>
          <cell r="O40" t="str">
            <v>100,001+</v>
          </cell>
          <cell r="P40">
            <v>64636550.250122726</v>
          </cell>
          <cell r="Q40">
            <v>78341982.765261889</v>
          </cell>
          <cell r="R40">
            <v>84916337</v>
          </cell>
          <cell r="S40">
            <v>0.92257845230961733</v>
          </cell>
          <cell r="U40" t="str">
            <v>5,001-20,000</v>
          </cell>
          <cell r="V40">
            <v>85725024</v>
          </cell>
        </row>
        <row r="41">
          <cell r="B41">
            <v>41872640</v>
          </cell>
          <cell r="D41" t="str">
            <v>Xlarge Ret</v>
          </cell>
          <cell r="E41">
            <v>59225697</v>
          </cell>
          <cell r="F41">
            <v>4.6226447552576613E-2</v>
          </cell>
          <cell r="G41">
            <v>0.98608503921852686</v>
          </cell>
          <cell r="I41" t="str">
            <v>MiniMart</v>
          </cell>
          <cell r="J41">
            <v>59225697</v>
          </cell>
          <cell r="K41">
            <v>4.6226447552576613E-2</v>
          </cell>
          <cell r="L41">
            <v>0.83868998628257874</v>
          </cell>
          <cell r="N41" t="str">
            <v>Other</v>
          </cell>
          <cell r="P41">
            <v>153654082.32473806</v>
          </cell>
          <cell r="Q41">
            <v>137904509.70261467</v>
          </cell>
          <cell r="R41">
            <v>157213913</v>
          </cell>
          <cell r="S41">
            <v>0.87717751610580841</v>
          </cell>
          <cell r="U41" t="str">
            <v>20,001-50,000</v>
          </cell>
          <cell r="V41">
            <v>41872640</v>
          </cell>
        </row>
        <row r="42">
          <cell r="B42">
            <v>63929821</v>
          </cell>
          <cell r="D42" t="str">
            <v>Large Ret</v>
          </cell>
          <cell r="E42">
            <v>72646954</v>
          </cell>
          <cell r="F42">
            <v>5.6701917901201666E-2</v>
          </cell>
          <cell r="G42">
            <v>0.77181511362305244</v>
          </cell>
          <cell r="I42" t="str">
            <v>Restaurant</v>
          </cell>
          <cell r="J42">
            <v>72646954</v>
          </cell>
          <cell r="K42">
            <v>5.6701917901201666E-2</v>
          </cell>
          <cell r="L42">
            <v>0.99999997512427186</v>
          </cell>
          <cell r="N42" t="str">
            <v>Residential Care</v>
          </cell>
          <cell r="P42">
            <v>49714392.777311653</v>
          </cell>
          <cell r="Q42">
            <v>45458271.543033682</v>
          </cell>
          <cell r="R42">
            <v>53966740.100000001</v>
          </cell>
          <cell r="S42">
            <v>0.8423386600487599</v>
          </cell>
          <cell r="U42" t="str">
            <v>50,001-100,000</v>
          </cell>
          <cell r="V42">
            <v>63929821</v>
          </cell>
        </row>
        <row r="43">
          <cell r="B43">
            <v>84916337</v>
          </cell>
          <cell r="D43" t="str">
            <v>Medium Ret</v>
          </cell>
          <cell r="E43">
            <v>68116174</v>
          </cell>
          <cell r="F43">
            <v>5.3165583596140417E-2</v>
          </cell>
          <cell r="G43">
            <v>0.90527535536267667</v>
          </cell>
          <cell r="I43" t="str">
            <v>Lodging</v>
          </cell>
          <cell r="J43">
            <v>68116174</v>
          </cell>
          <cell r="K43">
            <v>5.3165583596140417E-2</v>
          </cell>
          <cell r="L43">
            <v>0.94438859080377269</v>
          </cell>
          <cell r="N43" t="str">
            <v>Restaurant</v>
          </cell>
          <cell r="P43">
            <v>15578466.927956199</v>
          </cell>
          <cell r="Q43">
            <v>16079931</v>
          </cell>
          <cell r="R43">
            <v>16079931.400000002</v>
          </cell>
          <cell r="S43">
            <v>0.99999997512427186</v>
          </cell>
          <cell r="U43" t="str">
            <v>100,001+</v>
          </cell>
          <cell r="V43">
            <v>84916337</v>
          </cell>
        </row>
        <row r="44">
          <cell r="B44">
            <v>157213913</v>
          </cell>
          <cell r="D44" t="str">
            <v>Small Ret</v>
          </cell>
          <cell r="E44">
            <v>9866053.6999999993</v>
          </cell>
          <cell r="F44">
            <v>7.7005866881390082E-3</v>
          </cell>
          <cell r="G44">
            <v>0.53668215741883951</v>
          </cell>
          <cell r="I44" t="str">
            <v>Hospital</v>
          </cell>
          <cell r="J44">
            <v>9866053.6999999993</v>
          </cell>
          <cell r="K44">
            <v>7.7005866881390082E-3</v>
          </cell>
          <cell r="L44">
            <v>0</v>
          </cell>
          <cell r="N44" t="str">
            <v>Retail/Service</v>
          </cell>
          <cell r="O44" t="str">
            <v>&lt;5,001</v>
          </cell>
          <cell r="P44">
            <v>9866053.8742124401</v>
          </cell>
          <cell r="Q44">
            <v>5294934.9849261232</v>
          </cell>
          <cell r="R44">
            <v>9866053.6999999993</v>
          </cell>
          <cell r="S44">
            <v>0.53668215741883951</v>
          </cell>
          <cell r="U44" t="str">
            <v>Other</v>
          </cell>
          <cell r="V44">
            <v>157213913</v>
          </cell>
        </row>
        <row r="45">
          <cell r="B45">
            <v>53966740.100000001</v>
          </cell>
          <cell r="D45" t="str">
            <v>School K-12</v>
          </cell>
          <cell r="E45">
            <v>113565709.8</v>
          </cell>
          <cell r="F45">
            <v>8.8639553331737675E-2</v>
          </cell>
          <cell r="G45">
            <v>0.96128535178408803</v>
          </cell>
          <cell r="I45" t="str">
            <v>Residential Care</v>
          </cell>
          <cell r="J45">
            <v>113565709.8</v>
          </cell>
          <cell r="K45">
            <v>8.8639553331737675E-2</v>
          </cell>
          <cell r="L45">
            <v>0.8423386600487599</v>
          </cell>
          <cell r="O45" t="str">
            <v>5,001-20,000</v>
          </cell>
          <cell r="P45">
            <v>62095801.889099516</v>
          </cell>
          <cell r="Q45">
            <v>61663893.623795919</v>
          </cell>
          <cell r="R45">
            <v>68116174</v>
          </cell>
          <cell r="S45">
            <v>0.90527535536267667</v>
          </cell>
          <cell r="U45" t="str">
            <v>Residential Care</v>
          </cell>
          <cell r="V45">
            <v>53966740.100000001</v>
          </cell>
        </row>
        <row r="46">
          <cell r="B46">
            <v>16079931.400000002</v>
          </cell>
          <cell r="D46" t="str">
            <v>University</v>
          </cell>
          <cell r="E46">
            <v>3318939.8</v>
          </cell>
          <cell r="F46">
            <v>2.5904768430983446E-3</v>
          </cell>
          <cell r="I46" t="str">
            <v>Assembly</v>
          </cell>
          <cell r="J46">
            <v>3318939.8</v>
          </cell>
          <cell r="K46">
            <v>2.5904768430983446E-3</v>
          </cell>
          <cell r="L46">
            <v>0.91177234717447209</v>
          </cell>
          <cell r="O46" t="str">
            <v>20,001-50,000</v>
          </cell>
          <cell r="P46">
            <v>72646953.999999955</v>
          </cell>
          <cell r="Q46">
            <v>56070017.055878662</v>
          </cell>
          <cell r="R46">
            <v>72646954</v>
          </cell>
          <cell r="S46">
            <v>0.77181511362305244</v>
          </cell>
          <cell r="U46" t="str">
            <v>Restaurant</v>
          </cell>
          <cell r="V46">
            <v>16079931.400000002</v>
          </cell>
        </row>
        <row r="47">
          <cell r="B47">
            <v>4744164.2</v>
          </cell>
          <cell r="D47" t="str">
            <v>Warehouse</v>
          </cell>
          <cell r="E47">
            <v>123337986.3</v>
          </cell>
          <cell r="F47">
            <v>9.6266945662747752E-2</v>
          </cell>
          <cell r="G47">
            <v>0.18162271351024481</v>
          </cell>
          <cell r="I47" t="str">
            <v>Other</v>
          </cell>
          <cell r="J47">
            <v>123337986.3</v>
          </cell>
          <cell r="K47">
            <v>9.6266945662747752E-2</v>
          </cell>
          <cell r="L47">
            <v>0.87717751610580841</v>
          </cell>
          <cell r="O47" t="str">
            <v>100,001+</v>
          </cell>
          <cell r="P47">
            <v>59225697.00000003</v>
          </cell>
          <cell r="Q47">
            <v>58401573.74898959</v>
          </cell>
          <cell r="R47">
            <v>59225697</v>
          </cell>
          <cell r="S47">
            <v>0.98608503921852686</v>
          </cell>
          <cell r="U47" t="str">
            <v>&lt;5,001</v>
          </cell>
          <cell r="V47">
            <v>4744164.2</v>
          </cell>
        </row>
        <row r="48">
          <cell r="B48">
            <v>11335767.200000001</v>
          </cell>
          <cell r="E48">
            <v>1281208055.9000001</v>
          </cell>
          <cell r="J48">
            <v>1281208055.9000001</v>
          </cell>
          <cell r="K48">
            <v>1</v>
          </cell>
          <cell r="N48" t="str">
            <v>School K-12</v>
          </cell>
          <cell r="P48">
            <v>110527499.14520694</v>
          </cell>
          <cell r="Q48">
            <v>109169053.29570265</v>
          </cell>
          <cell r="R48">
            <v>113565709.8</v>
          </cell>
          <cell r="S48">
            <v>0.96128535178408803</v>
          </cell>
          <cell r="U48" t="str">
            <v>5,001-20,000</v>
          </cell>
          <cell r="V48">
            <v>11335767.200000001</v>
          </cell>
        </row>
        <row r="49">
          <cell r="B49">
            <v>209854878.69999999</v>
          </cell>
          <cell r="N49" t="str">
            <v>Warehouse</v>
          </cell>
          <cell r="P49">
            <v>84732711.903829709</v>
          </cell>
          <cell r="Q49">
            <v>22400979.7506954</v>
          </cell>
          <cell r="R49">
            <v>123337986.3</v>
          </cell>
          <cell r="S49">
            <v>0.18162271351024481</v>
          </cell>
          <cell r="U49" t="str">
            <v>Retail/Service</v>
          </cell>
          <cell r="V49">
            <v>209854878.69999999</v>
          </cell>
        </row>
        <row r="50">
          <cell r="B50">
            <v>9866053.6999999993</v>
          </cell>
          <cell r="N50" t="str">
            <v>Grand Total</v>
          </cell>
          <cell r="P50">
            <v>1118886484.6017523</v>
          </cell>
          <cell r="Q50">
            <v>1042255721.3553934</v>
          </cell>
          <cell r="R50">
            <v>1281208055.9000001</v>
          </cell>
          <cell r="S50">
            <v>0.81349451133699613</v>
          </cell>
          <cell r="U50" t="str">
            <v>&lt;5,001</v>
          </cell>
          <cell r="V50">
            <v>9866053.6999999993</v>
          </cell>
        </row>
        <row r="51">
          <cell r="B51">
            <v>68116174</v>
          </cell>
          <cell r="U51" t="str">
            <v>5,001-20,000</v>
          </cell>
          <cell r="V51">
            <v>68116174</v>
          </cell>
        </row>
        <row r="52">
          <cell r="B52">
            <v>72646954</v>
          </cell>
          <cell r="U52" t="str">
            <v>20,001-50,000</v>
          </cell>
          <cell r="V52">
            <v>72646954</v>
          </cell>
        </row>
        <row r="53">
          <cell r="B53">
            <v>59225697</v>
          </cell>
          <cell r="U53" t="str">
            <v>100,001+</v>
          </cell>
          <cell r="V53">
            <v>59225697</v>
          </cell>
        </row>
        <row r="54">
          <cell r="B54">
            <v>113565709.8</v>
          </cell>
          <cell r="U54" t="str">
            <v>School K-12</v>
          </cell>
          <cell r="V54">
            <v>113565709.8</v>
          </cell>
        </row>
        <row r="55">
          <cell r="B55">
            <v>3318939.8</v>
          </cell>
          <cell r="U55" t="str">
            <v>University</v>
          </cell>
          <cell r="V55">
            <v>3318939.8</v>
          </cell>
        </row>
        <row r="56">
          <cell r="B56">
            <v>123337986.3</v>
          </cell>
          <cell r="U56" t="str">
            <v>Warehouse</v>
          </cell>
          <cell r="V56">
            <v>123337986.3</v>
          </cell>
        </row>
        <row r="57">
          <cell r="B57">
            <v>1281208055.9000001</v>
          </cell>
          <cell r="U57" t="str">
            <v>Grand Total</v>
          </cell>
          <cell r="V57">
            <v>1281208055.9000001</v>
          </cell>
        </row>
        <row r="63">
          <cell r="B63" t="str">
            <v>(All)</v>
          </cell>
        </row>
        <row r="64">
          <cell r="B64" t="str">
            <v>(All)</v>
          </cell>
        </row>
        <row r="65">
          <cell r="B65" t="str">
            <v>(All)</v>
          </cell>
        </row>
        <row r="66">
          <cell r="B66" t="str">
            <v>(All)</v>
          </cell>
        </row>
        <row r="67">
          <cell r="B67" t="str">
            <v>2004-2013</v>
          </cell>
        </row>
        <row r="68">
          <cell r="B68" t="str">
            <v>Electricity</v>
          </cell>
        </row>
        <row r="70">
          <cell r="C70" t="str">
            <v>Column Labels</v>
          </cell>
          <cell r="F70" t="str">
            <v>HP</v>
          </cell>
        </row>
        <row r="71">
          <cell r="B71" t="str">
            <v>Size_Group</v>
          </cell>
          <cell r="C71">
            <v>1</v>
          </cell>
          <cell r="D71">
            <v>3</v>
          </cell>
          <cell r="E71">
            <v>4</v>
          </cell>
          <cell r="F71">
            <v>5</v>
          </cell>
          <cell r="G71">
            <v>6</v>
          </cell>
          <cell r="H71">
            <v>8</v>
          </cell>
          <cell r="I71">
            <v>9</v>
          </cell>
          <cell r="J71">
            <v>10</v>
          </cell>
          <cell r="K71">
            <v>11</v>
          </cell>
          <cell r="L71">
            <v>12</v>
          </cell>
          <cell r="M71">
            <v>13</v>
          </cell>
          <cell r="N71" t="str">
            <v>(blank)</v>
          </cell>
          <cell r="O71" t="str">
            <v>Grand Total</v>
          </cell>
          <cell r="P71" t="str">
            <v>SF</v>
          </cell>
          <cell r="Q71" t="str">
            <v>HP</v>
          </cell>
          <cell r="R71" t="str">
            <v>Elect</v>
          </cell>
        </row>
        <row r="72">
          <cell r="C72">
            <v>3.6534593810539057E-2</v>
          </cell>
          <cell r="D72">
            <v>9.6072243813068336E-2</v>
          </cell>
          <cell r="E72">
            <v>0</v>
          </cell>
          <cell r="F72">
            <v>0.50965114798682787</v>
          </cell>
          <cell r="G72">
            <v>3.1956647213604777E-2</v>
          </cell>
          <cell r="H72">
            <v>0</v>
          </cell>
          <cell r="I72">
            <v>0</v>
          </cell>
          <cell r="J72">
            <v>3.5497740342013101E-3</v>
          </cell>
          <cell r="K72">
            <v>5.8039414061002159E-4</v>
          </cell>
          <cell r="L72">
            <v>0</v>
          </cell>
          <cell r="M72">
            <v>0</v>
          </cell>
          <cell r="N72">
            <v>0.32165519900114858</v>
          </cell>
          <cell r="O72">
            <v>1</v>
          </cell>
          <cell r="P72">
            <v>323583577.89067554</v>
          </cell>
          <cell r="Q72">
            <v>0.50965114798682787</v>
          </cell>
          <cell r="R72">
            <v>0.49034885201317213</v>
          </cell>
        </row>
        <row r="73">
          <cell r="B73" t="str">
            <v>&lt;5,001</v>
          </cell>
          <cell r="C73">
            <v>0</v>
          </cell>
          <cell r="D73">
            <v>0</v>
          </cell>
          <cell r="E73">
            <v>0.18622247697050309</v>
          </cell>
          <cell r="F73">
            <v>0.81377752302949691</v>
          </cell>
          <cell r="G73">
            <v>0</v>
          </cell>
          <cell r="H73">
            <v>0</v>
          </cell>
          <cell r="I73">
            <v>0</v>
          </cell>
          <cell r="J73">
            <v>0</v>
          </cell>
          <cell r="K73">
            <v>0</v>
          </cell>
          <cell r="L73">
            <v>0</v>
          </cell>
          <cell r="M73">
            <v>0</v>
          </cell>
          <cell r="N73">
            <v>0</v>
          </cell>
          <cell r="O73">
            <v>1</v>
          </cell>
          <cell r="P73">
            <v>9815889.4471183456</v>
          </cell>
          <cell r="Q73">
            <v>0.81377752302949691</v>
          </cell>
          <cell r="R73">
            <v>0.18622247697050309</v>
          </cell>
        </row>
        <row r="74">
          <cell r="B74" t="str">
            <v>5,001-20,000</v>
          </cell>
          <cell r="C74">
            <v>0.81202354242998354</v>
          </cell>
          <cell r="D74">
            <v>3.3971992626398925E-2</v>
          </cell>
          <cell r="E74">
            <v>0</v>
          </cell>
          <cell r="F74">
            <v>0.15400446494361758</v>
          </cell>
          <cell r="G74">
            <v>0</v>
          </cell>
          <cell r="H74">
            <v>0</v>
          </cell>
          <cell r="I74">
            <v>0</v>
          </cell>
          <cell r="J74">
            <v>0</v>
          </cell>
          <cell r="K74">
            <v>0</v>
          </cell>
          <cell r="L74">
            <v>0</v>
          </cell>
          <cell r="M74">
            <v>0</v>
          </cell>
          <cell r="N74">
            <v>0</v>
          </cell>
          <cell r="O74">
            <v>1</v>
          </cell>
          <cell r="P74">
            <v>16084444.905748043</v>
          </cell>
          <cell r="Q74">
            <v>0.15400446494361758</v>
          </cell>
          <cell r="R74">
            <v>0.84599553505638236</v>
          </cell>
        </row>
        <row r="75">
          <cell r="B75" t="str">
            <v>20,001-50,000</v>
          </cell>
          <cell r="C75">
            <v>0</v>
          </cell>
          <cell r="D75">
            <v>0</v>
          </cell>
          <cell r="E75">
            <v>0</v>
          </cell>
          <cell r="F75">
            <v>0.18249203765273975</v>
          </cell>
          <cell r="G75">
            <v>0</v>
          </cell>
          <cell r="H75">
            <v>0</v>
          </cell>
          <cell r="I75">
            <v>0.8175079623472602</v>
          </cell>
          <cell r="J75">
            <v>0</v>
          </cell>
          <cell r="K75">
            <v>0</v>
          </cell>
          <cell r="L75">
            <v>0</v>
          </cell>
          <cell r="M75">
            <v>0</v>
          </cell>
          <cell r="N75">
            <v>0</v>
          </cell>
          <cell r="O75">
            <v>1</v>
          </cell>
          <cell r="P75">
            <v>23241500.137925949</v>
          </cell>
          <cell r="Q75">
            <v>0.18249203765273975</v>
          </cell>
          <cell r="R75">
            <v>0.81750796234726031</v>
          </cell>
        </row>
        <row r="76">
          <cell r="C76">
            <v>2.6830345435340821E-2</v>
          </cell>
          <cell r="D76">
            <v>1.3652575123708729E-2</v>
          </cell>
          <cell r="E76">
            <v>2.8001180638092205E-2</v>
          </cell>
          <cell r="F76">
            <v>0.18888064796136644</v>
          </cell>
          <cell r="G76">
            <v>0.57870617384054446</v>
          </cell>
          <cell r="H76">
            <v>0</v>
          </cell>
          <cell r="I76">
            <v>0</v>
          </cell>
          <cell r="J76">
            <v>7.5228886618891851E-3</v>
          </cell>
          <cell r="K76">
            <v>0.10945787462577937</v>
          </cell>
          <cell r="L76">
            <v>0</v>
          </cell>
          <cell r="M76">
            <v>0</v>
          </cell>
          <cell r="N76">
            <v>4.6948313713278858E-2</v>
          </cell>
          <cell r="O76">
            <v>1</v>
          </cell>
          <cell r="P76">
            <v>158846349.10849831</v>
          </cell>
          <cell r="Q76">
            <v>0.18888064796136644</v>
          </cell>
          <cell r="R76">
            <v>0.8111193520386335</v>
          </cell>
        </row>
        <row r="77">
          <cell r="B77" t="str">
            <v>&lt;5,001</v>
          </cell>
          <cell r="C77">
            <v>0</v>
          </cell>
          <cell r="D77">
            <v>0.17664037080346631</v>
          </cell>
          <cell r="E77">
            <v>0</v>
          </cell>
          <cell r="F77">
            <v>0.52490452587958114</v>
          </cell>
          <cell r="G77">
            <v>0</v>
          </cell>
          <cell r="H77">
            <v>0</v>
          </cell>
          <cell r="I77">
            <v>0</v>
          </cell>
          <cell r="J77">
            <v>1.9787254337404303E-2</v>
          </cell>
          <cell r="K77">
            <v>0</v>
          </cell>
          <cell r="L77">
            <v>0</v>
          </cell>
          <cell r="M77">
            <v>0</v>
          </cell>
          <cell r="N77">
            <v>0.27866784897954844</v>
          </cell>
          <cell r="O77">
            <v>1</v>
          </cell>
          <cell r="P77">
            <v>88922415.770519257</v>
          </cell>
          <cell r="Q77">
            <v>0.52490452587958114</v>
          </cell>
          <cell r="R77">
            <v>0.47509547412041886</v>
          </cell>
        </row>
        <row r="78">
          <cell r="B78" t="str">
            <v>5,001-20,000</v>
          </cell>
          <cell r="C78">
            <v>0</v>
          </cell>
          <cell r="D78">
            <v>0</v>
          </cell>
          <cell r="E78">
            <v>4.3228968896827348E-2</v>
          </cell>
          <cell r="F78">
            <v>0.75611452678600732</v>
          </cell>
          <cell r="G78">
            <v>0</v>
          </cell>
          <cell r="H78">
            <v>0</v>
          </cell>
          <cell r="I78">
            <v>0</v>
          </cell>
          <cell r="J78">
            <v>0</v>
          </cell>
          <cell r="K78">
            <v>0</v>
          </cell>
          <cell r="L78">
            <v>3.0685926118516452E-2</v>
          </cell>
          <cell r="M78">
            <v>0</v>
          </cell>
          <cell r="N78">
            <v>0.16997057819864889</v>
          </cell>
          <cell r="O78">
            <v>1</v>
          </cell>
          <cell r="P78">
            <v>154110090.46318847</v>
          </cell>
          <cell r="Q78">
            <v>0.75611452678600732</v>
          </cell>
          <cell r="R78">
            <v>0.24388547321399268</v>
          </cell>
        </row>
        <row r="79">
          <cell r="B79" t="str">
            <v>20,001-50,000</v>
          </cell>
          <cell r="C79">
            <v>0.27157849224769093</v>
          </cell>
          <cell r="D79">
            <v>0.16108600680990617</v>
          </cell>
          <cell r="E79">
            <v>0</v>
          </cell>
          <cell r="F79">
            <v>0.48968672235722216</v>
          </cell>
          <cell r="G79">
            <v>4.2122637341405176E-4</v>
          </cell>
          <cell r="H79">
            <v>0</v>
          </cell>
          <cell r="I79">
            <v>0</v>
          </cell>
          <cell r="J79">
            <v>0</v>
          </cell>
          <cell r="K79">
            <v>0</v>
          </cell>
          <cell r="L79">
            <v>0</v>
          </cell>
          <cell r="M79">
            <v>0</v>
          </cell>
          <cell r="N79">
            <v>7.7227552211766498E-2</v>
          </cell>
          <cell r="O79">
            <v>1</v>
          </cell>
          <cell r="P79">
            <v>121088778.65134136</v>
          </cell>
          <cell r="Q79">
            <v>0.48968672235722216</v>
          </cell>
          <cell r="R79">
            <v>0.5103132776427779</v>
          </cell>
        </row>
        <row r="80">
          <cell r="B80" t="str">
            <v>50,001-100,000</v>
          </cell>
          <cell r="C80">
            <v>0</v>
          </cell>
          <cell r="D80">
            <v>0</v>
          </cell>
          <cell r="E80">
            <v>0</v>
          </cell>
          <cell r="F80">
            <v>0</v>
          </cell>
          <cell r="G80">
            <v>0</v>
          </cell>
          <cell r="H80">
            <v>0</v>
          </cell>
          <cell r="I80">
            <v>0</v>
          </cell>
          <cell r="J80">
            <v>0</v>
          </cell>
          <cell r="K80">
            <v>0</v>
          </cell>
          <cell r="L80">
            <v>0</v>
          </cell>
          <cell r="M80">
            <v>0</v>
          </cell>
          <cell r="N80">
            <v>1</v>
          </cell>
          <cell r="O80">
            <v>1</v>
          </cell>
          <cell r="P80">
            <v>83126914.229880497</v>
          </cell>
          <cell r="Q80">
            <v>0</v>
          </cell>
          <cell r="R80">
            <v>1</v>
          </cell>
        </row>
        <row r="81">
          <cell r="B81" t="str">
            <v>100,001+</v>
          </cell>
          <cell r="C81">
            <v>0</v>
          </cell>
          <cell r="D81">
            <v>9.0247339982572464E-2</v>
          </cell>
          <cell r="E81">
            <v>0</v>
          </cell>
          <cell r="F81">
            <v>3.7300330925293994E-2</v>
          </cell>
          <cell r="G81">
            <v>0</v>
          </cell>
          <cell r="H81">
            <v>0</v>
          </cell>
          <cell r="I81">
            <v>0</v>
          </cell>
          <cell r="J81">
            <v>6.1086377136007814E-4</v>
          </cell>
          <cell r="K81">
            <v>0</v>
          </cell>
          <cell r="L81">
            <v>0</v>
          </cell>
          <cell r="M81">
            <v>0</v>
          </cell>
          <cell r="N81">
            <v>0.87184146532077345</v>
          </cell>
          <cell r="O81">
            <v>1</v>
          </cell>
          <cell r="P81">
            <v>161400968.09734377</v>
          </cell>
          <cell r="Q81">
            <v>3.7300330925293994E-2</v>
          </cell>
          <cell r="R81">
            <v>0.96269966907470605</v>
          </cell>
        </row>
        <row r="82">
          <cell r="C82">
            <v>3.0358719899233007E-2</v>
          </cell>
          <cell r="D82">
            <v>7.9022624302837394E-2</v>
          </cell>
          <cell r="E82">
            <v>2.3915459988707082E-2</v>
          </cell>
          <cell r="F82">
            <v>0.41080265497275703</v>
          </cell>
          <cell r="G82">
            <v>5.4849597267194045E-2</v>
          </cell>
          <cell r="H82">
            <v>5.3229117383233899E-3</v>
          </cell>
          <cell r="I82">
            <v>9.1480776677612327E-2</v>
          </cell>
          <cell r="J82">
            <v>8.7343776958000094E-3</v>
          </cell>
          <cell r="K82">
            <v>0</v>
          </cell>
          <cell r="L82">
            <v>0</v>
          </cell>
          <cell r="M82">
            <v>0</v>
          </cell>
          <cell r="N82">
            <v>0.29551287745753574</v>
          </cell>
          <cell r="O82">
            <v>1</v>
          </cell>
          <cell r="P82">
            <v>274835103.70914501</v>
          </cell>
          <cell r="Q82">
            <v>0.41080265497275703</v>
          </cell>
          <cell r="R82">
            <v>0.58919734502724297</v>
          </cell>
        </row>
        <row r="83">
          <cell r="C83">
            <v>4.8491951753153045E-2</v>
          </cell>
          <cell r="D83">
            <v>0</v>
          </cell>
          <cell r="E83">
            <v>7.2786406113312819E-3</v>
          </cell>
          <cell r="F83">
            <v>0.25160789616687884</v>
          </cell>
          <cell r="G83">
            <v>0.31248631124873866</v>
          </cell>
          <cell r="H83">
            <v>0</v>
          </cell>
          <cell r="I83">
            <v>0</v>
          </cell>
          <cell r="J83">
            <v>0.18360090438102558</v>
          </cell>
          <cell r="K83">
            <v>0.17776288985715782</v>
          </cell>
          <cell r="L83">
            <v>0</v>
          </cell>
          <cell r="M83">
            <v>1.383259321048938E-4</v>
          </cell>
          <cell r="N83">
            <v>1.863308004961009E-2</v>
          </cell>
          <cell r="O83">
            <v>1</v>
          </cell>
          <cell r="P83">
            <v>117631709.17964283</v>
          </cell>
          <cell r="Q83">
            <v>0.25160789616687884</v>
          </cell>
          <cell r="R83">
            <v>0.74839210383312116</v>
          </cell>
        </row>
        <row r="84">
          <cell r="C84">
            <v>0</v>
          </cell>
          <cell r="D84">
            <v>0</v>
          </cell>
          <cell r="E84">
            <v>8.4985032383021089E-2</v>
          </cell>
          <cell r="F84">
            <v>0.8667911132476972</v>
          </cell>
          <cell r="G84">
            <v>0</v>
          </cell>
          <cell r="H84">
            <v>0</v>
          </cell>
          <cell r="I84">
            <v>0</v>
          </cell>
          <cell r="J84">
            <v>4.8223854369281734E-2</v>
          </cell>
          <cell r="K84">
            <v>0</v>
          </cell>
          <cell r="L84">
            <v>0</v>
          </cell>
          <cell r="M84">
            <v>0</v>
          </cell>
          <cell r="N84">
            <v>0</v>
          </cell>
          <cell r="O84">
            <v>1</v>
          </cell>
          <cell r="P84">
            <v>47431959.763809502</v>
          </cell>
          <cell r="Q84">
            <v>0.8667911132476972</v>
          </cell>
          <cell r="R84">
            <v>0.1332088867523028</v>
          </cell>
        </row>
        <row r="85">
          <cell r="B85" t="str">
            <v>&lt;5,001</v>
          </cell>
          <cell r="C85">
            <v>0</v>
          </cell>
          <cell r="D85">
            <v>0.30228709576973001</v>
          </cell>
          <cell r="E85">
            <v>0</v>
          </cell>
          <cell r="F85">
            <v>0.6004457335185307</v>
          </cell>
          <cell r="G85">
            <v>0</v>
          </cell>
          <cell r="H85">
            <v>0</v>
          </cell>
          <cell r="I85">
            <v>0</v>
          </cell>
          <cell r="J85">
            <v>3.9538732283492091E-2</v>
          </cell>
          <cell r="K85">
            <v>5.7728438428247104E-2</v>
          </cell>
          <cell r="L85">
            <v>0</v>
          </cell>
          <cell r="M85">
            <v>0</v>
          </cell>
          <cell r="N85">
            <v>0</v>
          </cell>
          <cell r="O85">
            <v>1</v>
          </cell>
          <cell r="P85">
            <v>45229806.543296024</v>
          </cell>
          <cell r="Q85">
            <v>0.6004457335185307</v>
          </cell>
          <cell r="R85">
            <v>0.3995542664814693</v>
          </cell>
        </row>
        <row r="86">
          <cell r="B86" t="str">
            <v>5,001-20,000</v>
          </cell>
          <cell r="C86">
            <v>0.67420376757283751</v>
          </cell>
          <cell r="D86">
            <v>0</v>
          </cell>
          <cell r="E86">
            <v>0</v>
          </cell>
          <cell r="F86">
            <v>0.25959218292260067</v>
          </cell>
          <cell r="G86">
            <v>0</v>
          </cell>
          <cell r="H86">
            <v>0</v>
          </cell>
          <cell r="I86">
            <v>6.6204049504561782E-2</v>
          </cell>
          <cell r="J86">
            <v>0</v>
          </cell>
          <cell r="K86">
            <v>0</v>
          </cell>
          <cell r="L86">
            <v>0</v>
          </cell>
          <cell r="M86">
            <v>0</v>
          </cell>
          <cell r="N86">
            <v>0</v>
          </cell>
          <cell r="O86">
            <v>1</v>
          </cell>
          <cell r="P86">
            <v>142334439.47546965</v>
          </cell>
          <cell r="Q86">
            <v>0.25959218292260067</v>
          </cell>
          <cell r="R86">
            <v>0.74040781707739933</v>
          </cell>
        </row>
        <row r="87">
          <cell r="B87" t="str">
            <v>20,001-50,000</v>
          </cell>
          <cell r="C87">
            <v>0.44457384121018961</v>
          </cell>
          <cell r="D87">
            <v>0</v>
          </cell>
          <cell r="E87">
            <v>0</v>
          </cell>
          <cell r="F87">
            <v>0.52538539575341459</v>
          </cell>
          <cell r="G87">
            <v>0</v>
          </cell>
          <cell r="H87">
            <v>0</v>
          </cell>
          <cell r="I87">
            <v>0</v>
          </cell>
          <cell r="J87">
            <v>3.0040763036395728E-2</v>
          </cell>
          <cell r="K87">
            <v>0</v>
          </cell>
          <cell r="L87">
            <v>0</v>
          </cell>
          <cell r="M87">
            <v>0</v>
          </cell>
          <cell r="N87">
            <v>0</v>
          </cell>
          <cell r="O87">
            <v>1</v>
          </cell>
          <cell r="P87">
            <v>150479652.53202388</v>
          </cell>
          <cell r="Q87">
            <v>0.52538539575341459</v>
          </cell>
          <cell r="R87">
            <v>0.47461460424658541</v>
          </cell>
        </row>
        <row r="88">
          <cell r="B88" t="str">
            <v>100,001+</v>
          </cell>
          <cell r="C88">
            <v>0</v>
          </cell>
          <cell r="D88">
            <v>0</v>
          </cell>
          <cell r="E88">
            <v>0</v>
          </cell>
          <cell r="F88">
            <v>1</v>
          </cell>
          <cell r="G88">
            <v>0</v>
          </cell>
          <cell r="H88">
            <v>0</v>
          </cell>
          <cell r="I88">
            <v>0</v>
          </cell>
          <cell r="J88">
            <v>0</v>
          </cell>
          <cell r="K88">
            <v>0</v>
          </cell>
          <cell r="L88">
            <v>0</v>
          </cell>
          <cell r="M88">
            <v>0</v>
          </cell>
          <cell r="N88">
            <v>0</v>
          </cell>
          <cell r="O88">
            <v>1</v>
          </cell>
          <cell r="P88">
            <v>29532449.302067615</v>
          </cell>
          <cell r="Q88">
            <v>1</v>
          </cell>
          <cell r="R88">
            <v>0</v>
          </cell>
        </row>
        <row r="89">
          <cell r="C89">
            <v>0</v>
          </cell>
          <cell r="D89">
            <v>0</v>
          </cell>
          <cell r="E89">
            <v>0</v>
          </cell>
          <cell r="F89">
            <v>0.60623284948217304</v>
          </cell>
          <cell r="G89">
            <v>0</v>
          </cell>
          <cell r="H89">
            <v>0</v>
          </cell>
          <cell r="I89">
            <v>0</v>
          </cell>
          <cell r="J89">
            <v>0</v>
          </cell>
          <cell r="K89">
            <v>0</v>
          </cell>
          <cell r="L89">
            <v>7.8006315859590558E-2</v>
          </cell>
          <cell r="M89">
            <v>0</v>
          </cell>
          <cell r="N89">
            <v>0.31576083465823634</v>
          </cell>
          <cell r="O89">
            <v>1</v>
          </cell>
          <cell r="P89">
            <v>124562026.1368593</v>
          </cell>
          <cell r="Q89">
            <v>0.60623284948217304</v>
          </cell>
          <cell r="R89">
            <v>0.39376715051782696</v>
          </cell>
        </row>
        <row r="90">
          <cell r="C90">
            <v>0</v>
          </cell>
          <cell r="D90">
            <v>0</v>
          </cell>
          <cell r="E90">
            <v>0</v>
          </cell>
          <cell r="F90">
            <v>0.25284882715292539</v>
          </cell>
          <cell r="G90">
            <v>9.15963886801789E-2</v>
          </cell>
          <cell r="H90">
            <v>5.0434425613117444E-2</v>
          </cell>
          <cell r="I90">
            <v>0</v>
          </cell>
          <cell r="J90">
            <v>0.60086537417955166</v>
          </cell>
          <cell r="K90">
            <v>4.2549843742266929E-3</v>
          </cell>
          <cell r="L90">
            <v>0</v>
          </cell>
          <cell r="M90">
            <v>0</v>
          </cell>
          <cell r="N90">
            <v>0</v>
          </cell>
          <cell r="O90">
            <v>1</v>
          </cell>
          <cell r="P90">
            <v>226752622.27380022</v>
          </cell>
          <cell r="Q90">
            <v>0.25284882715292539</v>
          </cell>
          <cell r="R90">
            <v>0.74715117284707455</v>
          </cell>
        </row>
        <row r="91">
          <cell r="C91">
            <v>9.1376585173836206E-2</v>
          </cell>
          <cell r="D91">
            <v>4.3578166262721339E-2</v>
          </cell>
          <cell r="E91">
            <v>1.5647501421037862E-2</v>
          </cell>
          <cell r="F91">
            <v>0.36751344938564412</v>
          </cell>
          <cell r="G91">
            <v>0.12676686309729684</v>
          </cell>
          <cell r="H91">
            <v>7.9239003385834128E-4</v>
          </cell>
          <cell r="I91">
            <v>1.6904134041812836E-2</v>
          </cell>
          <cell r="J91">
            <v>2.4251816992745853E-2</v>
          </cell>
          <cell r="K91">
            <v>3.4260457436102294E-2</v>
          </cell>
          <cell r="L91">
            <v>7.4496258356358891E-3</v>
          </cell>
          <cell r="M91">
            <v>1.3534357178331009E-5</v>
          </cell>
          <cell r="N91">
            <v>0.27144547596213026</v>
          </cell>
          <cell r="O91">
            <v>1</v>
          </cell>
          <cell r="P91">
            <v>197062347.57176718</v>
          </cell>
          <cell r="Q91">
            <v>0.36751344938564412</v>
          </cell>
          <cell r="R91">
            <v>0.63248655061435588</v>
          </cell>
        </row>
        <row r="93">
          <cell r="B93" t="str">
            <v>(All)</v>
          </cell>
        </row>
        <row r="94">
          <cell r="B94" t="str">
            <v>(All)</v>
          </cell>
        </row>
        <row r="95">
          <cell r="B95" t="str">
            <v>(All)</v>
          </cell>
        </row>
        <row r="96">
          <cell r="B96" t="str">
            <v>(All)</v>
          </cell>
        </row>
        <row r="97">
          <cell r="B97" t="str">
            <v>(All)</v>
          </cell>
        </row>
        <row r="98">
          <cell r="B98" t="str">
            <v>2004-2013</v>
          </cell>
        </row>
        <row r="100">
          <cell r="C100" t="str">
            <v>Column Labels</v>
          </cell>
          <cell r="O100" t="str">
            <v>Heat Type Final</v>
          </cell>
        </row>
        <row r="101">
          <cell r="B101" t="str">
            <v>Size_Group</v>
          </cell>
          <cell r="C101" t="str">
            <v>Electricity</v>
          </cell>
          <cell r="D101" t="str">
            <v>Natural Gas</v>
          </cell>
          <cell r="E101" t="str">
            <v>Grand Total</v>
          </cell>
          <cell r="F101" t="str">
            <v>Total SF</v>
          </cell>
        </row>
        <row r="102">
          <cell r="C102">
            <v>0.19127215823254617</v>
          </cell>
          <cell r="D102">
            <v>0.80872784176745371</v>
          </cell>
          <cell r="E102">
            <v>1</v>
          </cell>
          <cell r="F102">
            <v>323583577.89067554</v>
          </cell>
          <cell r="J102" t="str">
            <v>Elect Share</v>
          </cell>
          <cell r="K102" t="str">
            <v>NG Share</v>
          </cell>
          <cell r="L102" t="str">
            <v>HP</v>
          </cell>
          <cell r="M102" t="str">
            <v>Elect</v>
          </cell>
          <cell r="P102" t="str">
            <v>NG</v>
          </cell>
          <cell r="Q102" t="str">
            <v>Elect</v>
          </cell>
          <cell r="R102" t="str">
            <v>HP</v>
          </cell>
        </row>
        <row r="103">
          <cell r="B103" t="str">
            <v>&lt;5,001</v>
          </cell>
          <cell r="C103">
            <v>0.34120957993445039</v>
          </cell>
          <cell r="D103">
            <v>0.65879042006554966</v>
          </cell>
          <cell r="E103">
            <v>1</v>
          </cell>
          <cell r="F103">
            <v>9815889.4471183456</v>
          </cell>
          <cell r="I103" t="str">
            <v>Assembly</v>
          </cell>
          <cell r="J103">
            <v>0.19127215823254617</v>
          </cell>
          <cell r="K103">
            <v>0.80872784176745371</v>
          </cell>
          <cell r="L103">
            <v>0.50965114798682787</v>
          </cell>
          <cell r="M103">
            <v>0.49034885201317213</v>
          </cell>
          <cell r="O103" t="str">
            <v>Large Off</v>
          </cell>
          <cell r="P103">
            <v>0.80872784176745371</v>
          </cell>
          <cell r="Q103">
            <v>9.379008321141083E-2</v>
          </cell>
          <cell r="R103">
            <v>9.7482075021135345E-2</v>
          </cell>
        </row>
        <row r="104">
          <cell r="B104" t="str">
            <v>5,001-20,000</v>
          </cell>
          <cell r="C104">
            <v>0.20553132715572342</v>
          </cell>
          <cell r="D104">
            <v>0.79446867284427658</v>
          </cell>
          <cell r="E104">
            <v>1</v>
          </cell>
          <cell r="F104">
            <v>16084444.905748043</v>
          </cell>
          <cell r="I104" t="str">
            <v>Supermarket</v>
          </cell>
          <cell r="J104">
            <v>6.8914388415774033E-2</v>
          </cell>
          <cell r="K104">
            <v>0.93108561158422598</v>
          </cell>
          <cell r="L104">
            <v>0.17084052379262782</v>
          </cell>
          <cell r="M104">
            <v>0.82915947620737218</v>
          </cell>
          <cell r="O104" t="str">
            <v>Medium Off</v>
          </cell>
          <cell r="P104">
            <v>0.93108561158422598</v>
          </cell>
          <cell r="Q104">
            <v>5.7141018201974592E-2</v>
          </cell>
          <cell r="R104">
            <v>1.1773370213799438E-2</v>
          </cell>
        </row>
        <row r="105">
          <cell r="B105" t="str">
            <v>20,001-50,000</v>
          </cell>
          <cell r="C105">
            <v>2.9445627872964144E-2</v>
          </cell>
          <cell r="D105">
            <v>0.97055437212703577</v>
          </cell>
          <cell r="E105">
            <v>1</v>
          </cell>
          <cell r="F105">
            <v>23241500.137925949</v>
          </cell>
          <cell r="I105" t="str">
            <v>Minimart</v>
          </cell>
          <cell r="J105">
            <v>0.34120957993445039</v>
          </cell>
          <cell r="K105">
            <v>0.65879042006554966</v>
          </cell>
          <cell r="L105">
            <v>0.81377752302949691</v>
          </cell>
          <cell r="M105">
            <v>0.18622247697050309</v>
          </cell>
          <cell r="O105" t="str">
            <v>Small Off</v>
          </cell>
          <cell r="P105">
            <v>0.65879042006554966</v>
          </cell>
          <cell r="Q105">
            <v>6.3540893141458221E-2</v>
          </cell>
          <cell r="R105">
            <v>0.27766868679299217</v>
          </cell>
        </row>
        <row r="106">
          <cell r="B106" t="str">
            <v>50,001-100,000</v>
          </cell>
          <cell r="C106">
            <v>0</v>
          </cell>
          <cell r="D106">
            <v>1</v>
          </cell>
          <cell r="E106">
            <v>1</v>
          </cell>
          <cell r="F106">
            <v>18575140.114893399</v>
          </cell>
          <cell r="I106" t="str">
            <v>Hospital</v>
          </cell>
          <cell r="J106">
            <v>0.69635535044967534</v>
          </cell>
          <cell r="K106">
            <v>0.30364464955032466</v>
          </cell>
          <cell r="L106">
            <v>0.25160789616687884</v>
          </cell>
          <cell r="M106">
            <v>0.74839210383312116</v>
          </cell>
          <cell r="O106" t="str">
            <v>Xlarge Ret</v>
          </cell>
          <cell r="P106">
            <v>0.30364464955032466</v>
          </cell>
          <cell r="Q106">
            <v>0.52114684573848291</v>
          </cell>
          <cell r="R106">
            <v>0.17520850471119245</v>
          </cell>
        </row>
        <row r="107">
          <cell r="C107">
            <v>0.79019796385281693</v>
          </cell>
          <cell r="D107">
            <v>0.20980203614718312</v>
          </cell>
          <cell r="E107">
            <v>1</v>
          </cell>
          <cell r="F107">
            <v>158846349.10849831</v>
          </cell>
          <cell r="I107" t="str">
            <v>Lodging</v>
          </cell>
          <cell r="J107">
            <v>0.79019796385281693</v>
          </cell>
          <cell r="K107">
            <v>0.20980203614718312</v>
          </cell>
          <cell r="L107">
            <v>0.18888064796136644</v>
          </cell>
          <cell r="M107">
            <v>0.8111193520386335</v>
          </cell>
          <cell r="O107" t="str">
            <v>Large Ret</v>
          </cell>
          <cell r="P107">
            <v>0.20980203614718312</v>
          </cell>
          <cell r="Q107">
            <v>0.64094486042254439</v>
          </cell>
          <cell r="R107">
            <v>0.14925310343027248</v>
          </cell>
        </row>
        <row r="108">
          <cell r="B108" t="str">
            <v>&lt;5,001</v>
          </cell>
          <cell r="C108">
            <v>0.46909449471346648</v>
          </cell>
          <cell r="D108">
            <v>0.53090550528653346</v>
          </cell>
          <cell r="E108">
            <v>1</v>
          </cell>
          <cell r="F108">
            <v>88922415.770519257</v>
          </cell>
          <cell r="I108" t="str">
            <v>Large Off</v>
          </cell>
          <cell r="J108">
            <v>0.57577270269147163</v>
          </cell>
          <cell r="K108">
            <v>0.42422729730852854</v>
          </cell>
          <cell r="L108">
            <v>2.4620135194388326E-2</v>
          </cell>
          <cell r="M108">
            <v>0.97537986480561178</v>
          </cell>
          <cell r="O108" t="str">
            <v>Medium Ret</v>
          </cell>
          <cell r="P108">
            <v>0.42422729730852854</v>
          </cell>
          <cell r="Q108">
            <v>0.56159710090996928</v>
          </cell>
          <cell r="R108">
            <v>1.4175601781502387E-2</v>
          </cell>
        </row>
        <row r="109">
          <cell r="B109" t="str">
            <v>5,001-20,000</v>
          </cell>
          <cell r="C109">
            <v>0.71327493880016912</v>
          </cell>
          <cell r="D109">
            <v>0.28672506119983077</v>
          </cell>
          <cell r="E109">
            <v>1</v>
          </cell>
          <cell r="F109">
            <v>154110090.46318847</v>
          </cell>
          <cell r="I109" t="str">
            <v>Medium Off</v>
          </cell>
          <cell r="J109">
            <v>0.55252560574833076</v>
          </cell>
          <cell r="K109">
            <v>0.44747439425166918</v>
          </cell>
          <cell r="L109">
            <v>0.63888505727240341</v>
          </cell>
          <cell r="M109">
            <v>0.36111494272759653</v>
          </cell>
          <cell r="O109" t="str">
            <v>Small Ret</v>
          </cell>
          <cell r="P109">
            <v>0.44747439425166918</v>
          </cell>
          <cell r="Q109">
            <v>0.19952525247533903</v>
          </cell>
          <cell r="R109">
            <v>0.35300035327299167</v>
          </cell>
        </row>
        <row r="110">
          <cell r="B110" t="str">
            <v>20,001-50,000</v>
          </cell>
          <cell r="C110">
            <v>0.34793939607281016</v>
          </cell>
          <cell r="D110">
            <v>0.6520606039271899</v>
          </cell>
          <cell r="E110">
            <v>1</v>
          </cell>
          <cell r="F110">
            <v>121088778.65134136</v>
          </cell>
          <cell r="I110" t="str">
            <v>Small Off</v>
          </cell>
          <cell r="J110">
            <v>0.46909449471346648</v>
          </cell>
          <cell r="K110">
            <v>0.53090550528653346</v>
          </cell>
          <cell r="L110">
            <v>0.52490452587958114</v>
          </cell>
          <cell r="M110">
            <v>0.47509547412041886</v>
          </cell>
          <cell r="O110" t="str">
            <v>School K-12</v>
          </cell>
          <cell r="P110">
            <v>0.53090550528653346</v>
          </cell>
          <cell r="Q110">
            <v>0.22286467137317267</v>
          </cell>
          <cell r="R110">
            <v>0.24622982334029381</v>
          </cell>
        </row>
        <row r="111">
          <cell r="B111" t="str">
            <v>50,001-100,000</v>
          </cell>
          <cell r="C111">
            <v>0.3310637482934789</v>
          </cell>
          <cell r="D111">
            <v>0.66893625170652105</v>
          </cell>
          <cell r="E111">
            <v>1</v>
          </cell>
          <cell r="F111">
            <v>83126914.229880497</v>
          </cell>
          <cell r="I111" t="str">
            <v>Other</v>
          </cell>
          <cell r="J111">
            <v>0.26961498794069311</v>
          </cell>
          <cell r="K111">
            <v>0.73038501205930684</v>
          </cell>
          <cell r="L111">
            <v>0.41080265497275703</v>
          </cell>
          <cell r="M111">
            <v>0.58919734502724297</v>
          </cell>
          <cell r="O111" t="str">
            <v>University</v>
          </cell>
          <cell r="P111">
            <v>0.73038501205930684</v>
          </cell>
          <cell r="Q111">
            <v>0.15885643507420852</v>
          </cell>
          <cell r="R111">
            <v>0.1107585528664846</v>
          </cell>
        </row>
        <row r="112">
          <cell r="B112" t="str">
            <v>100,001+</v>
          </cell>
          <cell r="C112">
            <v>0.70180602518837931</v>
          </cell>
          <cell r="D112">
            <v>0.29819397481162069</v>
          </cell>
          <cell r="E112">
            <v>1</v>
          </cell>
          <cell r="F112">
            <v>161400968.09734377</v>
          </cell>
          <cell r="I112" t="str">
            <v>residential care</v>
          </cell>
          <cell r="J112">
            <v>0.69635535044967534</v>
          </cell>
          <cell r="K112">
            <v>0.30364464955032466</v>
          </cell>
          <cell r="L112">
            <v>0.25160789616687884</v>
          </cell>
          <cell r="M112">
            <v>0.74839210383312116</v>
          </cell>
          <cell r="O112" t="str">
            <v>Warehouse</v>
          </cell>
          <cell r="P112">
            <v>0.30364464955032466</v>
          </cell>
          <cell r="Q112">
            <v>0.52114684573848291</v>
          </cell>
          <cell r="R112">
            <v>0.17520850471119245</v>
          </cell>
        </row>
        <row r="113">
          <cell r="C113">
            <v>0.26961498794069311</v>
          </cell>
          <cell r="D113">
            <v>0.73038501205930684</v>
          </cell>
          <cell r="E113">
            <v>1</v>
          </cell>
          <cell r="F113">
            <v>274835103.70914501</v>
          </cell>
          <cell r="I113" t="str">
            <v>Restaurant</v>
          </cell>
          <cell r="J113">
            <v>0.11544136812444949</v>
          </cell>
          <cell r="K113">
            <v>0.88455863187555051</v>
          </cell>
          <cell r="L113">
            <v>0.8667911132476972</v>
          </cell>
          <cell r="M113">
            <v>0.1332088867523028</v>
          </cell>
          <cell r="O113" t="str">
            <v>Supermarket</v>
          </cell>
          <cell r="P113">
            <v>0.88455863187555051</v>
          </cell>
          <cell r="Q113">
            <v>1.5377816133020691E-2</v>
          </cell>
          <cell r="R113">
            <v>0.1000635519914288</v>
          </cell>
        </row>
        <row r="114">
          <cell r="C114">
            <v>0.69635535044967534</v>
          </cell>
          <cell r="D114">
            <v>0.30364464955032466</v>
          </cell>
          <cell r="E114">
            <v>1</v>
          </cell>
          <cell r="F114">
            <v>117631709.17964283</v>
          </cell>
          <cell r="I114" t="str">
            <v>Xlarge Ret</v>
          </cell>
          <cell r="J114">
            <v>3.7919073269764856E-3</v>
          </cell>
          <cell r="K114">
            <v>0.99620809267302346</v>
          </cell>
          <cell r="L114">
            <v>1</v>
          </cell>
          <cell r="M114">
            <v>0</v>
          </cell>
          <cell r="O114" t="str">
            <v>MiniMart</v>
          </cell>
          <cell r="P114">
            <v>0.99620809267302346</v>
          </cell>
          <cell r="Q114">
            <v>0</v>
          </cell>
          <cell r="R114">
            <v>3.7919073269764856E-3</v>
          </cell>
        </row>
        <row r="115">
          <cell r="C115">
            <v>0.11544136812444949</v>
          </cell>
          <cell r="D115">
            <v>0.88455863187555051</v>
          </cell>
          <cell r="E115">
            <v>1</v>
          </cell>
          <cell r="F115">
            <v>47431959.763809502</v>
          </cell>
          <cell r="I115" t="str">
            <v>Large Ret</v>
          </cell>
          <cell r="J115">
            <v>0.11633093892826991</v>
          </cell>
          <cell r="K115">
            <v>0.88366906107173016</v>
          </cell>
          <cell r="L115">
            <v>0.52538539575341459</v>
          </cell>
          <cell r="M115">
            <v>0.47461460424658541</v>
          </cell>
          <cell r="O115" t="str">
            <v>Restaurant</v>
          </cell>
          <cell r="P115">
            <v>0.88366906107173016</v>
          </cell>
          <cell r="Q115">
            <v>5.5212362541074519E-2</v>
          </cell>
          <cell r="R115">
            <v>6.1118576387195395E-2</v>
          </cell>
        </row>
        <row r="116">
          <cell r="B116" t="str">
            <v>&lt;5,001</v>
          </cell>
          <cell r="C116">
            <v>0.25807376864155529</v>
          </cell>
          <cell r="D116">
            <v>0.74192623135844471</v>
          </cell>
          <cell r="E116">
            <v>1</v>
          </cell>
          <cell r="F116">
            <v>45229806.543296024</v>
          </cell>
          <cell r="I116" t="str">
            <v>Medium Ret</v>
          </cell>
          <cell r="J116">
            <v>0.46382631638129862</v>
          </cell>
          <cell r="K116">
            <v>0.53617368361870132</v>
          </cell>
          <cell r="L116">
            <v>0.25959218292260067</v>
          </cell>
          <cell r="M116">
            <v>0.74040781707739933</v>
          </cell>
          <cell r="O116" t="str">
            <v>Lodging</v>
          </cell>
          <cell r="P116">
            <v>0.53617368361870132</v>
          </cell>
          <cell r="Q116">
            <v>0.34342063041492848</v>
          </cell>
          <cell r="R116">
            <v>0.12040568596637012</v>
          </cell>
        </row>
        <row r="117">
          <cell r="B117" t="str">
            <v>5,001-20,000</v>
          </cell>
          <cell r="C117">
            <v>0.46382631638129862</v>
          </cell>
          <cell r="D117">
            <v>0.53617368361870132</v>
          </cell>
          <cell r="E117">
            <v>1</v>
          </cell>
          <cell r="F117">
            <v>142334439.47546965</v>
          </cell>
          <cell r="I117" t="str">
            <v>Small Ret</v>
          </cell>
          <cell r="J117">
            <v>0.25807376864155529</v>
          </cell>
          <cell r="K117">
            <v>0.74192623135844471</v>
          </cell>
          <cell r="L117">
            <v>0.6004457335185307</v>
          </cell>
          <cell r="M117">
            <v>0.3995542664814693</v>
          </cell>
          <cell r="O117" t="str">
            <v>Hospital</v>
          </cell>
          <cell r="P117">
            <v>0.74192623135844471</v>
          </cell>
          <cell r="Q117">
            <v>0.10311447532768504</v>
          </cell>
          <cell r="R117">
            <v>0.15495929331387026</v>
          </cell>
        </row>
        <row r="118">
          <cell r="B118" t="str">
            <v>20,001-50,000</v>
          </cell>
          <cell r="C118">
            <v>0.11633093892826991</v>
          </cell>
          <cell r="D118">
            <v>0.88366906107173016</v>
          </cell>
          <cell r="E118">
            <v>1</v>
          </cell>
          <cell r="F118">
            <v>150479652.53202388</v>
          </cell>
          <cell r="I118" t="str">
            <v>School K-12</v>
          </cell>
          <cell r="J118">
            <v>1.4242837102056283E-2</v>
          </cell>
          <cell r="K118">
            <v>0.98575716289794368</v>
          </cell>
          <cell r="L118">
            <v>0.60623284948217304</v>
          </cell>
          <cell r="M118">
            <v>0.39376715051782696</v>
          </cell>
          <cell r="O118" t="str">
            <v>Residential Care</v>
          </cell>
          <cell r="P118">
            <v>0.98575716289794368</v>
          </cell>
          <cell r="Q118">
            <v>5.6083613809662864E-3</v>
          </cell>
          <cell r="R118">
            <v>8.6344757210899958E-3</v>
          </cell>
        </row>
        <row r="119">
          <cell r="B119" t="str">
            <v>100,001+</v>
          </cell>
          <cell r="C119">
            <v>3.7919073269764856E-3</v>
          </cell>
          <cell r="D119">
            <v>0.99620809267302346</v>
          </cell>
          <cell r="E119">
            <v>1</v>
          </cell>
          <cell r="F119">
            <v>29532449.302067615</v>
          </cell>
          <cell r="I119" t="str">
            <v>University</v>
          </cell>
          <cell r="J119">
            <v>1.4242837102056283E-2</v>
          </cell>
          <cell r="K119">
            <v>0.98575716289794368</v>
          </cell>
          <cell r="L119">
            <v>0.60623284948217304</v>
          </cell>
          <cell r="M119">
            <v>0.39376715051782696</v>
          </cell>
          <cell r="O119" t="str">
            <v>Assembly</v>
          </cell>
          <cell r="P119">
            <v>0.98575716289794368</v>
          </cell>
          <cell r="Q119">
            <v>5.6083613809662864E-3</v>
          </cell>
          <cell r="R119">
            <v>8.6344757210899958E-3</v>
          </cell>
        </row>
      </sheetData>
      <sheetData sheetId="20">
        <row r="11">
          <cell r="B11" t="str">
            <v>Compressed Air</v>
          </cell>
          <cell r="C11" t="str">
            <v>Compressed Air System Improvements</v>
          </cell>
          <cell r="D11" t="str">
            <v>Compressors</v>
          </cell>
        </row>
        <row r="12">
          <cell r="B12" t="str">
            <v>Compressed Air</v>
          </cell>
          <cell r="C12" t="str">
            <v>Compressed Air System Improvements</v>
          </cell>
          <cell r="D12" t="str">
            <v>Interactive Compressed Air System Supply/Demand Improvements</v>
          </cell>
        </row>
        <row r="13">
          <cell r="B13" t="str">
            <v>Compressed Air</v>
          </cell>
          <cell r="C13" t="str">
            <v>Heat Recovery</v>
          </cell>
          <cell r="D13" t="str">
            <v>Heat Recovery Improvements</v>
          </cell>
        </row>
        <row r="14">
          <cell r="B14" t="str">
            <v>HVAC</v>
          </cell>
          <cell r="C14" t="str">
            <v>HVAC System Improvements</v>
          </cell>
          <cell r="D14" t="str">
            <v>Interactive HVAC System Improvements</v>
          </cell>
        </row>
        <row r="15">
          <cell r="B15" t="str">
            <v>Irrigation</v>
          </cell>
          <cell r="C15" t="str">
            <v>Center Pivot System and Equipment</v>
          </cell>
          <cell r="D15" t="str">
            <v>Center Pivot Conversions</v>
          </cell>
        </row>
        <row r="16">
          <cell r="B16" t="str">
            <v>Irrigation</v>
          </cell>
          <cell r="C16" t="str">
            <v>Center Pivot System and Equipment</v>
          </cell>
          <cell r="D16" t="str">
            <v>Reduce System Friction Head</v>
          </cell>
        </row>
        <row r="17">
          <cell r="B17" t="str">
            <v>Irrigation</v>
          </cell>
          <cell r="C17" t="str">
            <v>Center Pivot System and Equipment</v>
          </cell>
          <cell r="D17" t="str">
            <v xml:space="preserve">Reduce System Friction Head </v>
          </cell>
        </row>
        <row r="18">
          <cell r="B18" t="str">
            <v>Irrigation</v>
          </cell>
          <cell r="C18" t="str">
            <v>Center Pivot System and Equipment</v>
          </cell>
          <cell r="D18" t="str">
            <v>Reduce System Leakage</v>
          </cell>
        </row>
        <row r="19">
          <cell r="B19" t="str">
            <v>Irrigation</v>
          </cell>
          <cell r="C19" t="str">
            <v>Center Pivot System and Equipment</v>
          </cell>
          <cell r="D19" t="str">
            <v>Reduce System Lift</v>
          </cell>
        </row>
        <row r="20">
          <cell r="B20" t="str">
            <v>Irrigation</v>
          </cell>
          <cell r="C20" t="str">
            <v>Center Pivot System and Equipment</v>
          </cell>
          <cell r="D20" t="str">
            <v>System Water Delivery Improvements</v>
          </cell>
        </row>
        <row r="21">
          <cell r="B21" t="str">
            <v>Irrigation</v>
          </cell>
          <cell r="C21" t="str">
            <v>Discharge Fitting Equipment</v>
          </cell>
          <cell r="D21" t="str">
            <v>Drop Installation for Spray Heads and Pressure Regulators</v>
          </cell>
        </row>
        <row r="22">
          <cell r="B22" t="str">
            <v>Irrigation</v>
          </cell>
          <cell r="C22" t="str">
            <v>Discharge Fitting Equipment</v>
          </cell>
          <cell r="D22" t="str">
            <v>Flow Control Nozzles and Diffuser</v>
          </cell>
        </row>
        <row r="23">
          <cell r="B23" t="str">
            <v>Irrigation</v>
          </cell>
          <cell r="C23" t="str">
            <v>Discharge Fitting Equipment</v>
          </cell>
          <cell r="D23" t="str">
            <v>Impact Sprinkler Heads</v>
          </cell>
        </row>
        <row r="24">
          <cell r="B24" t="str">
            <v>Irrigation</v>
          </cell>
          <cell r="C24" t="str">
            <v>Discharge Fitting Equipment</v>
          </cell>
          <cell r="D24" t="str">
            <v>Low Angle Heads</v>
          </cell>
        </row>
        <row r="25">
          <cell r="B25" t="str">
            <v>Irrigation</v>
          </cell>
          <cell r="C25" t="str">
            <v>Discharge Fitting Equipment</v>
          </cell>
          <cell r="D25" t="str">
            <v>Low Pressure End guns/Big guns</v>
          </cell>
        </row>
        <row r="26">
          <cell r="B26" t="str">
            <v>Irrigation</v>
          </cell>
          <cell r="C26" t="str">
            <v>Discharge Fitting Equipment</v>
          </cell>
          <cell r="D26" t="str">
            <v>Nozzle Replacement</v>
          </cell>
        </row>
        <row r="27">
          <cell r="B27" t="str">
            <v>Irrigation</v>
          </cell>
          <cell r="C27" t="str">
            <v>Discharge Fitting Equipment</v>
          </cell>
          <cell r="D27" t="str">
            <v>Spray Heads</v>
          </cell>
        </row>
        <row r="28">
          <cell r="B28" t="str">
            <v>Irrigation</v>
          </cell>
          <cell r="C28" t="str">
            <v>Handmove and Sideroll System and Equipment</v>
          </cell>
          <cell r="D28" t="str">
            <v>Reduce System Friction Head</v>
          </cell>
        </row>
        <row r="29">
          <cell r="B29" t="str">
            <v>Irrigation</v>
          </cell>
          <cell r="C29" t="str">
            <v>Handmove and Sideroll System and Equipment</v>
          </cell>
          <cell r="D29" t="str">
            <v>Reduce System Leakage</v>
          </cell>
        </row>
        <row r="30">
          <cell r="B30" t="str">
            <v>Irrigation</v>
          </cell>
          <cell r="C30" t="str">
            <v>Handmove and Sideroll System and Equipment</v>
          </cell>
          <cell r="D30" t="str">
            <v>Reduce System Lift</v>
          </cell>
        </row>
        <row r="31">
          <cell r="B31" t="str">
            <v>Irrigation</v>
          </cell>
          <cell r="C31" t="str">
            <v>Handmove and Sideroll System and Equipment</v>
          </cell>
          <cell r="D31" t="str">
            <v>System Water Delivery Improvements</v>
          </cell>
        </row>
        <row r="32">
          <cell r="B32" t="str">
            <v>Irrigation</v>
          </cell>
          <cell r="C32" t="str">
            <v>Hardware</v>
          </cell>
          <cell r="D32" t="str">
            <v>Drain Replacement</v>
          </cell>
        </row>
        <row r="33">
          <cell r="B33" t="str">
            <v>Irrigation</v>
          </cell>
          <cell r="C33" t="str">
            <v>Hardware</v>
          </cell>
          <cell r="D33" t="str">
            <v>Drop Tube/Hose Extension</v>
          </cell>
        </row>
        <row r="34">
          <cell r="B34" t="str">
            <v>Irrigation</v>
          </cell>
          <cell r="C34" t="str">
            <v>Hardware</v>
          </cell>
          <cell r="D34" t="str">
            <v>Gasket Replacement</v>
          </cell>
        </row>
        <row r="35">
          <cell r="B35" t="str">
            <v>Irrigation</v>
          </cell>
          <cell r="C35" t="str">
            <v>Hardware</v>
          </cell>
          <cell r="D35" t="str">
            <v>Goose Necks</v>
          </cell>
        </row>
        <row r="36">
          <cell r="B36" t="str">
            <v>Irrigation</v>
          </cell>
          <cell r="C36" t="str">
            <v>Hardware</v>
          </cell>
          <cell r="D36" t="str">
            <v>Hub Replacement</v>
          </cell>
        </row>
        <row r="37">
          <cell r="B37" t="str">
            <v>Irrigation</v>
          </cell>
          <cell r="C37" t="str">
            <v>Hardware</v>
          </cell>
          <cell r="D37" t="str">
            <v>Leveler Rebuild</v>
          </cell>
        </row>
        <row r="38">
          <cell r="B38" t="str">
            <v>Irrigation</v>
          </cell>
          <cell r="C38" t="str">
            <v>Hardware</v>
          </cell>
          <cell r="D38" t="str">
            <v>Line Repairs</v>
          </cell>
        </row>
        <row r="39">
          <cell r="B39" t="str">
            <v>Irrigation</v>
          </cell>
          <cell r="C39" t="str">
            <v>Hardware</v>
          </cell>
          <cell r="D39" t="str">
            <v>Multi-Trajectory Sprays</v>
          </cell>
        </row>
        <row r="40">
          <cell r="B40" t="str">
            <v>Irrigation</v>
          </cell>
          <cell r="C40" t="str">
            <v>Hardware</v>
          </cell>
          <cell r="D40" t="str">
            <v>Nozzle Replacement</v>
          </cell>
        </row>
        <row r="41">
          <cell r="B41" t="str">
            <v>Irrigation</v>
          </cell>
          <cell r="C41" t="str">
            <v>Hardware</v>
          </cell>
          <cell r="D41" t="str">
            <v>Pipe Repair</v>
          </cell>
        </row>
        <row r="42">
          <cell r="B42" t="str">
            <v>Irrigation</v>
          </cell>
          <cell r="C42" t="str">
            <v>Hardware</v>
          </cell>
          <cell r="D42" t="str">
            <v>Regulator Replacement</v>
          </cell>
        </row>
        <row r="43">
          <cell r="B43" t="str">
            <v>Irrigation</v>
          </cell>
          <cell r="C43" t="str">
            <v>Hardware</v>
          </cell>
          <cell r="D43" t="str">
            <v>Sprinkler Replacements</v>
          </cell>
        </row>
        <row r="44">
          <cell r="B44" t="str">
            <v>Irrigation</v>
          </cell>
          <cell r="C44" t="str">
            <v>Irrigation System Improvements</v>
          </cell>
          <cell r="D44" t="str">
            <v>Change in Water Source</v>
          </cell>
        </row>
        <row r="45">
          <cell r="B45" t="str">
            <v>Irrigation</v>
          </cell>
          <cell r="C45" t="str">
            <v>Irrigation System Improvements</v>
          </cell>
          <cell r="D45" t="str">
            <v>Irrigation System Improvements</v>
          </cell>
        </row>
        <row r="46">
          <cell r="B46" t="str">
            <v>Irrigation</v>
          </cell>
          <cell r="C46" t="str">
            <v>Irrigation System Improvements</v>
          </cell>
          <cell r="D46" t="str">
            <v>Reduce Delivery System Leakage</v>
          </cell>
        </row>
        <row r="47">
          <cell r="B47" t="str">
            <v>Irrigation</v>
          </cell>
          <cell r="C47" t="str">
            <v>Mainline System and Equipment</v>
          </cell>
          <cell r="D47" t="str">
            <v>Interactive Mainline System and Equipment Improvements</v>
          </cell>
        </row>
        <row r="48">
          <cell r="B48" t="str">
            <v>Irrigation</v>
          </cell>
          <cell r="C48" t="str">
            <v>Mainline System and Equipment</v>
          </cell>
          <cell r="D48" t="str">
            <v>Mainline System Pump Improvements</v>
          </cell>
        </row>
        <row r="49">
          <cell r="B49" t="str">
            <v>Irrigation</v>
          </cell>
          <cell r="C49" t="str">
            <v>Mainline System and Equipment</v>
          </cell>
          <cell r="D49" t="str">
            <v>Reduce Friction Loss</v>
          </cell>
        </row>
        <row r="50">
          <cell r="B50" t="str">
            <v>Irrigation</v>
          </cell>
          <cell r="C50" t="str">
            <v>Mainline System and Equipment</v>
          </cell>
          <cell r="D50" t="str">
            <v xml:space="preserve">Reduce System Friction Head </v>
          </cell>
        </row>
        <row r="51">
          <cell r="B51" t="str">
            <v>Irrigation</v>
          </cell>
          <cell r="C51" t="str">
            <v>Mainline System and Equipment</v>
          </cell>
          <cell r="D51" t="str">
            <v>Reduce System Leakage</v>
          </cell>
        </row>
        <row r="52">
          <cell r="B52" t="str">
            <v>Irrigation</v>
          </cell>
          <cell r="C52" t="str">
            <v>Mainline System and Equipment</v>
          </cell>
          <cell r="D52" t="str">
            <v>Reduce System Lift</v>
          </cell>
        </row>
        <row r="53">
          <cell r="B53" t="str">
            <v>Irrigation</v>
          </cell>
          <cell r="C53" t="str">
            <v>Mainline System and Equipment</v>
          </cell>
          <cell r="D53" t="str">
            <v>System Water Delivery Improvements</v>
          </cell>
        </row>
        <row r="54">
          <cell r="B54" t="str">
            <v>Irrigation</v>
          </cell>
          <cell r="C54" t="str">
            <v>Pumps and Fans</v>
          </cell>
          <cell r="D54" t="str">
            <v>Centrifugal Pump System Improvements</v>
          </cell>
        </row>
        <row r="55">
          <cell r="B55" t="str">
            <v>Irrigation</v>
          </cell>
          <cell r="C55" t="str">
            <v>Pumps and Fans</v>
          </cell>
          <cell r="D55" t="str">
            <v>Pump Testing Service</v>
          </cell>
        </row>
        <row r="56">
          <cell r="B56" t="str">
            <v>Irrigation</v>
          </cell>
          <cell r="C56" t="str">
            <v>Pumps and Fans</v>
          </cell>
          <cell r="D56" t="str">
            <v>Turbine Pump System Improvements</v>
          </cell>
        </row>
        <row r="57">
          <cell r="B57" t="str">
            <v>Irrigation</v>
          </cell>
          <cell r="C57" t="str">
            <v>Pumps and Fans</v>
          </cell>
          <cell r="D57" t="str">
            <v>Vacuum Pump System Improvements</v>
          </cell>
        </row>
        <row r="58">
          <cell r="B58" t="str">
            <v>Irrigation</v>
          </cell>
          <cell r="C58" t="str">
            <v>Suction Fittings Equipment</v>
          </cell>
          <cell r="D58" t="str">
            <v>Reduce Cavitation</v>
          </cell>
        </row>
        <row r="59">
          <cell r="B59" t="str">
            <v>Irrigation</v>
          </cell>
          <cell r="C59" t="str">
            <v>Suction Fittings Equipment</v>
          </cell>
          <cell r="D59" t="str">
            <v xml:space="preserve">Reduce System Friction Head </v>
          </cell>
        </row>
        <row r="60">
          <cell r="B60" t="str">
            <v>Irrigation</v>
          </cell>
          <cell r="C60" t="str">
            <v>Suction Fittings Equipment</v>
          </cell>
          <cell r="D60" t="str">
            <v>Reduce System Leakage</v>
          </cell>
        </row>
        <row r="61">
          <cell r="B61" t="str">
            <v>Irrigation</v>
          </cell>
          <cell r="C61" t="str">
            <v>Suction Fittings Equipment</v>
          </cell>
          <cell r="D61" t="str">
            <v>Reduce System Lift</v>
          </cell>
        </row>
        <row r="62">
          <cell r="B62" t="str">
            <v>Irrigation</v>
          </cell>
          <cell r="C62" t="str">
            <v>Water Management</v>
          </cell>
          <cell r="D62" t="str">
            <v>Scientific Irrigation Scheduling</v>
          </cell>
        </row>
        <row r="63">
          <cell r="B63" t="str">
            <v>Lighting</v>
          </cell>
          <cell r="C63" t="str">
            <v>Delamping</v>
          </cell>
          <cell r="D63" t="str">
            <v>Delamping</v>
          </cell>
        </row>
        <row r="64">
          <cell r="B64" t="str">
            <v>Lighting</v>
          </cell>
          <cell r="C64" t="str">
            <v>Lamps/Ballasts/Fixtures</v>
          </cell>
          <cell r="D64" t="str">
            <v>Lamps/Ballasts</v>
          </cell>
        </row>
        <row r="65">
          <cell r="B65" t="str">
            <v>Lighting</v>
          </cell>
          <cell r="C65" t="str">
            <v>Lamps/Ballasts/Fixtures</v>
          </cell>
          <cell r="D65" t="str">
            <v>Lamps/Ballasts w/Controls</v>
          </cell>
        </row>
        <row r="66">
          <cell r="B66" t="str">
            <v>Lighting</v>
          </cell>
          <cell r="C66" t="str">
            <v>Lamps/Ballasts/Fixtures</v>
          </cell>
          <cell r="D66" t="str">
            <v>Lamps/Ballasts w/Delamping</v>
          </cell>
        </row>
        <row r="67">
          <cell r="B67" t="str">
            <v>Lighting</v>
          </cell>
          <cell r="C67" t="str">
            <v>Lamps/Ballasts/Fixtures</v>
          </cell>
          <cell r="D67" t="str">
            <v>Lamps/Ballasts w/Delamping and Controls</v>
          </cell>
        </row>
        <row r="68">
          <cell r="B68" t="str">
            <v>Lighting</v>
          </cell>
          <cell r="C68" t="str">
            <v>Lamps/Ballasts/Fixtures</v>
          </cell>
          <cell r="D68" t="str">
            <v>Lamps/Ballasts/Fixtures</v>
          </cell>
        </row>
        <row r="69">
          <cell r="B69" t="str">
            <v>Lighting</v>
          </cell>
          <cell r="C69" t="str">
            <v>Lamps/Ballasts/Fixtures</v>
          </cell>
          <cell r="D69" t="str">
            <v>Lamps/Ballasts/Fixtures w/Controls</v>
          </cell>
        </row>
        <row r="70">
          <cell r="B70" t="str">
            <v>Lighting</v>
          </cell>
          <cell r="C70" t="str">
            <v>Lamps/Ballasts/Fixtures</v>
          </cell>
          <cell r="D70" t="str">
            <v>Lamps/Ballasts/Fixtures w/Delamping</v>
          </cell>
        </row>
        <row r="71">
          <cell r="B71" t="str">
            <v>Lighting</v>
          </cell>
          <cell r="C71" t="str">
            <v>Lamps/Ballasts/Fixtures</v>
          </cell>
          <cell r="D71" t="str">
            <v>Lamps/Ballasts/Fixtures w/Delamping and Controls</v>
          </cell>
        </row>
        <row r="72">
          <cell r="B72" t="str">
            <v>Lighting</v>
          </cell>
          <cell r="C72" t="str">
            <v>Lamps/Ballasts/Fixtures</v>
          </cell>
          <cell r="D72" t="str">
            <v>Stall Lighting</v>
          </cell>
        </row>
        <row r="73">
          <cell r="B73" t="str">
            <v>Lighting</v>
          </cell>
          <cell r="C73" t="str">
            <v>Lighting Controls</v>
          </cell>
          <cell r="D73" t="str">
            <v>Control Panels</v>
          </cell>
        </row>
        <row r="74">
          <cell r="B74" t="str">
            <v>Lighting</v>
          </cell>
          <cell r="C74" t="str">
            <v>Lighting Controls</v>
          </cell>
          <cell r="D74" t="str">
            <v>Daylighting</v>
          </cell>
        </row>
        <row r="75">
          <cell r="B75" t="str">
            <v>Lighting</v>
          </cell>
          <cell r="C75" t="str">
            <v>Lighting Controls</v>
          </cell>
          <cell r="D75" t="str">
            <v>Occupancy Sensors</v>
          </cell>
        </row>
        <row r="76">
          <cell r="B76" t="str">
            <v>Lighting</v>
          </cell>
          <cell r="C76" t="str">
            <v>Lighting Controls</v>
          </cell>
          <cell r="D76" t="str">
            <v>Photocells</v>
          </cell>
        </row>
        <row r="77">
          <cell r="B77" t="str">
            <v>Lighting</v>
          </cell>
          <cell r="C77" t="str">
            <v>Lighting Controls</v>
          </cell>
          <cell r="D77" t="str">
            <v>Timers</v>
          </cell>
        </row>
        <row r="78">
          <cell r="B78" t="str">
            <v>Lighting</v>
          </cell>
          <cell r="C78" t="str">
            <v>Signs and Signals</v>
          </cell>
          <cell r="D78" t="str">
            <v>LED Exit Signs</v>
          </cell>
        </row>
        <row r="79">
          <cell r="B79" t="str">
            <v>Motors/Drives</v>
          </cell>
          <cell r="C79" t="str">
            <v>Compressed Air System Improvements</v>
          </cell>
          <cell r="D79" t="str">
            <v>Motors/Drives Installation on Compressed Air System</v>
          </cell>
        </row>
        <row r="80">
          <cell r="B80" t="str">
            <v>Motors/Drives</v>
          </cell>
          <cell r="C80" t="str">
            <v>Motors</v>
          </cell>
          <cell r="D80" t="str">
            <v>Motor Rewind</v>
          </cell>
        </row>
        <row r="81">
          <cell r="B81" t="str">
            <v>Motors/Drives</v>
          </cell>
          <cell r="C81" t="str">
            <v>Motors</v>
          </cell>
          <cell r="D81" t="str">
            <v>Motors</v>
          </cell>
        </row>
        <row r="82">
          <cell r="B82" t="str">
            <v>Motors/Drives</v>
          </cell>
          <cell r="C82" t="str">
            <v>Motors/Drives Controls</v>
          </cell>
          <cell r="D82" t="str">
            <v>Dairy Milking Machine Control Improvements (VFD)</v>
          </cell>
        </row>
        <row r="83">
          <cell r="B83" t="str">
            <v>Motors/Drives</v>
          </cell>
          <cell r="C83" t="str">
            <v>Motors/Drives Controls</v>
          </cell>
          <cell r="D83" t="str">
            <v>Electronically Commutated Motor (ECM)</v>
          </cell>
        </row>
        <row r="84">
          <cell r="B84" t="str">
            <v>Motors/Drives</v>
          </cell>
          <cell r="C84" t="str">
            <v>Motors/Drives Controls</v>
          </cell>
          <cell r="D84" t="str">
            <v>Energy Management Systems/System Controls</v>
          </cell>
        </row>
        <row r="85">
          <cell r="B85" t="str">
            <v>Motors/Drives</v>
          </cell>
          <cell r="C85" t="str">
            <v>Motors/Drives Controls</v>
          </cell>
          <cell r="D85" t="str">
            <v>Motors/Drives Control Improvements (non-VFD)</v>
          </cell>
        </row>
        <row r="86">
          <cell r="B86" t="str">
            <v>Motors/Drives</v>
          </cell>
          <cell r="C86" t="str">
            <v>Motors/Drives Controls</v>
          </cell>
          <cell r="D86" t="str">
            <v>Motors/Drives Control Improvements (VFD)</v>
          </cell>
        </row>
        <row r="87">
          <cell r="B87" t="str">
            <v>Motors/Drives</v>
          </cell>
          <cell r="C87" t="str">
            <v>Pumps and Fans</v>
          </cell>
          <cell r="D87" t="str">
            <v>Motors/Drives Installation on Fan System</v>
          </cell>
        </row>
        <row r="88">
          <cell r="B88" t="str">
            <v>Motors/Drives</v>
          </cell>
          <cell r="C88" t="str">
            <v>Pumps and Fans</v>
          </cell>
          <cell r="D88" t="str">
            <v>Motors/Drives Installation on Pump System</v>
          </cell>
        </row>
        <row r="89">
          <cell r="B89" t="str">
            <v>Motors/Drives</v>
          </cell>
          <cell r="C89" t="str">
            <v>Pumps and Fans</v>
          </cell>
          <cell r="D89" t="str">
            <v>Motors/Drives Installation on Vacuum Pumps</v>
          </cell>
        </row>
        <row r="90">
          <cell r="B90" t="str">
            <v>Process Loads</v>
          </cell>
          <cell r="C90" t="str">
            <v>Livestock Tanks</v>
          </cell>
          <cell r="D90" t="str">
            <v>Freeze Resistant Stock Tanks</v>
          </cell>
        </row>
        <row r="91">
          <cell r="B91" t="str">
            <v>Process Loads</v>
          </cell>
          <cell r="C91" t="str">
            <v>Process Loads System Improvements</v>
          </cell>
          <cell r="D91" t="str">
            <v>Interactive Process Loads System Improvements</v>
          </cell>
        </row>
        <row r="92">
          <cell r="B92" t="str">
            <v>Process Loads</v>
          </cell>
          <cell r="C92" t="str">
            <v>Pumps and Fans</v>
          </cell>
          <cell r="D92" t="str">
            <v>Centrifugal Pump System Improvements</v>
          </cell>
        </row>
        <row r="93">
          <cell r="B93" t="str">
            <v>Process Loads</v>
          </cell>
          <cell r="C93" t="str">
            <v>Pumps and Fans</v>
          </cell>
          <cell r="D93" t="str">
            <v>Fan System Improvements</v>
          </cell>
        </row>
        <row r="94">
          <cell r="B94" t="str">
            <v>Process Loads</v>
          </cell>
          <cell r="C94" t="str">
            <v>Pumps and Fans</v>
          </cell>
          <cell r="D94" t="str">
            <v>Pump System Improvements</v>
          </cell>
        </row>
        <row r="95">
          <cell r="B95" t="str">
            <v>Process Loads</v>
          </cell>
          <cell r="C95" t="str">
            <v>Pumps and Fans</v>
          </cell>
          <cell r="D95" t="str">
            <v>Turbine Pump System Improvements</v>
          </cell>
        </row>
        <row r="96">
          <cell r="B96" t="str">
            <v>Process Loads</v>
          </cell>
          <cell r="C96" t="str">
            <v>Pumps and Fans</v>
          </cell>
          <cell r="D96" t="str">
            <v>Vacuum Pump System Improvements</v>
          </cell>
        </row>
        <row r="97">
          <cell r="B97" t="str">
            <v>Refrigeration</v>
          </cell>
          <cell r="C97" t="str">
            <v>Dairy System Improvements</v>
          </cell>
          <cell r="D97" t="str">
            <v>Heat Recovery Improvements</v>
          </cell>
        </row>
        <row r="98">
          <cell r="B98" t="str">
            <v>Refrigeration</v>
          </cell>
          <cell r="C98" t="str">
            <v>Dairy System Improvements</v>
          </cell>
          <cell r="D98" t="str">
            <v>Plate Milk Pre-cooler</v>
          </cell>
        </row>
        <row r="99">
          <cell r="B99" t="str">
            <v>Refrigeration</v>
          </cell>
          <cell r="C99" t="str">
            <v>Heat Recovery</v>
          </cell>
          <cell r="D99" t="str">
            <v>Heat Recovery Improvements</v>
          </cell>
        </row>
        <row r="100">
          <cell r="B100" t="str">
            <v>Refrigeration</v>
          </cell>
          <cell r="C100" t="str">
            <v>Packaged Refrigeration</v>
          </cell>
          <cell r="D100" t="str">
            <v>Packaged Refrigeration System Improvements</v>
          </cell>
        </row>
        <row r="101">
          <cell r="B101" t="str">
            <v>Refrigeration</v>
          </cell>
          <cell r="C101" t="str">
            <v>Pumps and Fans</v>
          </cell>
          <cell r="D101" t="str">
            <v>Condensor Fan System Improvements</v>
          </cell>
        </row>
        <row r="102">
          <cell r="B102" t="str">
            <v>Refrigeration</v>
          </cell>
          <cell r="C102" t="str">
            <v>Pumps and Fans</v>
          </cell>
          <cell r="D102" t="str">
            <v>Evaporator Coil Fan System Improvements</v>
          </cell>
        </row>
        <row r="103">
          <cell r="B103" t="str">
            <v>Refrigeration</v>
          </cell>
          <cell r="C103" t="str">
            <v>Pumps and Fans</v>
          </cell>
          <cell r="D103" t="str">
            <v>Evaporator Fan System Improvements</v>
          </cell>
        </row>
        <row r="104">
          <cell r="B104" t="str">
            <v>Refrigeration</v>
          </cell>
          <cell r="C104" t="str">
            <v>Refrigeration System Controls</v>
          </cell>
          <cell r="D104" t="str">
            <v>Defrost Control Improvements</v>
          </cell>
        </row>
        <row r="105">
          <cell r="B105" t="str">
            <v>Refrigeration</v>
          </cell>
          <cell r="C105" t="str">
            <v>Refrigeration System Controls</v>
          </cell>
          <cell r="D105" t="str">
            <v>Refrigeration Control Improvements (non-VFD)</v>
          </cell>
        </row>
        <row r="106">
          <cell r="B106" t="str">
            <v>Refrigeration</v>
          </cell>
          <cell r="C106" t="str">
            <v>Refrigeration System Controls</v>
          </cell>
          <cell r="D106" t="str">
            <v>Refrigeration Control Improvements (VFD)</v>
          </cell>
        </row>
        <row r="107">
          <cell r="B107" t="str">
            <v>Refrigeration</v>
          </cell>
          <cell r="C107" t="str">
            <v>Refrigeration System Improvements</v>
          </cell>
          <cell r="D107" t="str">
            <v>Chiller Improvements</v>
          </cell>
        </row>
        <row r="108">
          <cell r="B108" t="str">
            <v>Refrigeration</v>
          </cell>
          <cell r="C108" t="str">
            <v>Refrigeration System Improvements</v>
          </cell>
          <cell r="D108" t="str">
            <v>Insulation</v>
          </cell>
        </row>
        <row r="109">
          <cell r="B109" t="str">
            <v>Refrigeration</v>
          </cell>
          <cell r="C109" t="str">
            <v>Refrigeration System Improvements</v>
          </cell>
          <cell r="D109" t="str">
            <v>Interactive Refrigeration System Improvements</v>
          </cell>
        </row>
        <row r="110">
          <cell r="B110" t="str">
            <v xml:space="preserve">Utility Distribution System </v>
          </cell>
          <cell r="C110" t="str">
            <v>Transformers</v>
          </cell>
          <cell r="D110" t="str">
            <v>De-Energization</v>
          </cell>
        </row>
        <row r="111">
          <cell r="B111" t="str">
            <v>Water Heating</v>
          </cell>
          <cell r="C111" t="str">
            <v>Heat Recovery</v>
          </cell>
          <cell r="D111" t="str">
            <v>Heat Recovery Improvements</v>
          </cell>
        </row>
        <row r="112">
          <cell r="B112" t="str">
            <v>Water Heating</v>
          </cell>
          <cell r="C112" t="str">
            <v>System Efficiency Improvements</v>
          </cell>
          <cell r="D112" t="str">
            <v>Insulation</v>
          </cell>
        </row>
        <row r="113">
          <cell r="B113" t="str">
            <v>Water Heating</v>
          </cell>
          <cell r="C113" t="str">
            <v>Water Heaters</v>
          </cell>
          <cell r="D113" t="str">
            <v>Water Heaters</v>
          </cell>
        </row>
        <row r="114">
          <cell r="B114" t="str">
            <v>Whole Bldg/Meter Level</v>
          </cell>
          <cell r="C114" t="str">
            <v>Whole Bldg/Meter Level System Improvements</v>
          </cell>
          <cell r="D114" t="str">
            <v>Interactive Whole Bldg/Meter Level System Improvements</v>
          </cell>
        </row>
        <row r="115">
          <cell r="B115" t="str">
            <v>Compressed Air</v>
          </cell>
          <cell r="C115" t="str">
            <v>Compressed Air System Controls</v>
          </cell>
          <cell r="D115" t="str">
            <v>Compressed Air Control Improvements (non-VFD)</v>
          </cell>
        </row>
        <row r="116">
          <cell r="B116" t="str">
            <v>Compressed Air</v>
          </cell>
          <cell r="C116" t="str">
            <v>Compressed Air System Controls</v>
          </cell>
          <cell r="D116" t="str">
            <v>Compressed Air Control Improvements (VFD)</v>
          </cell>
        </row>
        <row r="117">
          <cell r="B117" t="str">
            <v>Compressed Air</v>
          </cell>
          <cell r="C117" t="str">
            <v>Compressed Air System Improvements</v>
          </cell>
          <cell r="D117" t="str">
            <v>Compressed Air System Compressor Improvements (non-VFD)</v>
          </cell>
        </row>
        <row r="118">
          <cell r="B118" t="str">
            <v>Compressed Air</v>
          </cell>
          <cell r="C118" t="str">
            <v>Compressed Air System Improvements</v>
          </cell>
          <cell r="D118" t="str">
            <v>Compressed Air System Compressor Improvements (VFD)</v>
          </cell>
        </row>
        <row r="119">
          <cell r="B119" t="str">
            <v>Compressed Air</v>
          </cell>
          <cell r="C119" t="str">
            <v>Compressed Air System Improvements</v>
          </cell>
          <cell r="D119" t="str">
            <v>Compressed Air System Demand Side Improvements</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7PSourceSummary"/>
      <sheetName val="forRPM"/>
      <sheetName val="SC-New"/>
      <sheetName val="SC-NR"/>
      <sheetName val="SC-Retro"/>
      <sheetName val="M_Input_Out"/>
      <sheetName val="M_Input"/>
      <sheetName val="M_Input(Fixture)_Out"/>
      <sheetName val="M_Input(Fixture)"/>
      <sheetName val="M_Input(Fixt wo OM)_Out"/>
      <sheetName val="M_Input(Fixt wo OM)"/>
      <sheetName val="M_Weight"/>
      <sheetName val="Watt Allocation"/>
      <sheetName val="Savings and Cost Analysis"/>
      <sheetName val="Reference Fixtures"/>
      <sheetName val="DOE2014 Sales Pen"/>
      <sheetName val="CBSA Data"/>
      <sheetName val="Approach"/>
      <sheetName val="ETO Cost Data"/>
      <sheetName val="Sheet1"/>
      <sheetName val="LOG"/>
      <sheetName val="ToDo7P"/>
      <sheetName val="DOE 2017 Rule"/>
    </sheetNames>
    <sheetDataSet>
      <sheetData sheetId="0" refreshError="1"/>
      <sheetData sheetId="1" refreshError="1"/>
      <sheetData sheetId="2">
        <row r="62">
          <cell r="D62">
            <v>1000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38">
          <cell r="C38" t="str">
            <v>Row Labels</v>
          </cell>
          <cell r="D38" t="str">
            <v>CFL</v>
          </cell>
          <cell r="E38" t="str">
            <v>Fluorescent T12</v>
          </cell>
          <cell r="F38" t="str">
            <v>Fluorescent T8/T5</v>
          </cell>
          <cell r="G38" t="str">
            <v>HID</v>
          </cell>
          <cell r="H38" t="str">
            <v>Incandescent</v>
          </cell>
          <cell r="I38" t="str">
            <v>LED</v>
          </cell>
          <cell r="J38" t="str">
            <v>Other</v>
          </cell>
          <cell r="K38" t="str">
            <v>Grand Total</v>
          </cell>
        </row>
        <row r="39">
          <cell r="C39" t="str">
            <v>BuildingFacade</v>
          </cell>
          <cell r="D39">
            <v>4.3151684233926169</v>
          </cell>
          <cell r="E39">
            <v>0.33911857031538445</v>
          </cell>
          <cell r="F39">
            <v>0.7004273037336517</v>
          </cell>
          <cell r="G39">
            <v>26.479843587764876</v>
          </cell>
          <cell r="H39">
            <v>7.04867008380167</v>
          </cell>
          <cell r="I39">
            <v>0.60406908553279137</v>
          </cell>
          <cell r="J39">
            <v>0.1326329419771661</v>
          </cell>
          <cell r="K39">
            <v>39.619929996518159</v>
          </cell>
        </row>
        <row r="40">
          <cell r="C40" t="str">
            <v>ExteriorSales</v>
          </cell>
          <cell r="D40">
            <v>3.0858371608851562E-2</v>
          </cell>
          <cell r="E40">
            <v>1.6772604237431165E-2</v>
          </cell>
          <cell r="F40">
            <v>0.45713934849716287</v>
          </cell>
          <cell r="G40">
            <v>5.2473355883363473</v>
          </cell>
          <cell r="H40">
            <v>0.16020683029983451</v>
          </cell>
          <cell r="I40">
            <v>0.28293939293227582</v>
          </cell>
          <cell r="J40">
            <v>9.8789331973212074E-3</v>
          </cell>
          <cell r="K40">
            <v>6.2051310691092247</v>
          </cell>
        </row>
        <row r="41">
          <cell r="C41" t="str">
            <v>Other</v>
          </cell>
          <cell r="D41">
            <v>1.7634827756456764E-2</v>
          </cell>
          <cell r="E41">
            <v>0.20361802028008846</v>
          </cell>
          <cell r="F41">
            <v>0.79283141083142195</v>
          </cell>
          <cell r="G41">
            <v>7.1142360739456372</v>
          </cell>
          <cell r="H41">
            <v>0.73391714954873977</v>
          </cell>
          <cell r="I41">
            <v>6.1968808654551011E-2</v>
          </cell>
          <cell r="J41">
            <v>0.10309773178738656</v>
          </cell>
          <cell r="K41">
            <v>9.0273040228042785</v>
          </cell>
        </row>
        <row r="42">
          <cell r="C42" t="str">
            <v>ParkingLot</v>
          </cell>
          <cell r="D42">
            <v>0.2773318018634397</v>
          </cell>
          <cell r="E42">
            <v>0.21105837698509372</v>
          </cell>
          <cell r="F42">
            <v>2.6350026304303307</v>
          </cell>
          <cell r="G42">
            <v>71.095388052487294</v>
          </cell>
          <cell r="H42">
            <v>1.4318389060789598</v>
          </cell>
          <cell r="I42">
            <v>1.4558010344440129</v>
          </cell>
          <cell r="J42">
            <v>0.31177783603144543</v>
          </cell>
          <cell r="K42">
            <v>77.418198638320561</v>
          </cell>
        </row>
        <row r="43">
          <cell r="C43" t="str">
            <v>Signage</v>
          </cell>
          <cell r="D43">
            <v>6.0171072011040397E-2</v>
          </cell>
          <cell r="E43">
            <v>9.0485674419904835E-2</v>
          </cell>
          <cell r="F43">
            <v>0.54935161988353565</v>
          </cell>
          <cell r="G43">
            <v>0.74294673329736993</v>
          </cell>
          <cell r="H43">
            <v>0.16948766353745551</v>
          </cell>
          <cell r="I43">
            <v>6.5470920021296369E-2</v>
          </cell>
          <cell r="J43">
            <v>9.9679080171971232E-3</v>
          </cell>
          <cell r="K43">
            <v>1.6878815911877996</v>
          </cell>
        </row>
        <row r="44">
          <cell r="C44" t="str">
            <v>SportingField</v>
          </cell>
          <cell r="D44">
            <v>2.4348203171106031E-2</v>
          </cell>
          <cell r="E44">
            <v>0</v>
          </cell>
          <cell r="F44">
            <v>3.0282338346363448E-3</v>
          </cell>
          <cell r="G44">
            <v>3.475465105786705</v>
          </cell>
          <cell r="H44">
            <v>0.82410569005019774</v>
          </cell>
          <cell r="I44">
            <v>0</v>
          </cell>
          <cell r="J44">
            <v>0</v>
          </cell>
          <cell r="K44">
            <v>4.3269472328426453</v>
          </cell>
        </row>
        <row r="45">
          <cell r="C45" t="str">
            <v>Walkway/Area</v>
          </cell>
          <cell r="D45">
            <v>4.2717310139836036</v>
          </cell>
          <cell r="E45">
            <v>0.57402181655182349</v>
          </cell>
          <cell r="F45">
            <v>1.2938181963444928</v>
          </cell>
          <cell r="G45">
            <v>20.017342078658384</v>
          </cell>
          <cell r="H45">
            <v>3.7289401276903824</v>
          </cell>
          <cell r="I45">
            <v>1.0312515243851104</v>
          </cell>
          <cell r="J45">
            <v>0.10203970744049341</v>
          </cell>
          <cell r="K45">
            <v>31.019144465054293</v>
          </cell>
        </row>
        <row r="46">
          <cell r="C46" t="str">
            <v>Grand Total</v>
          </cell>
          <cell r="D46">
            <v>8.997243713787114</v>
          </cell>
          <cell r="E46">
            <v>1.4350750627897264</v>
          </cell>
          <cell r="F46">
            <v>6.4315987435552318</v>
          </cell>
          <cell r="G46">
            <v>134.17255722027659</v>
          </cell>
          <cell r="H46">
            <v>14.09716645100724</v>
          </cell>
          <cell r="I46">
            <v>3.5015007659700377</v>
          </cell>
          <cell r="J46">
            <v>0.66939505845100988</v>
          </cell>
          <cell r="K46">
            <v>169.30453701583696</v>
          </cell>
        </row>
      </sheetData>
      <sheetData sheetId="13">
        <row r="12">
          <cell r="AM12" t="str">
            <v>Proxy Measure Name</v>
          </cell>
          <cell r="AN12" t="str">
            <v>Application</v>
          </cell>
          <cell r="AO12" t="str">
            <v>Reference Fixture</v>
          </cell>
          <cell r="AP12" t="str">
            <v>MOPP</v>
          </cell>
          <cell r="AQ12" t="str">
            <v>Measure Index</v>
          </cell>
          <cell r="AR12" t="str">
            <v>From</v>
          </cell>
          <cell r="AS12" t="str">
            <v>To</v>
          </cell>
          <cell r="AT12" t="str">
            <v>Measure Name</v>
          </cell>
          <cell r="AU12" t="str">
            <v>Annual Hours of Operation</v>
          </cell>
          <cell r="AV12" t="str">
            <v>Delivered Lumens Post</v>
          </cell>
          <cell r="AW12" t="str">
            <v>Fixture Watts Pre</v>
          </cell>
          <cell r="AX12" t="str">
            <v>Fixture Watts Post</v>
          </cell>
          <cell r="AY12" t="str">
            <v>Fixture Watt Reduct</v>
          </cell>
          <cell r="AZ12" t="str">
            <v>Annual Energy Consumption Pre (kWh)</v>
          </cell>
          <cell r="BA12" t="str">
            <v>Annual Energy Consumption Post (kWh)</v>
          </cell>
          <cell r="BB12" t="str">
            <v>Annual Energy Savings (kWh)</v>
          </cell>
          <cell r="BC12" t="str">
            <v>Lamp Cost Pre (2012$)</v>
          </cell>
          <cell r="BD12" t="str">
            <v>Lamp Cost Post (2012$)</v>
          </cell>
          <cell r="BE12" t="str">
            <v>Fixture Cost Pre (2012$)</v>
          </cell>
          <cell r="BF12" t="str">
            <v>Fixture Cost Post (2012$)</v>
          </cell>
          <cell r="BG12" t="str">
            <v>Incremental Equip Cost  (2012$)</v>
          </cell>
          <cell r="BH12" t="str">
            <v>Lifetime Pre (Hours)</v>
          </cell>
          <cell r="BI12" t="str">
            <v>Lifetime Post (Hours)</v>
          </cell>
          <cell r="BJ12" t="str">
            <v>Lifetime Pre (Yrs)</v>
          </cell>
          <cell r="BK12" t="str">
            <v>Lifetime Post (Yrs)</v>
          </cell>
          <cell r="BL12" t="str">
            <v>Lamp Change Hours</v>
          </cell>
          <cell r="BM12" t="str">
            <v>Fixture Change Hours</v>
          </cell>
          <cell r="BN12" t="str">
            <v>Lamp Change Labor Cost (2012$)</v>
          </cell>
          <cell r="BO12" t="str">
            <v>Fixture Change Labor Cost (2012$)</v>
          </cell>
          <cell r="BP12" t="str">
            <v>Incremental Labor Cost  (2012$)</v>
          </cell>
          <cell r="BQ12" t="str">
            <v>Total Incremental Cost, Equip + Labor  (2012$)</v>
          </cell>
          <cell r="BR12" t="str">
            <v>O&amp;M Materials Cost, Pre</v>
          </cell>
          <cell r="BS12" t="str">
            <v>O&amp;M Labor Cost, Pre</v>
          </cell>
          <cell r="BT12" t="str">
            <v>O&amp;M Total Cost (2012$)</v>
          </cell>
          <cell r="BU12" t="str">
            <v>Periodic O&amp;M Interval (Yrs)</v>
          </cell>
          <cell r="BV12" t="str">
            <v>Shape Pointer</v>
          </cell>
          <cell r="BW12" t="str">
            <v>Retrofit [R] or Lost-Opportunity [LO]?</v>
          </cell>
          <cell r="BX12" t="str">
            <v>Total Inc. Cost per Delta Watt</v>
          </cell>
          <cell r="BY12" t="str">
            <v>Total Inc. Cost per  Watt Pre</v>
          </cell>
          <cell r="BZ12" t="str">
            <v>WattPost/WattPre</v>
          </cell>
          <cell r="CA12" t="str">
            <v>Fixture Watt Reduct</v>
          </cell>
          <cell r="CB12" t="str">
            <v>Application</v>
          </cell>
          <cell r="CC12" t="str">
            <v>Reference Fixture</v>
          </cell>
          <cell r="CD12" t="str">
            <v>MOPP</v>
          </cell>
          <cell r="CE12" t="str">
            <v>Use Type</v>
          </cell>
          <cell r="CF12" t="str">
            <v>Baseline Lamp Type</v>
          </cell>
          <cell r="CG12" t="str">
            <v>Baseline Lamp Type LPD in W/KSF</v>
          </cell>
          <cell r="CH12" t="str">
            <v>Fixture Share</v>
          </cell>
          <cell r="CI12" t="str">
            <v>LPD for Measure &amp; Fixture</v>
          </cell>
          <cell r="CJ12" t="str">
            <v>Watt Saved per KSF</v>
          </cell>
          <cell r="CK12" t="str">
            <v>kWh Saved per KSF Floor Space</v>
          </cell>
          <cell r="CL12" t="str">
            <v>Total Inc. Cost per KSF</v>
          </cell>
          <cell r="CM12" t="str">
            <v>cost per kWh in KSF</v>
          </cell>
          <cell r="CN12" t="str">
            <v>cost per kWh in fixture</v>
          </cell>
          <cell r="CO12" t="str">
            <v>kWh/kWh</v>
          </cell>
          <cell r="CP12" t="str">
            <v>Cost/Cost</v>
          </cell>
          <cell r="CQ12" t="str">
            <v>Weight LPD for Measure &amp; Fixture</v>
          </cell>
          <cell r="CR12" t="str">
            <v>Per KSF/Per Fixture</v>
          </cell>
          <cell r="CS12" t="str">
            <v>Fixtures/KSF</v>
          </cell>
          <cell r="CT12" t="str">
            <v>Turnover for NR</v>
          </cell>
          <cell r="CW12" t="str">
            <v xml:space="preserve">aMW Savings </v>
          </cell>
        </row>
        <row r="13">
          <cell r="AM13" t="str">
            <v>HPS 250W-New</v>
          </cell>
          <cell r="AN13" t="str">
            <v>Exterior Lighting: Parking Lot</v>
          </cell>
          <cell r="AO13" t="str">
            <v>HPS 250W</v>
          </cell>
          <cell r="AP13" t="str">
            <v>New</v>
          </cell>
          <cell r="AQ13" t="str">
            <v>Exterior Lighting: Parking Lot - HPS 250W - New</v>
          </cell>
          <cell r="AR13" t="str">
            <v>HPS 250W</v>
          </cell>
          <cell r="AS13" t="str">
            <v>LED 135W</v>
          </cell>
          <cell r="AT13" t="str">
            <v>Exterior Lighting: Parking Lot - HPS 250W to LED 135W - New</v>
          </cell>
          <cell r="AU13">
            <v>4300</v>
          </cell>
          <cell r="AV13">
            <v>12000</v>
          </cell>
          <cell r="AW13">
            <v>290</v>
          </cell>
          <cell r="AX13">
            <v>117.09183673469387</v>
          </cell>
          <cell r="AY13">
            <v>0.59623504574243502</v>
          </cell>
          <cell r="AZ13">
            <v>1247</v>
          </cell>
          <cell r="BA13">
            <v>503.49489795918362</v>
          </cell>
          <cell r="BB13">
            <v>743.50510204081638</v>
          </cell>
          <cell r="BC13">
            <v>15</v>
          </cell>
          <cell r="BD13" t="str">
            <v>N/A</v>
          </cell>
          <cell r="BE13">
            <v>160</v>
          </cell>
          <cell r="BF13">
            <v>162.01157721295672</v>
          </cell>
          <cell r="BG13">
            <v>2.0115772129567233</v>
          </cell>
          <cell r="BH13">
            <v>24000</v>
          </cell>
          <cell r="BI13">
            <v>70000</v>
          </cell>
          <cell r="BJ13">
            <v>5.5813953488372094</v>
          </cell>
          <cell r="BK13">
            <v>16.279069767441861</v>
          </cell>
          <cell r="BL13">
            <v>8.3333333333333329E-2</v>
          </cell>
          <cell r="BM13">
            <v>0.33</v>
          </cell>
          <cell r="BN13">
            <v>10.833333333333332</v>
          </cell>
          <cell r="BO13">
            <v>42.9</v>
          </cell>
          <cell r="BP13">
            <v>0</v>
          </cell>
          <cell r="BQ13">
            <v>2.0115772129567233</v>
          </cell>
          <cell r="BR13">
            <v>15</v>
          </cell>
          <cell r="BS13">
            <v>10.833333333333332</v>
          </cell>
          <cell r="BT13">
            <v>25.833333333333332</v>
          </cell>
          <cell r="BU13">
            <v>5.5813953488372094</v>
          </cell>
          <cell r="BV13" t="str">
            <v>S-All-Lgt-Streetlight-All-All-U</v>
          </cell>
          <cell r="BW13" t="str">
            <v>L</v>
          </cell>
          <cell r="BX13">
            <v>1.1633789723798103E-2</v>
          </cell>
          <cell r="BY13">
            <v>6.9364731481266319E-3</v>
          </cell>
          <cell r="BZ13">
            <v>0.40376495425756509</v>
          </cell>
          <cell r="CA13">
            <v>0.59623504574243502</v>
          </cell>
          <cell r="CB13" t="str">
            <v>Exterior Lighting: Parking Lot - HPS 250W</v>
          </cell>
          <cell r="CC13" t="str">
            <v>HPS 250W</v>
          </cell>
          <cell r="CD13" t="str">
            <v>New</v>
          </cell>
          <cell r="CE13" t="str">
            <v>ParkingLot</v>
          </cell>
          <cell r="CF13" t="str">
            <v>HID</v>
          </cell>
          <cell r="CG13">
            <v>71.095388052487294</v>
          </cell>
          <cell r="CH13">
            <v>0.7142857142857143</v>
          </cell>
          <cell r="CI13">
            <v>50.782420037490922</v>
          </cell>
          <cell r="CJ13">
            <v>30.278258533964948</v>
          </cell>
          <cell r="CK13">
            <v>130.19651169604927</v>
          </cell>
          <cell r="CL13">
            <v>0.35225089298694362</v>
          </cell>
          <cell r="CM13">
            <v>2.7055324939065355E-3</v>
          </cell>
          <cell r="CN13">
            <v>2.705532493906536E-3</v>
          </cell>
          <cell r="CO13">
            <v>0.17511179323272733</v>
          </cell>
          <cell r="CP13">
            <v>0.17511179323272733</v>
          </cell>
          <cell r="CQ13">
            <v>0.41992606521724191</v>
          </cell>
          <cell r="CR13">
            <v>0.17511179323272733</v>
          </cell>
          <cell r="CS13">
            <v>0.17511179323272733</v>
          </cell>
        </row>
        <row r="14">
          <cell r="AM14" t="str">
            <v>MH 400W-New</v>
          </cell>
          <cell r="AN14" t="str">
            <v>Exterior Lighting: Parking Lot</v>
          </cell>
          <cell r="AO14" t="str">
            <v>MH 400W</v>
          </cell>
          <cell r="AP14" t="str">
            <v>New</v>
          </cell>
          <cell r="AQ14" t="str">
            <v>Exterior Lighting: Parking Lot - MH 400W - New</v>
          </cell>
          <cell r="AR14" t="str">
            <v>MH 400W</v>
          </cell>
          <cell r="AS14" t="str">
            <v>LED 180W</v>
          </cell>
          <cell r="AT14" t="str">
            <v>Exterior Lighting: Parking Lot - MH 400W to LED 180W - New</v>
          </cell>
          <cell r="AU14">
            <v>4300</v>
          </cell>
          <cell r="AV14">
            <v>17000</v>
          </cell>
          <cell r="AW14">
            <v>458</v>
          </cell>
          <cell r="AX14">
            <v>156.12244897959184</v>
          </cell>
          <cell r="AY14">
            <v>0.6591212904375725</v>
          </cell>
          <cell r="AZ14">
            <v>1969.4</v>
          </cell>
          <cell r="BA14">
            <v>671.32653061224494</v>
          </cell>
          <cell r="BB14">
            <v>1298.0734693877553</v>
          </cell>
          <cell r="BC14">
            <v>18</v>
          </cell>
          <cell r="BD14" t="str">
            <v>N/A</v>
          </cell>
          <cell r="BE14">
            <v>190</v>
          </cell>
          <cell r="BF14">
            <v>324.02315442591345</v>
          </cell>
          <cell r="BG14">
            <v>134.02315442591345</v>
          </cell>
          <cell r="BH14">
            <v>16000</v>
          </cell>
          <cell r="BI14">
            <v>70000</v>
          </cell>
          <cell r="BJ14">
            <v>3.7209302325581395</v>
          </cell>
          <cell r="BK14">
            <v>16.279069767441861</v>
          </cell>
          <cell r="BL14">
            <v>8.3333333333333329E-2</v>
          </cell>
          <cell r="BM14">
            <v>0.33</v>
          </cell>
          <cell r="BN14">
            <v>10.833333333333332</v>
          </cell>
          <cell r="BO14">
            <v>42.9</v>
          </cell>
          <cell r="BP14">
            <v>0</v>
          </cell>
          <cell r="BQ14">
            <v>134.02315442591345</v>
          </cell>
          <cell r="BR14">
            <v>18</v>
          </cell>
          <cell r="BS14">
            <v>10.833333333333332</v>
          </cell>
          <cell r="BT14">
            <v>28.833333333333332</v>
          </cell>
          <cell r="BU14">
            <v>3.7209302325581395</v>
          </cell>
          <cell r="BV14" t="str">
            <v>S-All-Lgt-Streetlight-All-All-U</v>
          </cell>
          <cell r="BW14" t="str">
            <v>L</v>
          </cell>
          <cell r="BX14">
            <v>0.44396528981001609</v>
          </cell>
          <cell r="BY14">
            <v>0.29262697472906868</v>
          </cell>
          <cell r="BZ14">
            <v>0.34087870956242761</v>
          </cell>
          <cell r="CA14">
            <v>0.6591212904375725</v>
          </cell>
          <cell r="CB14" t="str">
            <v>Exterior Lighting: Parking Lot - MH 400W</v>
          </cell>
          <cell r="CC14" t="str">
            <v>MH 400W</v>
          </cell>
          <cell r="CD14" t="str">
            <v>New</v>
          </cell>
          <cell r="CE14" t="str">
            <v>ParkingLot</v>
          </cell>
          <cell r="CF14" t="str">
            <v>HID</v>
          </cell>
          <cell r="CG14">
            <v>71.095388052487294</v>
          </cell>
          <cell r="CH14">
            <v>0.25510204081632654</v>
          </cell>
          <cell r="CI14">
            <v>18.136578584818189</v>
          </cell>
          <cell r="CJ14">
            <v>11.954205080947807</v>
          </cell>
          <cell r="CK14">
            <v>51.403081848075573</v>
          </cell>
          <cell r="CL14">
            <v>5.3072521232113603</v>
          </cell>
          <cell r="CM14">
            <v>0.10324774181628281</v>
          </cell>
          <cell r="CN14">
            <v>0.10324774181628281</v>
          </cell>
          <cell r="CO14">
            <v>3.9599516560738408E-2</v>
          </cell>
          <cell r="CP14">
            <v>3.9599516560738408E-2</v>
          </cell>
          <cell r="CQ14">
            <v>0.41992606521724191</v>
          </cell>
          <cell r="CR14">
            <v>3.9599516560738408E-2</v>
          </cell>
          <cell r="CS14">
            <v>3.9599516560738408E-2</v>
          </cell>
        </row>
        <row r="15">
          <cell r="AM15" t="str">
            <v>MH 1000W-New</v>
          </cell>
          <cell r="AN15" t="str">
            <v>Exterior Lighting: Parking Lot</v>
          </cell>
          <cell r="AO15" t="str">
            <v>MH 1000W</v>
          </cell>
          <cell r="AP15" t="str">
            <v>New</v>
          </cell>
          <cell r="AQ15" t="str">
            <v>Exterior Lighting: Parking Lot - MH 1000W - New</v>
          </cell>
          <cell r="AR15" t="str">
            <v>MH 1000W</v>
          </cell>
          <cell r="AS15" t="str">
            <v>LED 421W</v>
          </cell>
          <cell r="AT15" t="str">
            <v>Exterior Lighting: Parking Lot - MH 1000W to LED 421W - New</v>
          </cell>
          <cell r="AU15">
            <v>4300</v>
          </cell>
          <cell r="AV15">
            <v>41000</v>
          </cell>
          <cell r="AW15">
            <v>1100</v>
          </cell>
          <cell r="AX15">
            <v>365.15306122448976</v>
          </cell>
          <cell r="AY15">
            <v>0.66804267161410025</v>
          </cell>
          <cell r="AZ15">
            <v>4730</v>
          </cell>
          <cell r="BA15">
            <v>1570.158163265306</v>
          </cell>
          <cell r="BB15">
            <v>3159.841836734694</v>
          </cell>
          <cell r="BC15">
            <v>20</v>
          </cell>
          <cell r="BD15" t="str">
            <v>N/A</v>
          </cell>
          <cell r="BE15">
            <v>440</v>
          </cell>
          <cell r="BF15">
            <v>972.0694632777404</v>
          </cell>
          <cell r="BG15">
            <v>532.0694632777404</v>
          </cell>
          <cell r="BH15">
            <v>16000</v>
          </cell>
          <cell r="BI15">
            <v>70000</v>
          </cell>
          <cell r="BJ15">
            <v>3.7209302325581395</v>
          </cell>
          <cell r="BK15">
            <v>16.279069767441861</v>
          </cell>
          <cell r="BL15">
            <v>8.3333333333333329E-2</v>
          </cell>
          <cell r="BM15">
            <v>0.33</v>
          </cell>
          <cell r="BN15">
            <v>10.833333333333332</v>
          </cell>
          <cell r="BO15">
            <v>42.9</v>
          </cell>
          <cell r="BP15">
            <v>0</v>
          </cell>
          <cell r="BQ15">
            <v>532.0694632777404</v>
          </cell>
          <cell r="BR15">
            <v>20</v>
          </cell>
          <cell r="BS15">
            <v>10.833333333333332</v>
          </cell>
          <cell r="BT15">
            <v>30.833333333333332</v>
          </cell>
          <cell r="BU15">
            <v>3.7209302325581395</v>
          </cell>
          <cell r="BV15" t="str">
            <v>S-All-Lgt-Streetlight-All-All-U</v>
          </cell>
          <cell r="BW15" t="str">
            <v>L</v>
          </cell>
          <cell r="BX15">
            <v>0.72405481359742496</v>
          </cell>
          <cell r="BY15">
            <v>0.48369951207067308</v>
          </cell>
          <cell r="BZ15">
            <v>0.33195732838589981</v>
          </cell>
          <cell r="CA15">
            <v>0.66804267161410025</v>
          </cell>
          <cell r="CB15" t="str">
            <v>Exterior Lighting: Parking Lot - MH 1000W</v>
          </cell>
          <cell r="CC15" t="str">
            <v>MH 1000W</v>
          </cell>
          <cell r="CD15" t="str">
            <v>New</v>
          </cell>
          <cell r="CE15" t="str">
            <v>ParkingLot</v>
          </cell>
          <cell r="CF15" t="str">
            <v>HID</v>
          </cell>
          <cell r="CG15">
            <v>71.095388052487294</v>
          </cell>
          <cell r="CH15">
            <v>3.0612244897959183E-2</v>
          </cell>
          <cell r="CI15">
            <v>2.1763894301781823</v>
          </cell>
          <cell r="CJ15">
            <v>1.4539210094089221</v>
          </cell>
          <cell r="CK15">
            <v>6.2518603404583653</v>
          </cell>
          <cell r="CL15">
            <v>1.0527185054529571</v>
          </cell>
          <cell r="CM15">
            <v>0.16838484037149418</v>
          </cell>
          <cell r="CN15">
            <v>0.16838484037149418</v>
          </cell>
          <cell r="CO15">
            <v>1.9785358456165295E-3</v>
          </cell>
          <cell r="CP15">
            <v>1.9785358456165295E-3</v>
          </cell>
          <cell r="CQ15">
            <v>0.41992606521724191</v>
          </cell>
          <cell r="CR15">
            <v>1.9785358456165295E-3</v>
          </cell>
          <cell r="CS15">
            <v>1.9785358456165295E-3</v>
          </cell>
        </row>
        <row r="16">
          <cell r="AM16" t="str">
            <v>HPS 250W-NR</v>
          </cell>
          <cell r="AN16" t="str">
            <v>Exterior Lighting: Parking Lot</v>
          </cell>
          <cell r="AO16" t="str">
            <v>HPS 250W</v>
          </cell>
          <cell r="AP16" t="str">
            <v>NR</v>
          </cell>
          <cell r="AQ16" t="str">
            <v>Exterior Lighting: Parking Lot - HPS 250W - NR</v>
          </cell>
          <cell r="AR16" t="str">
            <v>HPS 250W</v>
          </cell>
          <cell r="AS16" t="str">
            <v>LED 135W</v>
          </cell>
          <cell r="AT16" t="str">
            <v>Exterior Lighting: Parking Lot - HPS 250W to LED 135W - NR</v>
          </cell>
          <cell r="AU16">
            <v>4300</v>
          </cell>
          <cell r="AV16">
            <v>12000</v>
          </cell>
          <cell r="AW16">
            <v>290</v>
          </cell>
          <cell r="AX16">
            <v>117.09183673469387</v>
          </cell>
          <cell r="AY16">
            <v>0.59623504574243502</v>
          </cell>
          <cell r="AZ16">
            <v>1247</v>
          </cell>
          <cell r="BA16">
            <v>503.49489795918362</v>
          </cell>
          <cell r="BB16">
            <v>743.50510204081638</v>
          </cell>
          <cell r="BC16">
            <v>15</v>
          </cell>
          <cell r="BD16" t="str">
            <v>N/A</v>
          </cell>
          <cell r="BE16">
            <v>160</v>
          </cell>
          <cell r="BF16">
            <v>162.01157721295672</v>
          </cell>
          <cell r="BG16">
            <v>147.01157721295672</v>
          </cell>
          <cell r="BH16">
            <v>24000</v>
          </cell>
          <cell r="BI16">
            <v>70000</v>
          </cell>
          <cell r="BJ16">
            <v>5.5813953488372094</v>
          </cell>
          <cell r="BK16">
            <v>16.279069767441861</v>
          </cell>
          <cell r="BL16">
            <v>8.3333333333333329E-2</v>
          </cell>
          <cell r="BM16">
            <v>0.33</v>
          </cell>
          <cell r="BN16">
            <v>10.833333333333332</v>
          </cell>
          <cell r="BO16">
            <v>42.9</v>
          </cell>
          <cell r="BP16">
            <v>32.066666666666663</v>
          </cell>
          <cell r="BQ16">
            <v>179.07824387962339</v>
          </cell>
          <cell r="BR16">
            <v>15</v>
          </cell>
          <cell r="BS16">
            <v>10.833333333333332</v>
          </cell>
          <cell r="BT16">
            <v>25.833333333333332</v>
          </cell>
          <cell r="BU16">
            <v>5.5813953488372094</v>
          </cell>
          <cell r="BV16" t="str">
            <v>S-All-Lgt-Streetlight-All-All-U</v>
          </cell>
          <cell r="BW16" t="str">
            <v>L</v>
          </cell>
          <cell r="BX16">
            <v>1.0356841487284207</v>
          </cell>
          <cell r="BY16">
            <v>0.61751118579180475</v>
          </cell>
          <cell r="BZ16">
            <v>0.40376495425756509</v>
          </cell>
          <cell r="CA16">
            <v>0.59623504574243502</v>
          </cell>
          <cell r="CB16" t="str">
            <v>Exterior Lighting: Parking Lot - HPS 250W</v>
          </cell>
          <cell r="CC16" t="str">
            <v>HPS 250W</v>
          </cell>
          <cell r="CD16" t="str">
            <v>NR</v>
          </cell>
          <cell r="CE16" t="str">
            <v>ParkingLot</v>
          </cell>
          <cell r="CF16" t="str">
            <v>HID</v>
          </cell>
          <cell r="CG16">
            <v>71.095388052487294</v>
          </cell>
          <cell r="CH16">
            <v>0.7142857142857143</v>
          </cell>
          <cell r="CI16">
            <v>50.782420037490922</v>
          </cell>
          <cell r="CJ16">
            <v>30.278258533964948</v>
          </cell>
          <cell r="CK16">
            <v>130.19651169604927</v>
          </cell>
          <cell r="CL16">
            <v>31.358712414728526</v>
          </cell>
          <cell r="CM16">
            <v>0.24085677877405134</v>
          </cell>
          <cell r="CN16">
            <v>0.24085677877405134</v>
          </cell>
          <cell r="CO16">
            <v>0.17511179323272733</v>
          </cell>
          <cell r="CP16">
            <v>0.17511179323272733</v>
          </cell>
          <cell r="CQ16">
            <v>0.41992606521724191</v>
          </cell>
          <cell r="CR16">
            <v>0.17511179323272733</v>
          </cell>
          <cell r="CS16">
            <v>0.17511179323272733</v>
          </cell>
          <cell r="CT16">
            <v>0.17916666666666667</v>
          </cell>
          <cell r="CW16">
            <v>49.046631118374727</v>
          </cell>
        </row>
        <row r="17">
          <cell r="AM17" t="str">
            <v>MH 400W-NR</v>
          </cell>
          <cell r="AN17" t="str">
            <v>Exterior Lighting: Parking Lot</v>
          </cell>
          <cell r="AO17" t="str">
            <v>MH 400W</v>
          </cell>
          <cell r="AP17" t="str">
            <v>NR</v>
          </cell>
          <cell r="AQ17" t="str">
            <v>Exterior Lighting: Parking Lot - MH 400W - NR</v>
          </cell>
          <cell r="AR17" t="str">
            <v>MH 400W</v>
          </cell>
          <cell r="AS17" t="str">
            <v>LED 180W</v>
          </cell>
          <cell r="AT17" t="str">
            <v>Exterior Lighting: Parking Lot - MH 400W to LED 180W - NR</v>
          </cell>
          <cell r="AU17">
            <v>4300</v>
          </cell>
          <cell r="AV17">
            <v>17000</v>
          </cell>
          <cell r="AW17">
            <v>458</v>
          </cell>
          <cell r="AX17">
            <v>156.12244897959184</v>
          </cell>
          <cell r="AY17">
            <v>0.6591212904375725</v>
          </cell>
          <cell r="AZ17">
            <v>1969.4</v>
          </cell>
          <cell r="BA17">
            <v>671.32653061224494</v>
          </cell>
          <cell r="BB17">
            <v>1298.0734693877553</v>
          </cell>
          <cell r="BC17">
            <v>18</v>
          </cell>
          <cell r="BD17" t="str">
            <v>N/A</v>
          </cell>
          <cell r="BE17">
            <v>190</v>
          </cell>
          <cell r="BF17">
            <v>324.02315442591345</v>
          </cell>
          <cell r="BG17">
            <v>306.02315442591345</v>
          </cell>
          <cell r="BH17">
            <v>16000</v>
          </cell>
          <cell r="BI17">
            <v>70000</v>
          </cell>
          <cell r="BJ17">
            <v>3.7209302325581395</v>
          </cell>
          <cell r="BK17">
            <v>16.279069767441861</v>
          </cell>
          <cell r="BL17">
            <v>8.3333333333333329E-2</v>
          </cell>
          <cell r="BM17">
            <v>0.33</v>
          </cell>
          <cell r="BN17">
            <v>10.833333333333332</v>
          </cell>
          <cell r="BO17">
            <v>42.9</v>
          </cell>
          <cell r="BP17">
            <v>32.066666666666663</v>
          </cell>
          <cell r="BQ17">
            <v>338.08982109258011</v>
          </cell>
          <cell r="BR17">
            <v>18</v>
          </cell>
          <cell r="BS17">
            <v>10.833333333333332</v>
          </cell>
          <cell r="BT17">
            <v>28.833333333333332</v>
          </cell>
          <cell r="BU17">
            <v>3.7209302325581395</v>
          </cell>
          <cell r="BV17" t="str">
            <v>S-All-Lgt-Streetlight-All-All-U</v>
          </cell>
          <cell r="BW17" t="str">
            <v>L</v>
          </cell>
          <cell r="BX17">
            <v>1.1199568167615213</v>
          </cell>
          <cell r="BY17">
            <v>0.73818738229820979</v>
          </cell>
          <cell r="BZ17">
            <v>0.34087870956242761</v>
          </cell>
          <cell r="CA17">
            <v>0.6591212904375725</v>
          </cell>
          <cell r="CB17" t="str">
            <v>Exterior Lighting: Parking Lot - MH 400W</v>
          </cell>
          <cell r="CC17" t="str">
            <v>MH 400W</v>
          </cell>
          <cell r="CD17" t="str">
            <v>NR</v>
          </cell>
          <cell r="CE17" t="str">
            <v>ParkingLot</v>
          </cell>
          <cell r="CF17" t="str">
            <v>HID</v>
          </cell>
          <cell r="CG17">
            <v>71.095388052487294</v>
          </cell>
          <cell r="CH17">
            <v>0.25510204081632654</v>
          </cell>
          <cell r="CI17">
            <v>18.136578584818189</v>
          </cell>
          <cell r="CJ17">
            <v>11.954205080947807</v>
          </cell>
          <cell r="CK17">
            <v>51.403081848075573</v>
          </cell>
          <cell r="CL17">
            <v>13.388193469372709</v>
          </cell>
          <cell r="CM17">
            <v>0.26045507366547005</v>
          </cell>
          <cell r="CN17">
            <v>0.26045507366547005</v>
          </cell>
          <cell r="CO17">
            <v>3.9599516560738408E-2</v>
          </cell>
          <cell r="CP17">
            <v>3.9599516560738401E-2</v>
          </cell>
          <cell r="CQ17">
            <v>0.41992606521724191</v>
          </cell>
          <cell r="CR17">
            <v>3.9599516560738408E-2</v>
          </cell>
          <cell r="CS17">
            <v>3.9599516560738408E-2</v>
          </cell>
          <cell r="CT17">
            <v>0.26874999999999999</v>
          </cell>
          <cell r="CW17">
            <v>19.364174668795592</v>
          </cell>
        </row>
        <row r="18">
          <cell r="AM18" t="str">
            <v>MH 1000W-NR</v>
          </cell>
          <cell r="AN18" t="str">
            <v>Exterior Lighting: Parking Lot</v>
          </cell>
          <cell r="AO18" t="str">
            <v>MH 1000W</v>
          </cell>
          <cell r="AP18" t="str">
            <v>NR</v>
          </cell>
          <cell r="AQ18" t="str">
            <v>Exterior Lighting: Parking Lot - MH 1000W - NR</v>
          </cell>
          <cell r="AR18" t="str">
            <v>MH 1000W</v>
          </cell>
          <cell r="AS18" t="str">
            <v>LED 421W</v>
          </cell>
          <cell r="AT18" t="str">
            <v>Exterior Lighting: Parking Lot - MH 1000W to LED 421W - NR</v>
          </cell>
          <cell r="AU18">
            <v>4300</v>
          </cell>
          <cell r="AV18">
            <v>41000</v>
          </cell>
          <cell r="AW18">
            <v>1100</v>
          </cell>
          <cell r="AX18">
            <v>365.15306122448976</v>
          </cell>
          <cell r="AY18">
            <v>0.66804267161410025</v>
          </cell>
          <cell r="AZ18">
            <v>4730</v>
          </cell>
          <cell r="BA18">
            <v>1570.158163265306</v>
          </cell>
          <cell r="BB18">
            <v>3159.841836734694</v>
          </cell>
          <cell r="BC18">
            <v>20</v>
          </cell>
          <cell r="BD18" t="str">
            <v>N/A</v>
          </cell>
          <cell r="BE18">
            <v>440</v>
          </cell>
          <cell r="BF18">
            <v>972.0694632777404</v>
          </cell>
          <cell r="BG18">
            <v>952.0694632777404</v>
          </cell>
          <cell r="BH18">
            <v>16000</v>
          </cell>
          <cell r="BI18">
            <v>70000</v>
          </cell>
          <cell r="BJ18">
            <v>3.7209302325581395</v>
          </cell>
          <cell r="BK18">
            <v>16.279069767441861</v>
          </cell>
          <cell r="BL18">
            <v>8.3333333333333329E-2</v>
          </cell>
          <cell r="BM18">
            <v>0.33</v>
          </cell>
          <cell r="BN18">
            <v>10.833333333333332</v>
          </cell>
          <cell r="BO18">
            <v>42.9</v>
          </cell>
          <cell r="BP18">
            <v>32.066666666666663</v>
          </cell>
          <cell r="BQ18">
            <v>984.136129944407</v>
          </cell>
          <cell r="BR18">
            <v>20</v>
          </cell>
          <cell r="BS18">
            <v>10.833333333333332</v>
          </cell>
          <cell r="BT18">
            <v>30.833333333333332</v>
          </cell>
          <cell r="BU18">
            <v>3.7209302325581395</v>
          </cell>
          <cell r="BV18" t="str">
            <v>S-All-Lgt-Streetlight-All-All-U</v>
          </cell>
          <cell r="BW18" t="str">
            <v>L</v>
          </cell>
          <cell r="BX18">
            <v>1.3392396130604995</v>
          </cell>
          <cell r="BY18">
            <v>0.89466920904036995</v>
          </cell>
          <cell r="BZ18">
            <v>0.33195732838589981</v>
          </cell>
          <cell r="CA18">
            <v>0.66804267161410025</v>
          </cell>
          <cell r="CB18" t="str">
            <v>Exterior Lighting: Parking Lot - MH 1000W</v>
          </cell>
          <cell r="CC18" t="str">
            <v>MH 1000W</v>
          </cell>
          <cell r="CD18" t="str">
            <v>NR</v>
          </cell>
          <cell r="CE18" t="str">
            <v>ParkingLot</v>
          </cell>
          <cell r="CF18" t="str">
            <v>HID</v>
          </cell>
          <cell r="CG18">
            <v>71.095388052487294</v>
          </cell>
          <cell r="CH18">
            <v>3.0612244897959183E-2</v>
          </cell>
          <cell r="CI18">
            <v>2.1763894301781823</v>
          </cell>
          <cell r="CJ18">
            <v>1.4539210094089221</v>
          </cell>
          <cell r="CK18">
            <v>6.2518603404583653</v>
          </cell>
          <cell r="CL18">
            <v>1.9471486100613358</v>
          </cell>
          <cell r="CM18">
            <v>0.3114510728047673</v>
          </cell>
          <cell r="CN18">
            <v>0.31145107280476736</v>
          </cell>
          <cell r="CO18">
            <v>1.9785358456165295E-3</v>
          </cell>
          <cell r="CP18">
            <v>1.9785358456165291E-3</v>
          </cell>
          <cell r="CQ18">
            <v>0.41992606521724191</v>
          </cell>
          <cell r="CR18">
            <v>1.9785358456165295E-3</v>
          </cell>
          <cell r="CS18">
            <v>1.9785358456165295E-3</v>
          </cell>
          <cell r="CT18">
            <v>0.26874999999999999</v>
          </cell>
          <cell r="CW18">
            <v>2.3551528679808911</v>
          </cell>
        </row>
        <row r="19">
          <cell r="AM19" t="str">
            <v>HPS 250W-Retro</v>
          </cell>
          <cell r="AN19" t="str">
            <v>Exterior Lighting: Parking Lot</v>
          </cell>
          <cell r="AO19" t="str">
            <v>HPS 250W</v>
          </cell>
          <cell r="AP19" t="str">
            <v>Retro</v>
          </cell>
          <cell r="AQ19" t="str">
            <v>Exterior Lighting: Parking Lot - HPS 250W - Retro</v>
          </cell>
          <cell r="AR19" t="str">
            <v>HPS 250W</v>
          </cell>
          <cell r="AS19" t="str">
            <v>LED 135W</v>
          </cell>
          <cell r="AT19" t="str">
            <v>Exterior Lighting: Parking Lot - HPS 250W to LED 135W - Retro</v>
          </cell>
          <cell r="AU19">
            <v>4300</v>
          </cell>
          <cell r="AV19">
            <v>12000</v>
          </cell>
          <cell r="AW19">
            <v>290</v>
          </cell>
          <cell r="AX19">
            <v>117.09183673469387</v>
          </cell>
          <cell r="AY19">
            <v>0.59623504574243502</v>
          </cell>
          <cell r="AZ19">
            <v>1247</v>
          </cell>
          <cell r="BA19">
            <v>503.49489795918362</v>
          </cell>
          <cell r="BB19">
            <v>743.50510204081638</v>
          </cell>
          <cell r="BC19">
            <v>15</v>
          </cell>
          <cell r="BD19" t="str">
            <v>N/A</v>
          </cell>
          <cell r="BE19">
            <v>160</v>
          </cell>
          <cell r="BF19">
            <v>162.01157721295672</v>
          </cell>
          <cell r="BG19">
            <v>162.01157721295672</v>
          </cell>
          <cell r="BH19">
            <v>24000</v>
          </cell>
          <cell r="BI19">
            <v>70000</v>
          </cell>
          <cell r="BJ19">
            <v>5.5813953488372094</v>
          </cell>
          <cell r="BK19">
            <v>16.279069767441861</v>
          </cell>
          <cell r="BL19">
            <v>8.3333333333333329E-2</v>
          </cell>
          <cell r="BM19">
            <v>0.33</v>
          </cell>
          <cell r="BN19">
            <v>10.833333333333332</v>
          </cell>
          <cell r="BO19">
            <v>42.9</v>
          </cell>
          <cell r="BP19">
            <v>42.9</v>
          </cell>
          <cell r="BQ19">
            <v>204.91157721295673</v>
          </cell>
          <cell r="BR19">
            <v>15</v>
          </cell>
          <cell r="BS19">
            <v>10.833333333333332</v>
          </cell>
          <cell r="BT19">
            <v>25.833333333333332</v>
          </cell>
          <cell r="BU19">
            <v>5.5813953488372094</v>
          </cell>
          <cell r="BV19" t="str">
            <v>S-All-Lgt-Streetlight-All-All-U</v>
          </cell>
          <cell r="BW19" t="str">
            <v>R</v>
          </cell>
          <cell r="BX19">
            <v>1.1850890862714523</v>
          </cell>
          <cell r="BY19">
            <v>0.70659164556191978</v>
          </cell>
          <cell r="BZ19">
            <v>0.40376495425756509</v>
          </cell>
          <cell r="CA19">
            <v>0.59623504574243502</v>
          </cell>
          <cell r="CB19" t="str">
            <v>Exterior Lighting: Parking Lot - HPS 250W</v>
          </cell>
          <cell r="CC19" t="str">
            <v>HPS 250W</v>
          </cell>
          <cell r="CD19" t="str">
            <v>Retro</v>
          </cell>
          <cell r="CE19" t="str">
            <v>ParkingLot</v>
          </cell>
          <cell r="CF19" t="str">
            <v>HID</v>
          </cell>
          <cell r="CG19">
            <v>71.095388052487294</v>
          </cell>
          <cell r="CH19">
            <v>0.7142857142857143</v>
          </cell>
          <cell r="CI19">
            <v>50.782420037490922</v>
          </cell>
          <cell r="CJ19">
            <v>30.278258533964948</v>
          </cell>
          <cell r="CK19">
            <v>130.19651169604927</v>
          </cell>
          <cell r="CL19">
            <v>35.88243373990732</v>
          </cell>
          <cell r="CM19">
            <v>0.27560211308638427</v>
          </cell>
          <cell r="CN19">
            <v>0.27560211308638422</v>
          </cell>
          <cell r="CO19">
            <v>0.17511179323272733</v>
          </cell>
          <cell r="CP19">
            <v>0.17511179323272733</v>
          </cell>
          <cell r="CQ19">
            <v>0.41992606521724191</v>
          </cell>
          <cell r="CR19">
            <v>0.17511179323272733</v>
          </cell>
          <cell r="CS19">
            <v>0.17511179323272733</v>
          </cell>
        </row>
        <row r="20">
          <cell r="AM20" t="str">
            <v>MH 400W-Retro</v>
          </cell>
          <cell r="AN20" t="str">
            <v>Exterior Lighting: Parking Lot</v>
          </cell>
          <cell r="AO20" t="str">
            <v>MH 400W</v>
          </cell>
          <cell r="AP20" t="str">
            <v>Retro</v>
          </cell>
          <cell r="AQ20" t="str">
            <v>Exterior Lighting: Parking Lot - MH 400W - Retro</v>
          </cell>
          <cell r="AR20" t="str">
            <v>MH 400W</v>
          </cell>
          <cell r="AS20" t="str">
            <v>LED 180W</v>
          </cell>
          <cell r="AT20" t="str">
            <v>Exterior Lighting: Parking Lot - MH 400W to LED 180W - Retro</v>
          </cell>
          <cell r="AU20">
            <v>4300</v>
          </cell>
          <cell r="AV20">
            <v>17000</v>
          </cell>
          <cell r="AW20">
            <v>458</v>
          </cell>
          <cell r="AX20">
            <v>156.12244897959184</v>
          </cell>
          <cell r="AY20">
            <v>0.6591212904375725</v>
          </cell>
          <cell r="AZ20">
            <v>1969.4</v>
          </cell>
          <cell r="BA20">
            <v>671.32653061224494</v>
          </cell>
          <cell r="BB20">
            <v>1298.0734693877553</v>
          </cell>
          <cell r="BC20">
            <v>18</v>
          </cell>
          <cell r="BD20" t="str">
            <v>N/A</v>
          </cell>
          <cell r="BE20">
            <v>190</v>
          </cell>
          <cell r="BF20">
            <v>324.02315442591345</v>
          </cell>
          <cell r="BG20">
            <v>324.02315442591345</v>
          </cell>
          <cell r="BH20">
            <v>16000</v>
          </cell>
          <cell r="BI20">
            <v>70000</v>
          </cell>
          <cell r="BJ20">
            <v>3.7209302325581395</v>
          </cell>
          <cell r="BK20">
            <v>16.279069767441861</v>
          </cell>
          <cell r="BL20">
            <v>8.3333333333333329E-2</v>
          </cell>
          <cell r="BM20">
            <v>0.33</v>
          </cell>
          <cell r="BN20">
            <v>10.833333333333332</v>
          </cell>
          <cell r="BO20">
            <v>42.9</v>
          </cell>
          <cell r="BP20">
            <v>42.9</v>
          </cell>
          <cell r="BQ20">
            <v>366.92315442591342</v>
          </cell>
          <cell r="BR20">
            <v>18</v>
          </cell>
          <cell r="BS20">
            <v>10.833333333333332</v>
          </cell>
          <cell r="BT20">
            <v>28.833333333333332</v>
          </cell>
          <cell r="BU20">
            <v>3.7209302325581395</v>
          </cell>
          <cell r="BV20" t="str">
            <v>S-All-Lgt-Streetlight-All-All-U</v>
          </cell>
          <cell r="BW20" t="str">
            <v>R</v>
          </cell>
          <cell r="BX20">
            <v>1.2154701573059596</v>
          </cell>
          <cell r="BY20">
            <v>0.80114225857186339</v>
          </cell>
          <cell r="BZ20">
            <v>0.34087870956242761</v>
          </cell>
          <cell r="CA20">
            <v>0.6591212904375725</v>
          </cell>
          <cell r="CB20" t="str">
            <v>Exterior Lighting: Parking Lot - MH 400W</v>
          </cell>
          <cell r="CC20" t="str">
            <v>MH 400W</v>
          </cell>
          <cell r="CD20" t="str">
            <v>Retro</v>
          </cell>
          <cell r="CE20" t="str">
            <v>ParkingLot</v>
          </cell>
          <cell r="CF20" t="str">
            <v>HID</v>
          </cell>
          <cell r="CG20">
            <v>71.095388052487294</v>
          </cell>
          <cell r="CH20">
            <v>0.25510204081632654</v>
          </cell>
          <cell r="CI20">
            <v>18.136578584818189</v>
          </cell>
          <cell r="CJ20">
            <v>11.954205080947807</v>
          </cell>
          <cell r="CK20">
            <v>51.403081848075573</v>
          </cell>
          <cell r="CL20">
            <v>14.529979530207333</v>
          </cell>
          <cell r="CM20">
            <v>0.28266747844324641</v>
          </cell>
          <cell r="CN20">
            <v>0.28266747844324641</v>
          </cell>
          <cell r="CO20">
            <v>3.9599516560738408E-2</v>
          </cell>
          <cell r="CP20">
            <v>3.9599516560738401E-2</v>
          </cell>
          <cell r="CQ20">
            <v>0.41992606521724191</v>
          </cell>
          <cell r="CR20">
            <v>3.9599516560738408E-2</v>
          </cell>
          <cell r="CS20">
            <v>3.9599516560738408E-2</v>
          </cell>
        </row>
        <row r="21">
          <cell r="AM21" t="str">
            <v>MH 1000W-Retro</v>
          </cell>
          <cell r="AN21" t="str">
            <v>Exterior Lighting: Parking Lot</v>
          </cell>
          <cell r="AO21" t="str">
            <v>MH 1000W</v>
          </cell>
          <cell r="AP21" t="str">
            <v>Retro</v>
          </cell>
          <cell r="AQ21" t="str">
            <v>Exterior Lighting: Parking Lot - MH 1000W - Retro</v>
          </cell>
          <cell r="AR21" t="str">
            <v>MH 1000W</v>
          </cell>
          <cell r="AS21" t="str">
            <v>LED 421W</v>
          </cell>
          <cell r="AT21" t="str">
            <v>Exterior Lighting: Parking Lot - MH 1000W to LED 421W - Retro</v>
          </cell>
          <cell r="AU21">
            <v>4300</v>
          </cell>
          <cell r="AV21">
            <v>41000</v>
          </cell>
          <cell r="AW21">
            <v>1100</v>
          </cell>
          <cell r="AX21">
            <v>365.15306122448976</v>
          </cell>
          <cell r="AY21">
            <v>0.66804267161410025</v>
          </cell>
          <cell r="AZ21">
            <v>4730</v>
          </cell>
          <cell r="BA21">
            <v>1570.158163265306</v>
          </cell>
          <cell r="BB21">
            <v>3159.841836734694</v>
          </cell>
          <cell r="BC21">
            <v>20</v>
          </cell>
          <cell r="BD21" t="str">
            <v>N/A</v>
          </cell>
          <cell r="BE21">
            <v>440</v>
          </cell>
          <cell r="BF21">
            <v>972.0694632777404</v>
          </cell>
          <cell r="BG21">
            <v>972.0694632777404</v>
          </cell>
          <cell r="BH21">
            <v>16000</v>
          </cell>
          <cell r="BI21">
            <v>70000</v>
          </cell>
          <cell r="BJ21">
            <v>3.7209302325581395</v>
          </cell>
          <cell r="BK21">
            <v>16.279069767441861</v>
          </cell>
          <cell r="BL21">
            <v>8.3333333333333329E-2</v>
          </cell>
          <cell r="BM21">
            <v>0.33</v>
          </cell>
          <cell r="BN21">
            <v>10.833333333333332</v>
          </cell>
          <cell r="BO21">
            <v>42.9</v>
          </cell>
          <cell r="BP21">
            <v>42.9</v>
          </cell>
          <cell r="BQ21">
            <v>1014.9694632777404</v>
          </cell>
          <cell r="BR21">
            <v>20</v>
          </cell>
          <cell r="BS21">
            <v>10.833333333333332</v>
          </cell>
          <cell r="BT21">
            <v>30.833333333333332</v>
          </cell>
          <cell r="BU21">
            <v>3.7209302325581395</v>
          </cell>
          <cell r="BV21" t="str">
            <v>S-All-Lgt-Streetlight-All-All-U</v>
          </cell>
          <cell r="BW21" t="str">
            <v>R</v>
          </cell>
          <cell r="BX21">
            <v>1.3811984642257662</v>
          </cell>
          <cell r="BY21">
            <v>0.92269951207067302</v>
          </cell>
          <cell r="BZ21">
            <v>0.33195732838589981</v>
          </cell>
          <cell r="CA21">
            <v>0.66804267161410025</v>
          </cell>
          <cell r="CB21" t="str">
            <v>Exterior Lighting: Parking Lot - MH 1000W</v>
          </cell>
          <cell r="CC21" t="str">
            <v>MH 1000W</v>
          </cell>
          <cell r="CD21" t="str">
            <v>Retro</v>
          </cell>
          <cell r="CE21" t="str">
            <v>ParkingLot</v>
          </cell>
          <cell r="CF21" t="str">
            <v>HID</v>
          </cell>
          <cell r="CG21">
            <v>71.095388052487294</v>
          </cell>
          <cell r="CH21">
            <v>3.0612244897959183E-2</v>
          </cell>
          <cell r="CI21">
            <v>2.1763894301781823</v>
          </cell>
          <cell r="CJ21">
            <v>1.4539210094089221</v>
          </cell>
          <cell r="CK21">
            <v>6.2518603404583653</v>
          </cell>
          <cell r="CL21">
            <v>2.008153465301179</v>
          </cell>
          <cell r="CM21">
            <v>0.32120894516878284</v>
          </cell>
          <cell r="CN21">
            <v>0.32120894516878284</v>
          </cell>
          <cell r="CO21">
            <v>1.9785358456165295E-3</v>
          </cell>
          <cell r="CP21">
            <v>1.9785358456165295E-3</v>
          </cell>
          <cell r="CQ21">
            <v>0.41992606521724191</v>
          </cell>
          <cell r="CR21">
            <v>1.9785358456165295E-3</v>
          </cell>
          <cell r="CS21">
            <v>1.9785358456165295E-3</v>
          </cell>
        </row>
        <row r="22">
          <cell r="AM22" t="str">
            <v>HID 150W-New</v>
          </cell>
          <cell r="AN22" t="str">
            <v>Exterior Lighting: Façade</v>
          </cell>
          <cell r="AO22" t="str">
            <v>HID 150W</v>
          </cell>
          <cell r="AP22" t="str">
            <v>New</v>
          </cell>
          <cell r="AQ22" t="str">
            <v>Exterior Lighting: Façade - HID 150W - New</v>
          </cell>
          <cell r="AR22" t="str">
            <v>HID 150W</v>
          </cell>
          <cell r="AS22" t="str">
            <v>LED 27W</v>
          </cell>
          <cell r="AT22" t="str">
            <v>Exterior Lighting: Façade - HID 150W to LED 27W - New</v>
          </cell>
          <cell r="AU22">
            <v>4300</v>
          </cell>
          <cell r="AV22">
            <v>2608</v>
          </cell>
          <cell r="AW22">
            <v>178.25</v>
          </cell>
          <cell r="AX22">
            <v>27.234693877551017</v>
          </cell>
          <cell r="AY22">
            <v>0.84721069353407563</v>
          </cell>
          <cell r="AZ22">
            <v>766.47499999999991</v>
          </cell>
          <cell r="BA22">
            <v>117.10918367346936</v>
          </cell>
          <cell r="BB22">
            <v>649.36581632653053</v>
          </cell>
          <cell r="BC22">
            <v>30.999173333333335</v>
          </cell>
          <cell r="BD22" t="str">
            <v>N/A</v>
          </cell>
          <cell r="BE22">
            <v>178.58874399999999</v>
          </cell>
          <cell r="BF22">
            <v>185.89070335550872</v>
          </cell>
          <cell r="BG22">
            <v>7.3019593555087283</v>
          </cell>
          <cell r="BH22">
            <v>24000</v>
          </cell>
          <cell r="BI22">
            <v>72000</v>
          </cell>
          <cell r="BJ22">
            <v>5.5813953488372094</v>
          </cell>
          <cell r="BK22">
            <v>16.744186046511629</v>
          </cell>
          <cell r="BL22">
            <v>8.3333333333333329E-2</v>
          </cell>
          <cell r="BM22">
            <v>0.33</v>
          </cell>
          <cell r="BN22">
            <v>10.833333333333332</v>
          </cell>
          <cell r="BO22">
            <v>42.9</v>
          </cell>
          <cell r="BP22">
            <v>0</v>
          </cell>
          <cell r="BQ22">
            <v>7.3019593555087283</v>
          </cell>
          <cell r="BR22">
            <v>30.999173333333335</v>
          </cell>
          <cell r="BS22">
            <v>10.833333333333332</v>
          </cell>
          <cell r="BT22">
            <v>41.832506666666667</v>
          </cell>
          <cell r="BU22">
            <v>5.5813953488372094</v>
          </cell>
          <cell r="BV22" t="str">
            <v>S-All-Lgt-Streetlight-All-All-U</v>
          </cell>
          <cell r="BW22" t="str">
            <v>L</v>
          </cell>
          <cell r="BX22">
            <v>4.8352445477202299E-2</v>
          </cell>
          <cell r="BY22">
            <v>4.0964708866809134E-2</v>
          </cell>
          <cell r="BZ22">
            <v>0.15278930646592437</v>
          </cell>
          <cell r="CA22">
            <v>0.84721069353407563</v>
          </cell>
          <cell r="CB22" t="str">
            <v>Exterior Lighting: Façade - HID 150W</v>
          </cell>
          <cell r="CC22" t="str">
            <v>HID 150W</v>
          </cell>
          <cell r="CD22" t="str">
            <v>New</v>
          </cell>
          <cell r="CE22" t="str">
            <v>BuildingFacade</v>
          </cell>
          <cell r="CF22" t="str">
            <v>HID</v>
          </cell>
          <cell r="CG22">
            <v>26.479843587764876</v>
          </cell>
          <cell r="CH22">
            <v>0.69387755102040827</v>
          </cell>
          <cell r="CI22">
            <v>18.373769020081753</v>
          </cell>
          <cell r="CJ22">
            <v>15.566453594338375</v>
          </cell>
          <cell r="CK22">
            <v>66.935750455655011</v>
          </cell>
          <cell r="CL22">
            <v>0.75267609869364605</v>
          </cell>
          <cell r="CM22">
            <v>1.1244754762140071E-2</v>
          </cell>
          <cell r="CN22">
            <v>1.1244754762140071E-2</v>
          </cell>
          <cell r="CO22">
            <v>0.10307864807900002</v>
          </cell>
          <cell r="CP22">
            <v>0.10307864807900002</v>
          </cell>
          <cell r="CQ22">
            <v>0.15640362659205004</v>
          </cell>
          <cell r="CR22">
            <v>0.10307864807900002</v>
          </cell>
          <cell r="CS22">
            <v>0.10307864807900002</v>
          </cell>
        </row>
        <row r="23">
          <cell r="AM23" t="str">
            <v>HID 400W-New</v>
          </cell>
          <cell r="AN23" t="str">
            <v>Exterior Lighting: Façade</v>
          </cell>
          <cell r="AO23" t="str">
            <v>HID 400W</v>
          </cell>
          <cell r="AP23" t="str">
            <v>New</v>
          </cell>
          <cell r="AQ23" t="str">
            <v>Exterior Lighting: Façade - HID 400W - New</v>
          </cell>
          <cell r="AR23" t="str">
            <v>HID 400W</v>
          </cell>
          <cell r="AS23" t="str">
            <v>LED 82W</v>
          </cell>
          <cell r="AT23" t="str">
            <v>Exterior Lighting: Façade - HID 400W to LED 82W - New</v>
          </cell>
          <cell r="AU23">
            <v>4300</v>
          </cell>
          <cell r="AV23">
            <v>7563</v>
          </cell>
          <cell r="AW23">
            <v>455.66666666666669</v>
          </cell>
          <cell r="AX23">
            <v>81.964285714285708</v>
          </cell>
          <cell r="AY23">
            <v>0.8201222698296583</v>
          </cell>
          <cell r="AZ23">
            <v>1959.3666666666666</v>
          </cell>
          <cell r="BA23">
            <v>352.44642857142856</v>
          </cell>
          <cell r="BB23">
            <v>1606.9202380952379</v>
          </cell>
          <cell r="BC23">
            <v>28.431060000000002</v>
          </cell>
          <cell r="BD23" t="str">
            <v>N/A</v>
          </cell>
          <cell r="BE23">
            <v>276.78352800000005</v>
          </cell>
          <cell r="BF23">
            <v>328.64658006207537</v>
          </cell>
          <cell r="BG23">
            <v>51.863052062075326</v>
          </cell>
          <cell r="BH23">
            <v>16000</v>
          </cell>
          <cell r="BI23">
            <v>72000</v>
          </cell>
          <cell r="BJ23">
            <v>3.7209302325581395</v>
          </cell>
          <cell r="BK23">
            <v>16.744186046511629</v>
          </cell>
          <cell r="BL23">
            <v>8.3333333333333329E-2</v>
          </cell>
          <cell r="BM23">
            <v>0.33</v>
          </cell>
          <cell r="BN23">
            <v>10.833333333333332</v>
          </cell>
          <cell r="BO23">
            <v>42.9</v>
          </cell>
          <cell r="BP23">
            <v>0</v>
          </cell>
          <cell r="BQ23">
            <v>51.863052062075326</v>
          </cell>
          <cell r="BR23">
            <v>28.431060000000002</v>
          </cell>
          <cell r="BS23">
            <v>10.833333333333332</v>
          </cell>
          <cell r="BT23">
            <v>39.264393333333331</v>
          </cell>
          <cell r="BU23">
            <v>3.7209302325581395</v>
          </cell>
          <cell r="BV23" t="str">
            <v>S-All-Lgt-Streetlight-All-All-U</v>
          </cell>
          <cell r="BW23" t="str">
            <v>L</v>
          </cell>
          <cell r="BX23">
            <v>0.13878170090835995</v>
          </cell>
          <cell r="BY23">
            <v>0.11381796355978491</v>
          </cell>
          <cell r="BZ23">
            <v>0.1798777301703417</v>
          </cell>
          <cell r="CA23">
            <v>0.8201222698296583</v>
          </cell>
          <cell r="CB23" t="str">
            <v>Exterior Lighting: Façade - HID 400W</v>
          </cell>
          <cell r="CC23" t="str">
            <v>HID 400W</v>
          </cell>
          <cell r="CD23" t="str">
            <v>New</v>
          </cell>
          <cell r="CE23" t="str">
            <v>BuildingFacade</v>
          </cell>
          <cell r="CF23" t="str">
            <v>HID</v>
          </cell>
          <cell r="CG23">
            <v>26.479843587764876</v>
          </cell>
          <cell r="CH23">
            <v>0.30927835051546387</v>
          </cell>
          <cell r="CI23">
            <v>8.1896423467314037</v>
          </cell>
          <cell r="CJ23">
            <v>6.7165080704944486</v>
          </cell>
          <cell r="CK23">
            <v>28.880984703126131</v>
          </cell>
          <cell r="CL23">
            <v>0.93212841418794634</v>
          </cell>
          <cell r="CM23">
            <v>3.227481416473487E-2</v>
          </cell>
          <cell r="CN23">
            <v>3.2274814164734877E-2</v>
          </cell>
          <cell r="CO23">
            <v>1.7972880058664389E-2</v>
          </cell>
          <cell r="CP23">
            <v>1.7972880058664382E-2</v>
          </cell>
          <cell r="CQ23">
            <v>0.15640362659205004</v>
          </cell>
          <cell r="CR23">
            <v>1.7972880058664389E-2</v>
          </cell>
          <cell r="CS23">
            <v>1.7972880058664389E-2</v>
          </cell>
        </row>
        <row r="24">
          <cell r="AM24" t="str">
            <v>HID 150W-NR</v>
          </cell>
          <cell r="AN24" t="str">
            <v>Exterior Lighting: Façade</v>
          </cell>
          <cell r="AO24" t="str">
            <v>HID 150W</v>
          </cell>
          <cell r="AP24" t="str">
            <v>NR</v>
          </cell>
          <cell r="AQ24" t="str">
            <v>Exterior Lighting: Façade - HID 150W - NR</v>
          </cell>
          <cell r="AR24" t="str">
            <v>HID 150W</v>
          </cell>
          <cell r="AS24" t="str">
            <v>LED 27W</v>
          </cell>
          <cell r="AT24" t="str">
            <v>Exterior Lighting: Façade - HID 150W to LED 27W - NR</v>
          </cell>
          <cell r="AU24">
            <v>4300</v>
          </cell>
          <cell r="AV24">
            <v>2608</v>
          </cell>
          <cell r="AW24">
            <v>178.25</v>
          </cell>
          <cell r="AX24">
            <v>27.234693877551017</v>
          </cell>
          <cell r="AY24">
            <v>0.84721069353407563</v>
          </cell>
          <cell r="AZ24">
            <v>766.47499999999991</v>
          </cell>
          <cell r="BA24">
            <v>117.10918367346936</v>
          </cell>
          <cell r="BB24">
            <v>649.36581632653053</v>
          </cell>
          <cell r="BC24">
            <v>30.999173333333335</v>
          </cell>
          <cell r="BD24" t="str">
            <v>N/A</v>
          </cell>
          <cell r="BE24">
            <v>178.58874399999999</v>
          </cell>
          <cell r="BF24">
            <v>185.89070335550872</v>
          </cell>
          <cell r="BG24">
            <v>154.89153002217537</v>
          </cell>
          <cell r="BH24">
            <v>24000</v>
          </cell>
          <cell r="BI24">
            <v>72000</v>
          </cell>
          <cell r="BJ24">
            <v>5.5813953488372094</v>
          </cell>
          <cell r="BK24">
            <v>16.744186046511629</v>
          </cell>
          <cell r="BL24">
            <v>8.3333333333333329E-2</v>
          </cell>
          <cell r="BM24">
            <v>0.33</v>
          </cell>
          <cell r="BN24">
            <v>10.833333333333332</v>
          </cell>
          <cell r="BO24">
            <v>42.9</v>
          </cell>
          <cell r="BP24">
            <v>32.066666666666663</v>
          </cell>
          <cell r="BQ24">
            <v>186.95819668884204</v>
          </cell>
          <cell r="BR24">
            <v>30.999173333333335</v>
          </cell>
          <cell r="BS24">
            <v>10.833333333333332</v>
          </cell>
          <cell r="BT24">
            <v>41.832506666666667</v>
          </cell>
          <cell r="BU24">
            <v>5.5813953488372094</v>
          </cell>
          <cell r="BV24" t="str">
            <v>S-All-Lgt-Streetlight-All-All-U</v>
          </cell>
          <cell r="BW24" t="str">
            <v>L</v>
          </cell>
          <cell r="BX24">
            <v>1.2380082621376749</v>
          </cell>
          <cell r="BY24">
            <v>1.0488538383665753</v>
          </cell>
          <cell r="BZ24">
            <v>0.15278930646592437</v>
          </cell>
          <cell r="CA24">
            <v>0.84721069353407563</v>
          </cell>
          <cell r="CB24" t="str">
            <v>Exterior Lighting: Façade - HID 150W</v>
          </cell>
          <cell r="CC24" t="str">
            <v>HID 150W</v>
          </cell>
          <cell r="CD24" t="str">
            <v>NR</v>
          </cell>
          <cell r="CE24" t="str">
            <v>BuildingFacade</v>
          </cell>
          <cell r="CF24" t="str">
            <v>HID</v>
          </cell>
          <cell r="CG24">
            <v>26.479843587764876</v>
          </cell>
          <cell r="CH24">
            <v>0.69387755102040827</v>
          </cell>
          <cell r="CI24">
            <v>18.373769020081753</v>
          </cell>
          <cell r="CJ24">
            <v>15.566453594338375</v>
          </cell>
          <cell r="CK24">
            <v>66.935750455655011</v>
          </cell>
          <cell r="CL24">
            <v>19.271398161973615</v>
          </cell>
          <cell r="CM24">
            <v>0.2879088981715523</v>
          </cell>
          <cell r="CN24">
            <v>0.28790889817155235</v>
          </cell>
          <cell r="CO24">
            <v>0.10307864807900002</v>
          </cell>
          <cell r="CP24">
            <v>0.10307864807900002</v>
          </cell>
          <cell r="CQ24">
            <v>0.15640362659205004</v>
          </cell>
          <cell r="CR24">
            <v>0.10307864807900002</v>
          </cell>
          <cell r="CS24">
            <v>0.10307864807900002</v>
          </cell>
          <cell r="CT24">
            <v>0.17916666666666667</v>
          </cell>
          <cell r="CW24">
            <v>25.215522431924832</v>
          </cell>
        </row>
        <row r="25">
          <cell r="AM25" t="str">
            <v>HID 400W-NR</v>
          </cell>
          <cell r="AN25" t="str">
            <v>Exterior Lighting: Façade</v>
          </cell>
          <cell r="AO25" t="str">
            <v>HID 400W</v>
          </cell>
          <cell r="AP25" t="str">
            <v>NR</v>
          </cell>
          <cell r="AQ25" t="str">
            <v>Exterior Lighting: Façade - HID 400W - NR</v>
          </cell>
          <cell r="AR25" t="str">
            <v>HID 400W</v>
          </cell>
          <cell r="AS25" t="str">
            <v>LED 82W</v>
          </cell>
          <cell r="AT25" t="str">
            <v>Exterior Lighting: Façade - HID 400W to LED 82W - NR</v>
          </cell>
          <cell r="AU25">
            <v>4300</v>
          </cell>
          <cell r="AV25">
            <v>7563</v>
          </cell>
          <cell r="AW25">
            <v>455.66666666666669</v>
          </cell>
          <cell r="AX25">
            <v>81.964285714285708</v>
          </cell>
          <cell r="AY25">
            <v>0.8201222698296583</v>
          </cell>
          <cell r="AZ25">
            <v>1959.3666666666666</v>
          </cell>
          <cell r="BA25">
            <v>352.44642857142856</v>
          </cell>
          <cell r="BB25">
            <v>1606.9202380952379</v>
          </cell>
          <cell r="BC25">
            <v>28.431060000000002</v>
          </cell>
          <cell r="BD25" t="str">
            <v>N/A</v>
          </cell>
          <cell r="BE25">
            <v>276.78352800000005</v>
          </cell>
          <cell r="BF25">
            <v>328.64658006207537</v>
          </cell>
          <cell r="BG25">
            <v>300.21552006207537</v>
          </cell>
          <cell r="BH25">
            <v>16000</v>
          </cell>
          <cell r="BI25">
            <v>72000</v>
          </cell>
          <cell r="BJ25">
            <v>3.7209302325581395</v>
          </cell>
          <cell r="BK25">
            <v>16.744186046511629</v>
          </cell>
          <cell r="BL25">
            <v>8.3333333333333329E-2</v>
          </cell>
          <cell r="BM25">
            <v>0.33</v>
          </cell>
          <cell r="BN25">
            <v>10.833333333333332</v>
          </cell>
          <cell r="BO25">
            <v>42.9</v>
          </cell>
          <cell r="BP25">
            <v>32.066666666666663</v>
          </cell>
          <cell r="BQ25">
            <v>332.28218672874203</v>
          </cell>
          <cell r="BR25">
            <v>28.431060000000002</v>
          </cell>
          <cell r="BS25">
            <v>10.833333333333332</v>
          </cell>
          <cell r="BT25">
            <v>39.264393333333331</v>
          </cell>
          <cell r="BU25">
            <v>3.7209302325581395</v>
          </cell>
          <cell r="BV25" t="str">
            <v>S-All-Lgt-Streetlight-All-All-U</v>
          </cell>
          <cell r="BW25" t="str">
            <v>L</v>
          </cell>
          <cell r="BX25">
            <v>0.88916261620255266</v>
          </cell>
          <cell r="BY25">
            <v>0.72922206304771475</v>
          </cell>
          <cell r="BZ25">
            <v>0.1798777301703417</v>
          </cell>
          <cell r="CA25">
            <v>0.8201222698296583</v>
          </cell>
          <cell r="CB25" t="str">
            <v>Exterior Lighting: Façade - HID 400W</v>
          </cell>
          <cell r="CC25" t="str">
            <v>HID 400W</v>
          </cell>
          <cell r="CD25" t="str">
            <v>NR</v>
          </cell>
          <cell r="CE25" t="str">
            <v>BuildingFacade</v>
          </cell>
          <cell r="CF25" t="str">
            <v>HID</v>
          </cell>
          <cell r="CG25">
            <v>26.479843587764876</v>
          </cell>
          <cell r="CH25">
            <v>0.30927835051546387</v>
          </cell>
          <cell r="CI25">
            <v>8.1896423467314037</v>
          </cell>
          <cell r="CJ25">
            <v>6.7165080704944486</v>
          </cell>
          <cell r="CK25">
            <v>28.880984703126131</v>
          </cell>
          <cell r="CL25">
            <v>5.9720678877064026</v>
          </cell>
          <cell r="CM25">
            <v>0.20678200376803549</v>
          </cell>
          <cell r="CN25">
            <v>0.20678200376803554</v>
          </cell>
          <cell r="CO25">
            <v>1.7972880058664389E-2</v>
          </cell>
          <cell r="CP25">
            <v>1.7972880058664382E-2</v>
          </cell>
          <cell r="CQ25">
            <v>0.15640362659205004</v>
          </cell>
          <cell r="CR25">
            <v>1.7972880058664389E-2</v>
          </cell>
          <cell r="CS25">
            <v>1.7972880058664389E-2</v>
          </cell>
          <cell r="CT25">
            <v>0.26874999999999999</v>
          </cell>
          <cell r="CW25">
            <v>10.87982300460231</v>
          </cell>
        </row>
        <row r="26">
          <cell r="AM26" t="str">
            <v>HID 150W-Retro</v>
          </cell>
          <cell r="AN26" t="str">
            <v>Exterior Lighting: Façade</v>
          </cell>
          <cell r="AO26" t="str">
            <v>HID 150W</v>
          </cell>
          <cell r="AP26" t="str">
            <v>Retro</v>
          </cell>
          <cell r="AQ26" t="str">
            <v>Exterior Lighting: Façade - HID 150W - Retro</v>
          </cell>
          <cell r="AR26" t="str">
            <v>HID 150W</v>
          </cell>
          <cell r="AS26" t="str">
            <v>LED 27W</v>
          </cell>
          <cell r="AT26" t="str">
            <v>Exterior Lighting: Façade - HID 150W to LED 27W - Retro</v>
          </cell>
          <cell r="AU26">
            <v>4300</v>
          </cell>
          <cell r="AV26">
            <v>2608</v>
          </cell>
          <cell r="AW26">
            <v>178.25</v>
          </cell>
          <cell r="AX26">
            <v>27.234693877551017</v>
          </cell>
          <cell r="AY26">
            <v>0.84721069353407563</v>
          </cell>
          <cell r="AZ26">
            <v>766.47499999999991</v>
          </cell>
          <cell r="BA26">
            <v>117.10918367346936</v>
          </cell>
          <cell r="BB26">
            <v>649.36581632653053</v>
          </cell>
          <cell r="BC26">
            <v>30.999173333333335</v>
          </cell>
          <cell r="BD26" t="str">
            <v>N/A</v>
          </cell>
          <cell r="BE26">
            <v>178.58874399999999</v>
          </cell>
          <cell r="BF26">
            <v>185.89070335550872</v>
          </cell>
          <cell r="BG26">
            <v>185.89070335550872</v>
          </cell>
          <cell r="BH26">
            <v>24000</v>
          </cell>
          <cell r="BI26">
            <v>72000</v>
          </cell>
          <cell r="BJ26">
            <v>5.5813953488372094</v>
          </cell>
          <cell r="BK26">
            <v>16.744186046511629</v>
          </cell>
          <cell r="BL26">
            <v>8.3333333333333329E-2</v>
          </cell>
          <cell r="BM26">
            <v>0.33</v>
          </cell>
          <cell r="BN26">
            <v>10.833333333333332</v>
          </cell>
          <cell r="BO26">
            <v>42.9</v>
          </cell>
          <cell r="BP26">
            <v>42.9</v>
          </cell>
          <cell r="BQ26">
            <v>228.79070335550873</v>
          </cell>
          <cell r="BR26">
            <v>30.999173333333335</v>
          </cell>
          <cell r="BS26">
            <v>10.833333333333332</v>
          </cell>
          <cell r="BT26">
            <v>41.832506666666667</v>
          </cell>
          <cell r="BU26">
            <v>5.5813953488372094</v>
          </cell>
          <cell r="BV26" t="str">
            <v>S-All-Lgt-Streetlight-All-All-U</v>
          </cell>
          <cell r="BW26" t="str">
            <v>R</v>
          </cell>
          <cell r="BX26">
            <v>1.5150166511598266</v>
          </cell>
          <cell r="BY26">
            <v>1.2835383077447895</v>
          </cell>
          <cell r="BZ26">
            <v>0.15278930646592437</v>
          </cell>
          <cell r="CA26">
            <v>0.84721069353407563</v>
          </cell>
          <cell r="CB26" t="str">
            <v>Exterior Lighting: Façade - HID 150W</v>
          </cell>
          <cell r="CC26" t="str">
            <v>HID 150W</v>
          </cell>
          <cell r="CD26" t="str">
            <v>Retro</v>
          </cell>
          <cell r="CE26" t="str">
            <v>BuildingFacade</v>
          </cell>
          <cell r="CF26" t="str">
            <v>HID</v>
          </cell>
          <cell r="CG26">
            <v>26.479843587764876</v>
          </cell>
          <cell r="CH26">
            <v>0.69387755102040827</v>
          </cell>
          <cell r="CI26">
            <v>18.373769020081753</v>
          </cell>
          <cell r="CJ26">
            <v>15.566453594338375</v>
          </cell>
          <cell r="CK26">
            <v>66.935750455655011</v>
          </cell>
          <cell r="CL26">
            <v>23.583436394929372</v>
          </cell>
          <cell r="CM26">
            <v>0.35232945375809921</v>
          </cell>
          <cell r="CN26">
            <v>0.35232945375809926</v>
          </cell>
          <cell r="CO26">
            <v>0.10307864807900002</v>
          </cell>
          <cell r="CP26">
            <v>0.10307864807900001</v>
          </cell>
          <cell r="CQ26">
            <v>0.15640362659205004</v>
          </cell>
          <cell r="CR26">
            <v>0.10307864807900002</v>
          </cell>
          <cell r="CS26">
            <v>0.10307864807900002</v>
          </cell>
        </row>
        <row r="27">
          <cell r="AM27" t="str">
            <v>HID 400W-Retro</v>
          </cell>
          <cell r="AN27" t="str">
            <v>Exterior Lighting: Façade</v>
          </cell>
          <cell r="AO27" t="str">
            <v>HID 400W</v>
          </cell>
          <cell r="AP27" t="str">
            <v>Retro</v>
          </cell>
          <cell r="AQ27" t="str">
            <v>Exterior Lighting: Façade - HID 400W - Retro</v>
          </cell>
          <cell r="AR27" t="str">
            <v>HID 400W</v>
          </cell>
          <cell r="AS27" t="str">
            <v>LED 82W</v>
          </cell>
          <cell r="AT27" t="str">
            <v>Exterior Lighting: Façade - HID 400W to LED 82W - Retro</v>
          </cell>
          <cell r="AU27">
            <v>4300</v>
          </cell>
          <cell r="AV27">
            <v>7563</v>
          </cell>
          <cell r="AW27">
            <v>455.66666666666669</v>
          </cell>
          <cell r="AX27">
            <v>81.964285714285708</v>
          </cell>
          <cell r="AY27">
            <v>0.8201222698296583</v>
          </cell>
          <cell r="AZ27">
            <v>1959.3666666666666</v>
          </cell>
          <cell r="BA27">
            <v>352.44642857142856</v>
          </cell>
          <cell r="BB27">
            <v>1606.9202380952379</v>
          </cell>
          <cell r="BC27">
            <v>28.431060000000002</v>
          </cell>
          <cell r="BD27" t="str">
            <v>N/A</v>
          </cell>
          <cell r="BE27">
            <v>276.78352800000005</v>
          </cell>
          <cell r="BF27">
            <v>328.64658006207537</v>
          </cell>
          <cell r="BG27">
            <v>328.64658006207537</v>
          </cell>
          <cell r="BH27">
            <v>16000</v>
          </cell>
          <cell r="BI27">
            <v>72000</v>
          </cell>
          <cell r="BJ27">
            <v>3.7209302325581395</v>
          </cell>
          <cell r="BK27">
            <v>16.744186046511629</v>
          </cell>
          <cell r="BL27">
            <v>8.3333333333333329E-2</v>
          </cell>
          <cell r="BM27">
            <v>0.33</v>
          </cell>
          <cell r="BN27">
            <v>10.833333333333332</v>
          </cell>
          <cell r="BO27">
            <v>42.9</v>
          </cell>
          <cell r="BP27">
            <v>42.9</v>
          </cell>
          <cell r="BQ27">
            <v>371.54658006207535</v>
          </cell>
          <cell r="BR27">
            <v>28.431060000000002</v>
          </cell>
          <cell r="BS27">
            <v>10.833333333333332</v>
          </cell>
          <cell r="BT27">
            <v>39.264393333333331</v>
          </cell>
          <cell r="BU27">
            <v>3.7209302325581395</v>
          </cell>
          <cell r="BV27" t="str">
            <v>S-All-Lgt-Streetlight-All-All-U</v>
          </cell>
          <cell r="BW27" t="str">
            <v>R</v>
          </cell>
          <cell r="BX27">
            <v>0.99423123587061035</v>
          </cell>
          <cell r="BY27">
            <v>0.81539117789775128</v>
          </cell>
          <cell r="BZ27">
            <v>0.1798777301703417</v>
          </cell>
          <cell r="CA27">
            <v>0.8201222698296583</v>
          </cell>
          <cell r="CB27" t="str">
            <v>Exterior Lighting: Façade - HID 400W</v>
          </cell>
          <cell r="CC27" t="str">
            <v>HID 400W</v>
          </cell>
          <cell r="CD27" t="str">
            <v>Retro</v>
          </cell>
          <cell r="CE27" t="str">
            <v>BuildingFacade</v>
          </cell>
          <cell r="CF27" t="str">
            <v>HID</v>
          </cell>
          <cell r="CG27">
            <v>26.479843587764876</v>
          </cell>
          <cell r="CH27">
            <v>0.30927835051546387</v>
          </cell>
          <cell r="CI27">
            <v>8.1896423467314037</v>
          </cell>
          <cell r="CJ27">
            <v>6.7165080704944486</v>
          </cell>
          <cell r="CK27">
            <v>28.880984703126131</v>
          </cell>
          <cell r="CL27">
            <v>6.6777621196626242</v>
          </cell>
          <cell r="CM27">
            <v>0.23121656648153727</v>
          </cell>
          <cell r="CN27">
            <v>0.23121656648153732</v>
          </cell>
          <cell r="CO27">
            <v>1.7972880058664389E-2</v>
          </cell>
          <cell r="CP27">
            <v>1.7972880058664386E-2</v>
          </cell>
          <cell r="CQ27">
            <v>0.15640362659205004</v>
          </cell>
          <cell r="CR27">
            <v>1.7972880058664389E-2</v>
          </cell>
          <cell r="CS27">
            <v>1.7972880058664389E-2</v>
          </cell>
        </row>
        <row r="28">
          <cell r="AM28" t="str">
            <v>HID 150W-New</v>
          </cell>
          <cell r="AN28" t="str">
            <v>Exterior Lighting: Walkway</v>
          </cell>
          <cell r="AO28" t="str">
            <v>HID 150W</v>
          </cell>
          <cell r="AP28" t="str">
            <v>New</v>
          </cell>
          <cell r="AQ28" t="str">
            <v>Exterior Lighting: Walkway - HID 150W - New</v>
          </cell>
          <cell r="AR28" t="str">
            <v>HID 150W</v>
          </cell>
          <cell r="AS28" t="str">
            <v>LED 28W</v>
          </cell>
          <cell r="AT28" t="str">
            <v>Exterior Lighting: Walkway - HID 150W to LED 28W - New</v>
          </cell>
          <cell r="AU28">
            <v>4300</v>
          </cell>
          <cell r="AV28">
            <v>2911.8333333333335</v>
          </cell>
          <cell r="AW28">
            <v>178.25</v>
          </cell>
          <cell r="AX28">
            <v>27.581632653061224</v>
          </cell>
          <cell r="AY28">
            <v>0.84526433294215297</v>
          </cell>
          <cell r="AZ28">
            <v>766.47499999999991</v>
          </cell>
          <cell r="BA28">
            <v>118.60102040816327</v>
          </cell>
          <cell r="BB28">
            <v>647.87397959183659</v>
          </cell>
          <cell r="BC28">
            <v>30.999173333333335</v>
          </cell>
          <cell r="BD28" t="str">
            <v>N/A</v>
          </cell>
          <cell r="BE28">
            <v>178.58874399999999</v>
          </cell>
          <cell r="BF28">
            <v>185.259506250687</v>
          </cell>
          <cell r="BG28">
            <v>6.6707622506870052</v>
          </cell>
          <cell r="BH28">
            <v>24000</v>
          </cell>
          <cell r="BI28">
            <v>72000</v>
          </cell>
          <cell r="BJ28">
            <v>5.5813953488372094</v>
          </cell>
          <cell r="BK28">
            <v>16.744186046511629</v>
          </cell>
          <cell r="BL28">
            <v>8.3333333333333329E-2</v>
          </cell>
          <cell r="BM28">
            <v>0.25</v>
          </cell>
          <cell r="BN28">
            <v>8.3333333333333321</v>
          </cell>
          <cell r="BO28">
            <v>25</v>
          </cell>
          <cell r="BP28">
            <v>0</v>
          </cell>
          <cell r="BQ28">
            <v>6.6707622506870052</v>
          </cell>
          <cell r="BR28">
            <v>30.999173333333335</v>
          </cell>
          <cell r="BS28">
            <v>8.3333333333333321</v>
          </cell>
          <cell r="BT28">
            <v>39.332506666666667</v>
          </cell>
          <cell r="BU28">
            <v>5.5813953488372094</v>
          </cell>
          <cell r="BV28" t="str">
            <v>S-All-Lgt-Streetlight-All-All-U</v>
          </cell>
          <cell r="BW28" t="str">
            <v>L</v>
          </cell>
          <cell r="BX28">
            <v>4.4274470933414148E-2</v>
          </cell>
          <cell r="BY28">
            <v>3.742363113989905E-2</v>
          </cell>
          <cell r="BZ28">
            <v>0.15473566705784697</v>
          </cell>
          <cell r="CA28">
            <v>0.84526433294215297</v>
          </cell>
          <cell r="CB28" t="str">
            <v>Exterior Lighting: Walkway - HID 150W</v>
          </cell>
          <cell r="CC28" t="str">
            <v>HID 150W</v>
          </cell>
          <cell r="CD28" t="str">
            <v>New</v>
          </cell>
          <cell r="CE28" t="str">
            <v>Walkway/Area</v>
          </cell>
          <cell r="CF28" t="str">
            <v>HID</v>
          </cell>
          <cell r="CG28">
            <v>20.017342078658384</v>
          </cell>
          <cell r="CH28">
            <v>0.67010309278350511</v>
          </cell>
          <cell r="CI28">
            <v>13.413682836214379</v>
          </cell>
          <cell r="CJ28">
            <v>11.338107674850354</v>
          </cell>
          <cell r="CK28">
            <v>48.753863001856523</v>
          </cell>
          <cell r="CL28">
            <v>0.50198871869008188</v>
          </cell>
          <cell r="CM28">
            <v>1.0296388589166081E-2</v>
          </cell>
          <cell r="CN28">
            <v>1.0296388589166082E-2</v>
          </cell>
          <cell r="CO28">
            <v>7.5252077622521077E-2</v>
          </cell>
          <cell r="CP28">
            <v>7.5252077622521077E-2</v>
          </cell>
          <cell r="CQ28">
            <v>0.11823275637785145</v>
          </cell>
          <cell r="CR28">
            <v>7.5252077622521077E-2</v>
          </cell>
          <cell r="CS28">
            <v>7.5252077622521077E-2</v>
          </cell>
        </row>
        <row r="29">
          <cell r="AM29" t="str">
            <v>CFL 26W-New</v>
          </cell>
          <cell r="AN29" t="str">
            <v>Exterior Lighting: Walkway</v>
          </cell>
          <cell r="AO29" t="str">
            <v>CFL 26W</v>
          </cell>
          <cell r="AP29" t="str">
            <v>New</v>
          </cell>
          <cell r="AQ29" t="str">
            <v>Exterior Lighting: Walkway - CFL 26W - New</v>
          </cell>
          <cell r="AR29" t="str">
            <v>CFL 26W</v>
          </cell>
          <cell r="AS29" t="str">
            <v>LED 12W</v>
          </cell>
          <cell r="AT29" t="str">
            <v>Exterior Lighting: Walkway - CFL 26W to LED 12W - New</v>
          </cell>
          <cell r="AU29">
            <v>4300</v>
          </cell>
          <cell r="AV29">
            <v>1000</v>
          </cell>
          <cell r="AW29">
            <v>26</v>
          </cell>
          <cell r="AX29">
            <v>10.133333333333333</v>
          </cell>
          <cell r="AY29">
            <v>0.61025641025641031</v>
          </cell>
          <cell r="AZ29">
            <v>111.8</v>
          </cell>
          <cell r="BA29">
            <v>43.573333333333331</v>
          </cell>
          <cell r="BB29">
            <v>68.226666666666659</v>
          </cell>
          <cell r="BC29">
            <v>1.45017</v>
          </cell>
          <cell r="BD29">
            <v>5.4510599869194873</v>
          </cell>
          <cell r="BE29" t="str">
            <v>Fixture form factors vary widely; see comments at right.</v>
          </cell>
          <cell r="BG29">
            <v>4.0008899869194874</v>
          </cell>
          <cell r="BH29">
            <v>10000</v>
          </cell>
          <cell r="BI29">
            <v>28708</v>
          </cell>
          <cell r="BJ29">
            <v>2.3255813953488373</v>
          </cell>
          <cell r="BK29">
            <v>6.6762790697674417</v>
          </cell>
          <cell r="BL29">
            <v>8.3333333333333329E-2</v>
          </cell>
          <cell r="BM29">
            <v>0.25</v>
          </cell>
          <cell r="BN29">
            <v>8.3333333333333321</v>
          </cell>
          <cell r="BO29">
            <v>25</v>
          </cell>
          <cell r="BP29">
            <v>0</v>
          </cell>
          <cell r="BQ29">
            <v>4.0008899869194874</v>
          </cell>
          <cell r="BR29">
            <v>1.45017</v>
          </cell>
          <cell r="BS29">
            <v>8.3333333333333321</v>
          </cell>
          <cell r="BT29">
            <v>9.7835033333333321</v>
          </cell>
          <cell r="BU29">
            <v>2.3255813953488373</v>
          </cell>
          <cell r="BV29" t="str">
            <v>S-All-Lgt-Streetlight-All-All-U</v>
          </cell>
          <cell r="BW29" t="str">
            <v>L</v>
          </cell>
          <cell r="BX29">
            <v>0.2521569319487072</v>
          </cell>
          <cell r="BY29">
            <v>0.15388038411228797</v>
          </cell>
          <cell r="BZ29">
            <v>0.38974358974358975</v>
          </cell>
          <cell r="CA29">
            <v>0.61025641025641031</v>
          </cell>
          <cell r="CB29" t="str">
            <v>Exterior Lighting: Walkway - CFL 26W</v>
          </cell>
          <cell r="CC29" t="str">
            <v>CFL 26W</v>
          </cell>
          <cell r="CD29" t="str">
            <v>New</v>
          </cell>
          <cell r="CE29" t="str">
            <v>Walkway/Area</v>
          </cell>
          <cell r="CF29" t="str">
            <v>CFL</v>
          </cell>
          <cell r="CG29">
            <v>4.2717310139836036</v>
          </cell>
          <cell r="CH29">
            <v>0.20618556701030927</v>
          </cell>
          <cell r="CI29">
            <v>0.88076928123373266</v>
          </cell>
          <cell r="CJ29">
            <v>0.53749509982981636</v>
          </cell>
          <cell r="CK29">
            <v>2.3112289292682102</v>
          </cell>
          <cell r="CL29">
            <v>0.13553311531055059</v>
          </cell>
          <cell r="CM29">
            <v>5.8641146964815635E-2</v>
          </cell>
          <cell r="CN29">
            <v>5.8641146964815628E-2</v>
          </cell>
          <cell r="CO29">
            <v>3.3875741585912798E-2</v>
          </cell>
          <cell r="CP29">
            <v>3.3875741585912798E-2</v>
          </cell>
          <cell r="CQ29">
            <v>2.523104867286587E-2</v>
          </cell>
          <cell r="CR29">
            <v>3.3875741585912798E-2</v>
          </cell>
          <cell r="CS29">
            <v>3.3875741585912798E-2</v>
          </cell>
        </row>
        <row r="30">
          <cell r="AM30" t="str">
            <v>INC 75W-New</v>
          </cell>
          <cell r="AN30" t="str">
            <v>Exterior Lighting: Walkway</v>
          </cell>
          <cell r="AO30" t="str">
            <v>INC 75W</v>
          </cell>
          <cell r="AP30" t="str">
            <v>New</v>
          </cell>
          <cell r="AQ30" t="str">
            <v>Exterior Lighting: Walkway - INC 75W - New</v>
          </cell>
          <cell r="AR30" t="str">
            <v>INC 75W</v>
          </cell>
          <cell r="AS30" t="str">
            <v>LED 12W</v>
          </cell>
          <cell r="AT30" t="str">
            <v>Exterior Lighting: Walkway - INC 75W to LED 12W - New</v>
          </cell>
          <cell r="AU30">
            <v>4300</v>
          </cell>
          <cell r="AV30">
            <v>1000</v>
          </cell>
          <cell r="AW30">
            <v>75</v>
          </cell>
          <cell r="AX30">
            <v>10.133333333333333</v>
          </cell>
          <cell r="AY30">
            <v>0.86488888888888904</v>
          </cell>
          <cell r="AZ30">
            <v>322.5</v>
          </cell>
          <cell r="BA30">
            <v>43.573333333333331</v>
          </cell>
          <cell r="BB30">
            <v>278.92666666666668</v>
          </cell>
          <cell r="BC30">
            <v>0.67205999999999988</v>
          </cell>
          <cell r="BD30">
            <v>5.4510599869194873</v>
          </cell>
          <cell r="BG30">
            <v>4.7789999869194872</v>
          </cell>
          <cell r="BH30">
            <v>1000</v>
          </cell>
          <cell r="BI30">
            <v>28708</v>
          </cell>
          <cell r="BJ30">
            <v>0.23255813953488372</v>
          </cell>
          <cell r="BK30">
            <v>6.6762790697674417</v>
          </cell>
          <cell r="BL30">
            <v>8.3333333333333329E-2</v>
          </cell>
          <cell r="BM30">
            <v>0.25</v>
          </cell>
          <cell r="BN30">
            <v>8.3333333333333321</v>
          </cell>
          <cell r="BO30">
            <v>25</v>
          </cell>
          <cell r="BP30">
            <v>0</v>
          </cell>
          <cell r="BQ30">
            <v>4.7789999869194872</v>
          </cell>
          <cell r="BR30">
            <v>0.67205999999999988</v>
          </cell>
          <cell r="BS30">
            <v>8.3333333333333321</v>
          </cell>
          <cell r="BT30">
            <v>9.0053933333333323</v>
          </cell>
          <cell r="BU30">
            <v>0.23255813953488372</v>
          </cell>
          <cell r="BV30" t="str">
            <v>S-All-Lgt-Streetlight-All-All-U</v>
          </cell>
          <cell r="BW30" t="str">
            <v>L</v>
          </cell>
          <cell r="BX30">
            <v>7.367420329269507E-2</v>
          </cell>
          <cell r="BY30">
            <v>6.3719999825593163E-2</v>
          </cell>
          <cell r="BZ30">
            <v>0.1351111111111111</v>
          </cell>
          <cell r="CA30">
            <v>0.86488888888888904</v>
          </cell>
          <cell r="CB30" t="str">
            <v>Exterior Lighting: Walkway - INC 75W</v>
          </cell>
          <cell r="CC30" t="str">
            <v>INC 75W</v>
          </cell>
          <cell r="CD30" t="str">
            <v>New</v>
          </cell>
          <cell r="CE30" t="str">
            <v>Walkway/Area</v>
          </cell>
          <cell r="CF30" t="str">
            <v>Incandescent</v>
          </cell>
          <cell r="CG30">
            <v>3.7289401276903824</v>
          </cell>
          <cell r="CH30">
            <v>0.12371134020618556</v>
          </cell>
          <cell r="CI30">
            <v>0.46131218074520192</v>
          </cell>
          <cell r="CJ30">
            <v>0.39898377943562802</v>
          </cell>
          <cell r="CK30">
            <v>1.7156302515732005</v>
          </cell>
          <cell r="CL30">
            <v>2.9394812076628269E-2</v>
          </cell>
          <cell r="CM30">
            <v>1.7133535649463971E-2</v>
          </cell>
          <cell r="CN30">
            <v>1.7133535649463971E-2</v>
          </cell>
          <cell r="CO30">
            <v>6.150829076602693E-3</v>
          </cell>
          <cell r="CP30">
            <v>6.1508290766026921E-3</v>
          </cell>
          <cell r="CQ30">
            <v>2.2025045479682405E-2</v>
          </cell>
          <cell r="CR30">
            <v>6.150829076602693E-3</v>
          </cell>
          <cell r="CS30">
            <v>6.150829076602693E-3</v>
          </cell>
        </row>
        <row r="31">
          <cell r="AM31" t="str">
            <v>HID 150W-NR</v>
          </cell>
          <cell r="AN31" t="str">
            <v>Exterior Lighting: Walkway</v>
          </cell>
          <cell r="AO31" t="str">
            <v>HID 150W</v>
          </cell>
          <cell r="AP31" t="str">
            <v>NR</v>
          </cell>
          <cell r="AQ31" t="str">
            <v>Exterior Lighting: Walkway - HID 150W - NR</v>
          </cell>
          <cell r="AR31" t="str">
            <v>HID 150W</v>
          </cell>
          <cell r="AS31" t="str">
            <v>LED 29W</v>
          </cell>
          <cell r="AT31" t="str">
            <v>Exterior Lighting: Walkway - HID 150W to LED 29W - NR</v>
          </cell>
          <cell r="AU31">
            <v>4300</v>
          </cell>
          <cell r="AV31">
            <v>3355.916666666667</v>
          </cell>
          <cell r="AW31">
            <v>178.25</v>
          </cell>
          <cell r="AX31">
            <v>29.374149659863942</v>
          </cell>
          <cell r="AY31">
            <v>0.83520813655055293</v>
          </cell>
          <cell r="AZ31">
            <v>766.47499999999991</v>
          </cell>
          <cell r="BA31">
            <v>126.30884353741496</v>
          </cell>
          <cell r="BB31">
            <v>640.16615646258492</v>
          </cell>
          <cell r="BC31">
            <v>30.999173333333335</v>
          </cell>
          <cell r="BD31">
            <v>125.15165086401556</v>
          </cell>
          <cell r="BE31">
            <v>178.58874399999999</v>
          </cell>
          <cell r="BF31">
            <v>185.259506250687</v>
          </cell>
          <cell r="BG31">
            <v>154.26033291735365</v>
          </cell>
          <cell r="BH31">
            <v>24000</v>
          </cell>
          <cell r="BI31">
            <v>61000</v>
          </cell>
          <cell r="BJ31">
            <v>5.5813953488372094</v>
          </cell>
          <cell r="BK31">
            <v>14.186046511627907</v>
          </cell>
          <cell r="BL31">
            <v>8.3333333333333329E-2</v>
          </cell>
          <cell r="BM31">
            <v>0.25</v>
          </cell>
          <cell r="BN31">
            <v>8.3333333333333321</v>
          </cell>
          <cell r="BO31">
            <v>25</v>
          </cell>
          <cell r="BP31">
            <v>0</v>
          </cell>
          <cell r="BQ31">
            <v>154.26033291735365</v>
          </cell>
          <cell r="BR31">
            <v>30.999173333333335</v>
          </cell>
          <cell r="BS31">
            <v>8.3333333333333321</v>
          </cell>
          <cell r="BT31">
            <v>39.332506666666667</v>
          </cell>
          <cell r="BU31">
            <v>5.5813953488372094</v>
          </cell>
          <cell r="BV31" t="str">
            <v>S-All-Lgt-Streetlight-All-All-U</v>
          </cell>
          <cell r="BW31" t="str">
            <v>L</v>
          </cell>
          <cell r="BX31">
            <v>1.0361676025017872</v>
          </cell>
          <cell r="BY31">
            <v>0.86541561243957166</v>
          </cell>
          <cell r="BZ31">
            <v>0.16479186344944707</v>
          </cell>
          <cell r="CA31">
            <v>0.83520813655055293</v>
          </cell>
          <cell r="CB31" t="str">
            <v>Exterior Lighting: Walkway - HID 150W</v>
          </cell>
          <cell r="CC31" t="str">
            <v>HID 150W</v>
          </cell>
          <cell r="CD31" t="str">
            <v>NR</v>
          </cell>
          <cell r="CE31" t="str">
            <v>Walkway/Area</v>
          </cell>
          <cell r="CF31" t="str">
            <v>HID</v>
          </cell>
          <cell r="CG31">
            <v>20.017342078658384</v>
          </cell>
          <cell r="CH31">
            <v>0.67010309278350511</v>
          </cell>
          <cell r="CI31">
            <v>13.413682836214379</v>
          </cell>
          <cell r="CJ31">
            <v>11.203217045914748</v>
          </cell>
          <cell r="CK31">
            <v>48.173833297433418</v>
          </cell>
          <cell r="CL31">
            <v>11.608410546772639</v>
          </cell>
          <cell r="CM31">
            <v>0.24096920988413653</v>
          </cell>
          <cell r="CN31">
            <v>0.24096920988413659</v>
          </cell>
          <cell r="CO31">
            <v>7.5252077622521091E-2</v>
          </cell>
          <cell r="CP31">
            <v>7.5252077622521063E-2</v>
          </cell>
          <cell r="CQ31">
            <v>0.11823275637785145</v>
          </cell>
          <cell r="CR31">
            <v>7.5252077622521091E-2</v>
          </cell>
          <cell r="CS31">
            <v>7.5252077622521091E-2</v>
          </cell>
          <cell r="CT31">
            <v>0.17916666666666667</v>
          </cell>
          <cell r="CW31">
            <v>18.147676927115327</v>
          </cell>
        </row>
        <row r="32">
          <cell r="AM32" t="str">
            <v>CFL 26W-NR</v>
          </cell>
          <cell r="AN32" t="str">
            <v>Exterior Lighting: Walkway</v>
          </cell>
          <cell r="AO32" t="str">
            <v>CFL 26W</v>
          </cell>
          <cell r="AP32" t="str">
            <v>NR</v>
          </cell>
          <cell r="AQ32" t="str">
            <v>Exterior Lighting: Walkway - CFL 26W - NR</v>
          </cell>
          <cell r="AR32" t="str">
            <v>CFL 26W</v>
          </cell>
          <cell r="AS32" t="str">
            <v>LED 12W</v>
          </cell>
          <cell r="AT32" t="str">
            <v>Exterior Lighting: Walkway - CFL 26W to LED 12W - NR</v>
          </cell>
          <cell r="AU32">
            <v>4300</v>
          </cell>
          <cell r="AV32">
            <v>1000</v>
          </cell>
          <cell r="AW32">
            <v>26</v>
          </cell>
          <cell r="AX32">
            <v>10.133333333333333</v>
          </cell>
          <cell r="AY32">
            <v>0.61025641025641031</v>
          </cell>
          <cell r="AZ32">
            <v>111.8</v>
          </cell>
          <cell r="BA32">
            <v>43.573333333333331</v>
          </cell>
          <cell r="BB32">
            <v>68.226666666666659</v>
          </cell>
          <cell r="BC32">
            <v>1.45017</v>
          </cell>
          <cell r="BD32">
            <v>5.4510599869194873</v>
          </cell>
          <cell r="BE32" t="str">
            <v>Fixture form factors vary widely; see comments at right.</v>
          </cell>
          <cell r="BG32">
            <v>4.0008899869194874</v>
          </cell>
          <cell r="BH32">
            <v>10000</v>
          </cell>
          <cell r="BI32">
            <v>28708</v>
          </cell>
          <cell r="BJ32">
            <v>2.3255813953488373</v>
          </cell>
          <cell r="BK32">
            <v>6.6762790697674417</v>
          </cell>
          <cell r="BL32">
            <v>8.3333333333333329E-2</v>
          </cell>
          <cell r="BM32">
            <v>0.25</v>
          </cell>
          <cell r="BN32">
            <v>8.3333333333333321</v>
          </cell>
          <cell r="BO32">
            <v>25</v>
          </cell>
          <cell r="BP32">
            <v>0</v>
          </cell>
          <cell r="BQ32">
            <v>4.0008899869194874</v>
          </cell>
          <cell r="BR32">
            <v>1.45017</v>
          </cell>
          <cell r="BS32">
            <v>8.3333333333333321</v>
          </cell>
          <cell r="BT32">
            <v>9.7835033333333321</v>
          </cell>
          <cell r="BU32">
            <v>2.3255813953488373</v>
          </cell>
          <cell r="BV32" t="str">
            <v>S-All-Lgt-Streetlight-All-All-U</v>
          </cell>
          <cell r="BW32" t="str">
            <v>L</v>
          </cell>
          <cell r="BX32">
            <v>0.2521569319487072</v>
          </cell>
          <cell r="BY32">
            <v>0.15388038411228797</v>
          </cell>
          <cell r="BZ32">
            <v>0.38974358974358975</v>
          </cell>
          <cell r="CA32">
            <v>0.61025641025641031</v>
          </cell>
          <cell r="CB32" t="str">
            <v>Exterior Lighting: Walkway - CFL 26W</v>
          </cell>
          <cell r="CC32" t="str">
            <v>CFL 26W</v>
          </cell>
          <cell r="CD32" t="str">
            <v>NR</v>
          </cell>
          <cell r="CE32" t="str">
            <v>Walkway/Area</v>
          </cell>
          <cell r="CF32" t="str">
            <v>CFL</v>
          </cell>
          <cell r="CG32">
            <v>4.2717310139836036</v>
          </cell>
          <cell r="CH32">
            <v>0.20618556701030927</v>
          </cell>
          <cell r="CI32">
            <v>0.88076928123373266</v>
          </cell>
          <cell r="CJ32">
            <v>0.53749509982981636</v>
          </cell>
          <cell r="CK32">
            <v>2.3112289292682102</v>
          </cell>
          <cell r="CL32">
            <v>0.13553311531055059</v>
          </cell>
          <cell r="CM32">
            <v>5.8641146964815635E-2</v>
          </cell>
          <cell r="CN32">
            <v>5.8641146964815628E-2</v>
          </cell>
          <cell r="CO32">
            <v>3.3875741585912798E-2</v>
          </cell>
          <cell r="CP32">
            <v>3.3875741585912798E-2</v>
          </cell>
          <cell r="CQ32">
            <v>2.523104867286587E-2</v>
          </cell>
          <cell r="CR32">
            <v>3.3875741585912798E-2</v>
          </cell>
          <cell r="CS32">
            <v>3.3875741585912798E-2</v>
          </cell>
          <cell r="CT32">
            <v>0.17916666666666667</v>
          </cell>
          <cell r="CW32">
            <v>0.87066843225857238</v>
          </cell>
        </row>
        <row r="33">
          <cell r="AM33" t="str">
            <v>INC 75W-NR</v>
          </cell>
          <cell r="AN33" t="str">
            <v>Exterior Lighting: Walkway</v>
          </cell>
          <cell r="AO33" t="str">
            <v>INC 75W</v>
          </cell>
          <cell r="AP33" t="str">
            <v>NR</v>
          </cell>
          <cell r="AQ33" t="str">
            <v>Exterior Lighting: Walkway - INC 75W - NR</v>
          </cell>
          <cell r="AR33" t="str">
            <v>INC 75W</v>
          </cell>
          <cell r="AS33" t="str">
            <v>LED 12W</v>
          </cell>
          <cell r="AT33" t="str">
            <v>Exterior Lighting: Walkway - INC 75W to LED 12W - NR</v>
          </cell>
          <cell r="AU33">
            <v>4300</v>
          </cell>
          <cell r="AV33">
            <v>1000</v>
          </cell>
          <cell r="AW33">
            <v>75</v>
          </cell>
          <cell r="AX33">
            <v>10.133333333333333</v>
          </cell>
          <cell r="AY33">
            <v>0.86488888888888904</v>
          </cell>
          <cell r="AZ33">
            <v>322.5</v>
          </cell>
          <cell r="BA33">
            <v>43.573333333333331</v>
          </cell>
          <cell r="BB33">
            <v>278.92666666666668</v>
          </cell>
          <cell r="BC33">
            <v>0.67205999999999988</v>
          </cell>
          <cell r="BD33">
            <v>5.4510599869194873</v>
          </cell>
          <cell r="BG33">
            <v>4.7789999869194872</v>
          </cell>
          <cell r="BH33">
            <v>1000</v>
          </cell>
          <cell r="BI33">
            <v>28708</v>
          </cell>
          <cell r="BJ33">
            <v>0.23255813953488372</v>
          </cell>
          <cell r="BK33">
            <v>6.6762790697674417</v>
          </cell>
          <cell r="BL33">
            <v>8.3333333333333329E-2</v>
          </cell>
          <cell r="BM33">
            <v>0.25</v>
          </cell>
          <cell r="BN33">
            <v>8.3333333333333321</v>
          </cell>
          <cell r="BO33">
            <v>25</v>
          </cell>
          <cell r="BP33">
            <v>0</v>
          </cell>
          <cell r="BQ33">
            <v>4.7789999869194872</v>
          </cell>
          <cell r="BR33">
            <v>0.67205999999999988</v>
          </cell>
          <cell r="BS33">
            <v>8.3333333333333321</v>
          </cell>
          <cell r="BT33">
            <v>9.0053933333333323</v>
          </cell>
          <cell r="BU33">
            <v>0.23255813953488372</v>
          </cell>
          <cell r="BV33" t="str">
            <v>S-All-Lgt-Streetlight-All-All-U</v>
          </cell>
          <cell r="BW33" t="str">
            <v>L</v>
          </cell>
          <cell r="BX33">
            <v>7.367420329269507E-2</v>
          </cell>
          <cell r="BY33">
            <v>6.3719999825593163E-2</v>
          </cell>
          <cell r="BZ33">
            <v>0.1351111111111111</v>
          </cell>
          <cell r="CA33">
            <v>0.86488888888888904</v>
          </cell>
          <cell r="CB33" t="str">
            <v>Exterior Lighting: Walkway - INC 75W</v>
          </cell>
          <cell r="CC33" t="str">
            <v>INC 75W</v>
          </cell>
          <cell r="CD33" t="str">
            <v>NR</v>
          </cell>
          <cell r="CE33" t="str">
            <v>Walkway/Area</v>
          </cell>
          <cell r="CF33" t="str">
            <v>Incandescent</v>
          </cell>
          <cell r="CG33">
            <v>3.7289401276903824</v>
          </cell>
          <cell r="CH33">
            <v>0.12371134020618556</v>
          </cell>
          <cell r="CI33">
            <v>0.46131218074520192</v>
          </cell>
          <cell r="CJ33">
            <v>0.39898377943562802</v>
          </cell>
          <cell r="CK33">
            <v>1.7156302515732005</v>
          </cell>
          <cell r="CL33">
            <v>2.9394812076628269E-2</v>
          </cell>
          <cell r="CM33">
            <v>1.7133535649463971E-2</v>
          </cell>
          <cell r="CN33">
            <v>1.7133535649463971E-2</v>
          </cell>
          <cell r="CO33">
            <v>6.150829076602693E-3</v>
          </cell>
          <cell r="CP33">
            <v>6.1508290766026921E-3</v>
          </cell>
          <cell r="CQ33">
            <v>2.2025045479682405E-2</v>
          </cell>
          <cell r="CR33">
            <v>6.150829076602693E-3</v>
          </cell>
          <cell r="CS33">
            <v>6.150829076602693E-3</v>
          </cell>
          <cell r="CT33">
            <v>1</v>
          </cell>
          <cell r="CW33">
            <v>0.64629906737346599</v>
          </cell>
        </row>
        <row r="34">
          <cell r="AM34" t="str">
            <v>HID 150W-Retro</v>
          </cell>
          <cell r="AN34" t="str">
            <v>Exterior Lighting: Walkway</v>
          </cell>
          <cell r="AO34" t="str">
            <v>HID 150W</v>
          </cell>
          <cell r="AP34" t="str">
            <v>Retro</v>
          </cell>
          <cell r="AQ34" t="str">
            <v>Exterior Lighting: Walkway - HID 150W - Retro</v>
          </cell>
          <cell r="AR34" t="str">
            <v>HID 150W</v>
          </cell>
          <cell r="AS34" t="str">
            <v>LED 29W</v>
          </cell>
          <cell r="AT34" t="str">
            <v>Exterior Lighting: Walkway - HID 150W to LED 29W - Retro</v>
          </cell>
          <cell r="AU34">
            <v>4300</v>
          </cell>
          <cell r="AV34">
            <v>3355.916666666667</v>
          </cell>
          <cell r="AW34">
            <v>178.25</v>
          </cell>
          <cell r="AX34">
            <v>29.374149659863942</v>
          </cell>
          <cell r="AY34">
            <v>0.83520813655055293</v>
          </cell>
          <cell r="AZ34">
            <v>766.47499999999991</v>
          </cell>
          <cell r="BA34">
            <v>126.30884353741496</v>
          </cell>
          <cell r="BB34">
            <v>640.16615646258492</v>
          </cell>
          <cell r="BC34">
            <v>30.999173333333335</v>
          </cell>
          <cell r="BD34">
            <v>125.15165086401556</v>
          </cell>
          <cell r="BE34">
            <v>178.58874399999999</v>
          </cell>
          <cell r="BF34">
            <v>185.259506250687</v>
          </cell>
          <cell r="BG34">
            <v>185.259506250687</v>
          </cell>
          <cell r="BH34">
            <v>24000</v>
          </cell>
          <cell r="BI34">
            <v>61000</v>
          </cell>
          <cell r="BJ34">
            <v>5.5813953488372094</v>
          </cell>
          <cell r="BK34">
            <v>14.186046511627907</v>
          </cell>
          <cell r="BL34">
            <v>8.3333333333333329E-2</v>
          </cell>
          <cell r="BM34">
            <v>0.25</v>
          </cell>
          <cell r="BN34">
            <v>8.3333333333333321</v>
          </cell>
          <cell r="BO34">
            <v>25</v>
          </cell>
          <cell r="BP34">
            <v>25</v>
          </cell>
          <cell r="BQ34">
            <v>210.259506250687</v>
          </cell>
          <cell r="BR34">
            <v>30.999173333333335</v>
          </cell>
          <cell r="BS34">
            <v>8.3333333333333321</v>
          </cell>
          <cell r="BT34">
            <v>39.332506666666667</v>
          </cell>
          <cell r="BU34">
            <v>5.5813953488372094</v>
          </cell>
          <cell r="BV34" t="str">
            <v>S-All-Lgt-Streetlight-All-All-U</v>
          </cell>
          <cell r="BW34" t="str">
            <v>R</v>
          </cell>
          <cell r="BX34">
            <v>1.4123143933036013</v>
          </cell>
          <cell r="BY34">
            <v>1.1795764726546254</v>
          </cell>
          <cell r="BZ34">
            <v>0.16479186344944707</v>
          </cell>
          <cell r="CA34">
            <v>0.83520813655055293</v>
          </cell>
          <cell r="CB34" t="str">
            <v>Exterior Lighting: Walkway - HID 150W</v>
          </cell>
          <cell r="CC34" t="str">
            <v>HID 150W</v>
          </cell>
          <cell r="CD34" t="str">
            <v>Retro</v>
          </cell>
          <cell r="CE34" t="str">
            <v>Walkway/Area</v>
          </cell>
          <cell r="CF34" t="str">
            <v>HID</v>
          </cell>
          <cell r="CG34">
            <v>20.017342078658384</v>
          </cell>
          <cell r="CH34">
            <v>0.67010309278350511</v>
          </cell>
          <cell r="CI34">
            <v>13.413682836214379</v>
          </cell>
          <cell r="CJ34">
            <v>11.203217045914748</v>
          </cell>
          <cell r="CK34">
            <v>48.173833297433418</v>
          </cell>
          <cell r="CL34">
            <v>15.822464685249653</v>
          </cell>
          <cell r="CM34">
            <v>0.32844520774502356</v>
          </cell>
          <cell r="CN34">
            <v>0.32844520774502362</v>
          </cell>
          <cell r="CO34">
            <v>7.5252077622521091E-2</v>
          </cell>
          <cell r="CP34">
            <v>7.5252077622521077E-2</v>
          </cell>
          <cell r="CQ34">
            <v>0.11823275637785145</v>
          </cell>
          <cell r="CR34">
            <v>7.5252077622521091E-2</v>
          </cell>
          <cell r="CS34">
            <v>7.5252077622521091E-2</v>
          </cell>
        </row>
        <row r="35">
          <cell r="AM35" t="str">
            <v>CFL 26W-Retro</v>
          </cell>
          <cell r="AN35" t="str">
            <v>Exterior Lighting: Walkway</v>
          </cell>
          <cell r="AO35" t="str">
            <v>CFL 26W</v>
          </cell>
          <cell r="AP35" t="str">
            <v>Retro</v>
          </cell>
          <cell r="AQ35" t="str">
            <v>Exterior Lighting: Walkway - CFL 26W - Retro</v>
          </cell>
          <cell r="AR35" t="str">
            <v>CFL 26W</v>
          </cell>
          <cell r="AS35" t="str">
            <v>LED 12W</v>
          </cell>
          <cell r="AT35" t="str">
            <v>Exterior Lighting: Walkway - CFL 26W to LED 12W - Retro</v>
          </cell>
          <cell r="AU35">
            <v>4300</v>
          </cell>
          <cell r="AV35">
            <v>1000</v>
          </cell>
          <cell r="AW35">
            <v>26</v>
          </cell>
          <cell r="AX35">
            <v>10.133333333333333</v>
          </cell>
          <cell r="AY35">
            <v>0.61025641025641031</v>
          </cell>
          <cell r="AZ35">
            <v>111.8</v>
          </cell>
          <cell r="BA35">
            <v>43.573333333333331</v>
          </cell>
          <cell r="BB35">
            <v>68.226666666666659</v>
          </cell>
          <cell r="BC35">
            <v>1.45017</v>
          </cell>
          <cell r="BD35">
            <v>5.4510599869194873</v>
          </cell>
          <cell r="BE35" t="str">
            <v>Fixture form factors vary widely; see comments at right.</v>
          </cell>
          <cell r="BG35">
            <v>5.4510599869194873</v>
          </cell>
          <cell r="BH35">
            <v>10000</v>
          </cell>
          <cell r="BI35">
            <v>28708</v>
          </cell>
          <cell r="BJ35">
            <v>2.3255813953488373</v>
          </cell>
          <cell r="BK35">
            <v>6.6762790697674417</v>
          </cell>
          <cell r="BL35">
            <v>8.3333333333333329E-2</v>
          </cell>
          <cell r="BM35">
            <v>0.25</v>
          </cell>
          <cell r="BN35">
            <v>8.3333333333333321</v>
          </cell>
          <cell r="BO35">
            <v>25</v>
          </cell>
          <cell r="BP35">
            <v>25</v>
          </cell>
          <cell r="BQ35">
            <v>30.451059986919489</v>
          </cell>
          <cell r="BR35">
            <v>1.45017</v>
          </cell>
          <cell r="BS35">
            <v>8.3333333333333321</v>
          </cell>
          <cell r="BT35">
            <v>9.7835033333333321</v>
          </cell>
          <cell r="BU35">
            <v>2.3255813953488373</v>
          </cell>
          <cell r="BV35" t="str">
            <v>S-All-Lgt-Streetlight-All-All-U</v>
          </cell>
          <cell r="BW35" t="str">
            <v>R</v>
          </cell>
          <cell r="BX35">
            <v>1.9191844529571107</v>
          </cell>
          <cell r="BY35">
            <v>1.1711946148815189</v>
          </cell>
          <cell r="BZ35">
            <v>0.38974358974358975</v>
          </cell>
          <cell r="CA35">
            <v>0.61025641025641031</v>
          </cell>
          <cell r="CB35" t="str">
            <v>Exterior Lighting: Walkway - CFL 26W</v>
          </cell>
          <cell r="CC35" t="str">
            <v>CFL 26W</v>
          </cell>
          <cell r="CD35" t="str">
            <v>Retro</v>
          </cell>
          <cell r="CE35" t="str">
            <v>Walkway/Area</v>
          </cell>
          <cell r="CF35" t="str">
            <v>CFL</v>
          </cell>
          <cell r="CG35">
            <v>4.2717310139836036</v>
          </cell>
          <cell r="CH35">
            <v>0.20618556701030927</v>
          </cell>
          <cell r="CI35">
            <v>0.88076928123373266</v>
          </cell>
          <cell r="CJ35">
            <v>0.53749509982981636</v>
          </cell>
          <cell r="CK35">
            <v>2.3112289292682102</v>
          </cell>
          <cell r="CL35">
            <v>1.0315522391340137</v>
          </cell>
          <cell r="CM35">
            <v>0.44632196580397926</v>
          </cell>
          <cell r="CN35">
            <v>0.44632196580397926</v>
          </cell>
          <cell r="CO35">
            <v>3.3875741585912798E-2</v>
          </cell>
          <cell r="CP35">
            <v>3.3875741585912798E-2</v>
          </cell>
          <cell r="CQ35">
            <v>2.523104867286587E-2</v>
          </cell>
          <cell r="CR35">
            <v>3.3875741585912798E-2</v>
          </cell>
          <cell r="CS35">
            <v>3.3875741585912798E-2</v>
          </cell>
        </row>
        <row r="36">
          <cell r="AM36" t="str">
            <v>INC 75W-Retro</v>
          </cell>
          <cell r="AN36" t="str">
            <v>Exterior Lighting: Walkway</v>
          </cell>
          <cell r="AO36" t="str">
            <v>INC 75W</v>
          </cell>
          <cell r="AP36" t="str">
            <v>Retro</v>
          </cell>
          <cell r="AQ36" t="str">
            <v>Exterior Lighting: Walkway - INC 75W - Retro</v>
          </cell>
          <cell r="AR36" t="str">
            <v>INC 75W</v>
          </cell>
          <cell r="AS36" t="str">
            <v>LED 12W</v>
          </cell>
          <cell r="AT36" t="str">
            <v>Exterior Lighting: Walkway - INC 75W to LED 12W - Retro</v>
          </cell>
          <cell r="AU36">
            <v>4300</v>
          </cell>
          <cell r="AV36">
            <v>1000</v>
          </cell>
          <cell r="AW36">
            <v>75</v>
          </cell>
          <cell r="AX36">
            <v>10.133333333333333</v>
          </cell>
          <cell r="AY36">
            <v>0.86488888888888904</v>
          </cell>
          <cell r="AZ36">
            <v>322.5</v>
          </cell>
          <cell r="BA36">
            <v>43.573333333333331</v>
          </cell>
          <cell r="BB36">
            <v>278.92666666666668</v>
          </cell>
          <cell r="BC36">
            <v>0.67205999999999988</v>
          </cell>
          <cell r="BD36">
            <v>5.4510599869194873</v>
          </cell>
          <cell r="BG36">
            <v>5.4510599869194873</v>
          </cell>
          <cell r="BH36">
            <v>1000</v>
          </cell>
          <cell r="BI36">
            <v>28708</v>
          </cell>
          <cell r="BJ36">
            <v>0.23255813953488372</v>
          </cell>
          <cell r="BK36">
            <v>6.6762790697674417</v>
          </cell>
          <cell r="BL36">
            <v>8.3333333333333329E-2</v>
          </cell>
          <cell r="BM36">
            <v>0.25</v>
          </cell>
          <cell r="BN36">
            <v>8.3333333333333321</v>
          </cell>
          <cell r="BO36">
            <v>25</v>
          </cell>
          <cell r="BP36">
            <v>25</v>
          </cell>
          <cell r="BQ36">
            <v>30.451059986919489</v>
          </cell>
          <cell r="BR36">
            <v>0.67205999999999988</v>
          </cell>
          <cell r="BS36">
            <v>8.3333333333333321</v>
          </cell>
          <cell r="BT36">
            <v>9.0053933333333323</v>
          </cell>
          <cell r="BU36">
            <v>0.23255813953488372</v>
          </cell>
          <cell r="BV36" t="str">
            <v>S-All-Lgt-Streetlight-All-All-U</v>
          </cell>
          <cell r="BW36" t="str">
            <v>R</v>
          </cell>
          <cell r="BX36">
            <v>0.46944080144274641</v>
          </cell>
          <cell r="BY36">
            <v>0.40601413315892654</v>
          </cell>
          <cell r="BZ36">
            <v>0.1351111111111111</v>
          </cell>
          <cell r="CA36">
            <v>0.86488888888888904</v>
          </cell>
          <cell r="CB36" t="str">
            <v>Exterior Lighting: Walkway - INC 75W</v>
          </cell>
          <cell r="CC36" t="str">
            <v>INC 75W</v>
          </cell>
          <cell r="CD36" t="str">
            <v>Retro</v>
          </cell>
          <cell r="CE36" t="str">
            <v>Walkway/Area</v>
          </cell>
          <cell r="CF36" t="str">
            <v>Incandescent</v>
          </cell>
          <cell r="CG36">
            <v>3.7289401276903824</v>
          </cell>
          <cell r="CH36">
            <v>0.12371134020618556</v>
          </cell>
          <cell r="CI36">
            <v>0.46131218074520192</v>
          </cell>
          <cell r="CJ36">
            <v>0.39898377943562802</v>
          </cell>
          <cell r="CK36">
            <v>1.7156302515732005</v>
          </cell>
          <cell r="CL36">
            <v>0.18729926518091719</v>
          </cell>
          <cell r="CM36">
            <v>0.10917227940528987</v>
          </cell>
          <cell r="CN36">
            <v>0.10917227940528988</v>
          </cell>
          <cell r="CO36">
            <v>6.150829076602693E-3</v>
          </cell>
          <cell r="CP36">
            <v>6.1508290766026921E-3</v>
          </cell>
          <cell r="CQ36">
            <v>2.2025045479682405E-2</v>
          </cell>
          <cell r="CR36">
            <v>6.150829076602693E-3</v>
          </cell>
          <cell r="CS36">
            <v>6.150829076602693E-3</v>
          </cell>
        </row>
      </sheetData>
      <sheetData sheetId="14">
        <row r="10">
          <cell r="A10" t="str">
            <v>HPS 250WParkingLot</v>
          </cell>
          <cell r="B10" t="str">
            <v>Pole Mount</v>
          </cell>
          <cell r="C10" t="str">
            <v>HID</v>
          </cell>
          <cell r="D10">
            <v>250</v>
          </cell>
          <cell r="E10">
            <v>1.5</v>
          </cell>
          <cell r="F10">
            <v>0.33</v>
          </cell>
          <cell r="G10">
            <v>0.7</v>
          </cell>
          <cell r="H10">
            <v>0.77</v>
          </cell>
          <cell r="I10">
            <v>0.7142857142857143</v>
          </cell>
        </row>
        <row r="11">
          <cell r="A11" t="str">
            <v>MH 400WParkingLot</v>
          </cell>
          <cell r="B11" t="str">
            <v>Pole Mount</v>
          </cell>
          <cell r="C11" t="str">
            <v>HID</v>
          </cell>
          <cell r="D11">
            <v>400</v>
          </cell>
          <cell r="E11">
            <v>1.5</v>
          </cell>
          <cell r="F11">
            <v>0.24</v>
          </cell>
          <cell r="G11">
            <v>0.25</v>
          </cell>
          <cell r="H11">
            <v>0.2</v>
          </cell>
          <cell r="I11">
            <v>0.25510204081632654</v>
          </cell>
        </row>
        <row r="12">
          <cell r="A12" t="str">
            <v>MH 1000WParkingLot</v>
          </cell>
          <cell r="B12" t="str">
            <v>Pole Mount</v>
          </cell>
          <cell r="C12" t="str">
            <v>HID</v>
          </cell>
          <cell r="D12">
            <v>1000</v>
          </cell>
          <cell r="E12">
            <v>3.5</v>
          </cell>
          <cell r="F12">
            <v>0.45</v>
          </cell>
          <cell r="G12">
            <v>0.03</v>
          </cell>
          <cell r="H12">
            <v>0.03</v>
          </cell>
          <cell r="I12">
            <v>3.0612244897959183E-2</v>
          </cell>
        </row>
        <row r="13">
          <cell r="B13" t="str">
            <v>Pole Mount</v>
          </cell>
          <cell r="C13" t="str">
            <v>LED</v>
          </cell>
          <cell r="G13">
            <v>0.02</v>
          </cell>
        </row>
        <row r="17">
          <cell r="B17" t="str">
            <v>Façade</v>
          </cell>
        </row>
        <row r="18">
          <cell r="B18" t="str">
            <v>Fixture Type</v>
          </cell>
          <cell r="C18" t="str">
            <v>Lamp Type</v>
          </cell>
          <cell r="D18" t="str">
            <v>Lamp Watts</v>
          </cell>
          <cell r="E18" t="str">
            <v>Lamps per Fixture</v>
          </cell>
          <cell r="F18" t="str">
            <v>Fixtures per KSF Indoor Space</v>
          </cell>
          <cell r="G18" t="str">
            <v>Fraction of Watts</v>
          </cell>
          <cell r="H18" t="str">
            <v>Fraction of Fixtures</v>
          </cell>
          <cell r="I18" t="str">
            <v>Fraction Watts Non-LED</v>
          </cell>
        </row>
        <row r="19">
          <cell r="A19" t="str">
            <v>HID 150WBuildingFacade</v>
          </cell>
          <cell r="B19" t="str">
            <v>Wall Pack</v>
          </cell>
          <cell r="C19" t="str">
            <v>HID</v>
          </cell>
          <cell r="D19">
            <v>150</v>
          </cell>
          <cell r="E19">
            <v>1</v>
          </cell>
          <cell r="F19">
            <v>0.4</v>
          </cell>
          <cell r="G19">
            <v>0.68</v>
          </cell>
          <cell r="I19">
            <v>0.69387755102040827</v>
          </cell>
        </row>
        <row r="20">
          <cell r="A20" t="str">
            <v>HID 400WBuildingFacade</v>
          </cell>
          <cell r="B20" t="str">
            <v>Wall Pack</v>
          </cell>
          <cell r="C20" t="str">
            <v>HID</v>
          </cell>
          <cell r="D20">
            <v>400</v>
          </cell>
          <cell r="E20">
            <v>1</v>
          </cell>
          <cell r="F20">
            <v>0.3</v>
          </cell>
          <cell r="G20">
            <v>0.3</v>
          </cell>
          <cell r="I20">
            <v>0.30927835051546387</v>
          </cell>
        </row>
        <row r="21">
          <cell r="C21" t="str">
            <v>LED</v>
          </cell>
          <cell r="G21">
            <v>0.02</v>
          </cell>
        </row>
        <row r="25">
          <cell r="B25" t="str">
            <v>Walkway</v>
          </cell>
        </row>
        <row r="26">
          <cell r="B26" t="str">
            <v>Fixture Type</v>
          </cell>
          <cell r="C26" t="str">
            <v>Lamp Type</v>
          </cell>
          <cell r="D26" t="str">
            <v>Lamp Watts</v>
          </cell>
          <cell r="E26" t="str">
            <v>Lamps per Fixture</v>
          </cell>
          <cell r="F26" t="str">
            <v>Fixtures per KSF Indoor Space</v>
          </cell>
          <cell r="G26" t="str">
            <v>Fraction of Watts</v>
          </cell>
          <cell r="H26" t="str">
            <v>Fraction of Fixtures</v>
          </cell>
          <cell r="I26" t="str">
            <v>Fraction Watts Non-LED</v>
          </cell>
        </row>
        <row r="27">
          <cell r="A27" t="str">
            <v>HID 150WWalkway/Area</v>
          </cell>
          <cell r="B27" t="str">
            <v>Various</v>
          </cell>
          <cell r="C27" t="str">
            <v>HID</v>
          </cell>
          <cell r="D27">
            <v>150</v>
          </cell>
          <cell r="E27">
            <v>1</v>
          </cell>
          <cell r="F27">
            <v>0.5</v>
          </cell>
          <cell r="G27">
            <v>0.65</v>
          </cell>
          <cell r="I27">
            <v>0.67010309278350511</v>
          </cell>
        </row>
        <row r="28">
          <cell r="A28" t="str">
            <v>CFL 26WWalkway/Area</v>
          </cell>
          <cell r="B28" t="str">
            <v>Various</v>
          </cell>
          <cell r="C28" t="str">
            <v>CFL</v>
          </cell>
          <cell r="D28">
            <v>26</v>
          </cell>
          <cell r="E28">
            <v>1</v>
          </cell>
          <cell r="F28">
            <v>0.5</v>
          </cell>
          <cell r="G28">
            <v>0.2</v>
          </cell>
          <cell r="I28">
            <v>0.20618556701030927</v>
          </cell>
        </row>
        <row r="29">
          <cell r="A29" t="str">
            <v>INC 75WWalkway/Area</v>
          </cell>
          <cell r="B29" t="str">
            <v>Various</v>
          </cell>
          <cell r="C29" t="str">
            <v>INC</v>
          </cell>
          <cell r="D29">
            <v>75</v>
          </cell>
          <cell r="E29">
            <v>1</v>
          </cell>
          <cell r="F29">
            <v>0.5</v>
          </cell>
          <cell r="G29">
            <v>0.12</v>
          </cell>
          <cell r="I29">
            <v>0.12371134020618556</v>
          </cell>
        </row>
        <row r="30">
          <cell r="C30" t="str">
            <v>LED</v>
          </cell>
          <cell r="G30">
            <v>0.03</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LOG"/>
      <sheetName val="Forecast Switchboard"/>
      <sheetName val="Lists&amp;Tables"/>
      <sheetName val="Res Forecast (Low)"/>
      <sheetName val="Res Forecast (Base Case)"/>
      <sheetName val="Res Forecast (High)"/>
      <sheetName val="Com Forecast (Low)"/>
      <sheetName val="Com Forecast (Base Case)"/>
      <sheetName val="Com Forecast (High)"/>
      <sheetName val="Ind Forecast (Low)"/>
      <sheetName val="Ind Forecast (Base Case)"/>
      <sheetName val="Ind Forecast (High)"/>
      <sheetName val="Ag Forecast (Low)"/>
      <sheetName val="Ag Forecast (Base Case)"/>
      <sheetName val="Ag Forecast (High)"/>
      <sheetName val="Pop Forecast (High)"/>
      <sheetName val="Pop Forecast (Base Case)"/>
      <sheetName val="Pop Forecast (Low)"/>
      <sheetName val="DEI (Base Case)"/>
      <sheetName val="Dairy Forecast (Base Case)"/>
      <sheetName val="Dairy Forecast (Low)"/>
      <sheetName val="Dairy Forecast (High)"/>
      <sheetName val="EV Forecast (Base Case)"/>
      <sheetName val="EV Forecast (Low)"/>
      <sheetName val="EV Forecast (High)"/>
      <sheetName val="Region Load (Base Case)"/>
      <sheetName val="Region Load (High)"/>
      <sheetName val="Region Load (Low)"/>
      <sheetName val="DataCenter Forecast (Base Case)"/>
      <sheetName val="DataCenter Forecast (High)"/>
      <sheetName val="DataCenter Forecast (Low)"/>
    </sheetNames>
    <definedNames>
      <definedName name="rng_ForecastColumnLookup" refersTo="='Forecast Switchboard'!$H$20:$AE$20"/>
      <definedName name="rng_ForecastRowLookup" refersTo="='Forecast Switchboard'!$G$21:$G$501"/>
      <definedName name="switch_ForecastScenario" refersTo="='Forecast Switchboard'!$H$3"/>
      <definedName name="switch_ForecastState" refersTo="='Forecast Switchboard'!$H$4"/>
      <definedName name="tbl_Forecast" refersTo="='Forecast Switchboard'!$H$21:$AE$501"/>
    </definedNames>
    <sheetDataSet>
      <sheetData sheetId="0"/>
      <sheetData sheetId="1">
        <row r="3">
          <cell r="H3" t="str">
            <v>Base</v>
          </cell>
        </row>
        <row r="4">
          <cell r="H4" t="str">
            <v>Region</v>
          </cell>
        </row>
        <row r="20">
          <cell r="H20" t="str">
            <v>Sector</v>
          </cell>
          <cell r="I20" t="str">
            <v>Building/Industry Type</v>
          </cell>
          <cell r="J20" t="str">
            <v>Vintage / Subcategory</v>
          </cell>
          <cell r="K20" t="str">
            <v>Forecast Units</v>
          </cell>
          <cell r="L20">
            <v>2016</v>
          </cell>
          <cell r="M20">
            <v>2017</v>
          </cell>
          <cell r="N20">
            <v>2018</v>
          </cell>
          <cell r="O20">
            <v>2019</v>
          </cell>
          <cell r="P20">
            <v>2020</v>
          </cell>
          <cell r="Q20">
            <v>2021</v>
          </cell>
          <cell r="R20">
            <v>2022</v>
          </cell>
          <cell r="S20">
            <v>2023</v>
          </cell>
          <cell r="T20">
            <v>2024</v>
          </cell>
          <cell r="U20">
            <v>2025</v>
          </cell>
          <cell r="V20">
            <v>2026</v>
          </cell>
          <cell r="W20">
            <v>2027</v>
          </cell>
          <cell r="X20">
            <v>2028</v>
          </cell>
          <cell r="Y20">
            <v>2029</v>
          </cell>
          <cell r="Z20">
            <v>2030</v>
          </cell>
          <cell r="AA20">
            <v>2031</v>
          </cell>
          <cell r="AB20">
            <v>2032</v>
          </cell>
          <cell r="AC20">
            <v>2033</v>
          </cell>
          <cell r="AD20">
            <v>2034</v>
          </cell>
          <cell r="AE20">
            <v>2035</v>
          </cell>
        </row>
        <row r="21">
          <cell r="G21" t="str">
            <v>RegionSingle FamilyNew</v>
          </cell>
          <cell r="H21" t="str">
            <v>Res</v>
          </cell>
          <cell r="I21" t="str">
            <v>Single Family</v>
          </cell>
          <cell r="J21" t="str">
            <v>New</v>
          </cell>
          <cell r="K21" t="str">
            <v>Buildings</v>
          </cell>
          <cell r="L21">
            <v>62685.758999999998</v>
          </cell>
          <cell r="M21">
            <v>59961.781000000003</v>
          </cell>
          <cell r="N21">
            <v>56834.012000000002</v>
          </cell>
          <cell r="O21">
            <v>54985.192999999999</v>
          </cell>
          <cell r="P21">
            <v>53507.474000000002</v>
          </cell>
          <cell r="Q21">
            <v>50982.05</v>
          </cell>
          <cell r="R21">
            <v>49561.669000000002</v>
          </cell>
          <cell r="S21">
            <v>49324.517999999996</v>
          </cell>
          <cell r="T21">
            <v>48815.77</v>
          </cell>
          <cell r="U21">
            <v>49683.252</v>
          </cell>
          <cell r="V21">
            <v>50030.137000000002</v>
          </cell>
          <cell r="W21">
            <v>49387.762999999999</v>
          </cell>
          <cell r="X21">
            <v>48079.345999999998</v>
          </cell>
          <cell r="Y21">
            <v>48129.050999999999</v>
          </cell>
          <cell r="Z21">
            <v>48690.569000000003</v>
          </cell>
          <cell r="AA21">
            <v>48482.864000000001</v>
          </cell>
          <cell r="AB21">
            <v>46879.000999999997</v>
          </cell>
          <cell r="AC21">
            <v>46798.777999999998</v>
          </cell>
          <cell r="AD21">
            <v>46917.627</v>
          </cell>
          <cell r="AE21">
            <v>47236.144999999997</v>
          </cell>
        </row>
        <row r="22">
          <cell r="G22" t="str">
            <v>RegionMultifamily - Low RiseNew</v>
          </cell>
          <cell r="H22" t="str">
            <v>Res</v>
          </cell>
          <cell r="I22" t="str">
            <v>Multifamily - Low Rise</v>
          </cell>
          <cell r="J22" t="str">
            <v>New</v>
          </cell>
          <cell r="K22" t="str">
            <v>Buildings</v>
          </cell>
          <cell r="L22">
            <v>23280.347100904564</v>
          </cell>
          <cell r="M22">
            <v>23017.418106038647</v>
          </cell>
          <cell r="N22">
            <v>22811.60852767331</v>
          </cell>
          <cell r="O22">
            <v>22085.916378202593</v>
          </cell>
          <cell r="P22">
            <v>20817.853908138593</v>
          </cell>
          <cell r="Q22">
            <v>20070.279329962508</v>
          </cell>
          <cell r="R22">
            <v>19887.831284331631</v>
          </cell>
          <cell r="S22">
            <v>20257.583209811291</v>
          </cell>
          <cell r="T22">
            <v>20750.368029493613</v>
          </cell>
          <cell r="U22">
            <v>21314.334279744231</v>
          </cell>
          <cell r="V22">
            <v>21403.286239774712</v>
          </cell>
          <cell r="W22">
            <v>21409.137516518917</v>
          </cell>
          <cell r="X22">
            <v>21443.358292282628</v>
          </cell>
          <cell r="Y22">
            <v>21209.865626522758</v>
          </cell>
          <cell r="Z22">
            <v>20954.17798283829</v>
          </cell>
          <cell r="AA22">
            <v>20525.44023202754</v>
          </cell>
          <cell r="AB22">
            <v>20175.505597554071</v>
          </cell>
          <cell r="AC22">
            <v>19919.723927484571</v>
          </cell>
          <cell r="AD22">
            <v>19536.194066416414</v>
          </cell>
          <cell r="AE22">
            <v>19462.287131015248</v>
          </cell>
        </row>
        <row r="23">
          <cell r="G23" t="str">
            <v>RegionMultifamily - High RiseNew</v>
          </cell>
          <cell r="H23" t="str">
            <v>Res</v>
          </cell>
          <cell r="I23" t="str">
            <v>Multifamily - High Rise</v>
          </cell>
          <cell r="J23" t="str">
            <v>New</v>
          </cell>
          <cell r="K23" t="str">
            <v>Buildings</v>
          </cell>
          <cell r="L23">
            <v>5226.2387411561367</v>
          </cell>
          <cell r="M23">
            <v>5239.95312759432</v>
          </cell>
          <cell r="N23">
            <v>5271.2612760989568</v>
          </cell>
          <cell r="O23">
            <v>4985.883552972361</v>
          </cell>
          <cell r="P23">
            <v>4608.5912035798974</v>
          </cell>
          <cell r="Q23">
            <v>4509.6375960361838</v>
          </cell>
          <cell r="R23">
            <v>4481.760351096189</v>
          </cell>
          <cell r="S23">
            <v>4621.8312800578688</v>
          </cell>
          <cell r="T23">
            <v>4700.9782942419988</v>
          </cell>
          <cell r="U23">
            <v>4828.2391631488581</v>
          </cell>
          <cell r="V23">
            <v>4790.0249139778334</v>
          </cell>
          <cell r="W23">
            <v>4782.0649962402858</v>
          </cell>
          <cell r="X23">
            <v>4748.3908346265653</v>
          </cell>
          <cell r="Y23">
            <v>4733.4823682495089</v>
          </cell>
          <cell r="Z23">
            <v>4698.697177079107</v>
          </cell>
          <cell r="AA23">
            <v>4599.2987885998937</v>
          </cell>
          <cell r="AB23">
            <v>4526.3104216428001</v>
          </cell>
          <cell r="AC23">
            <v>4422.0600452822764</v>
          </cell>
          <cell r="AD23">
            <v>4405.182362066379</v>
          </cell>
          <cell r="AE23">
            <v>4385.1136986120664</v>
          </cell>
        </row>
        <row r="24">
          <cell r="G24" t="str">
            <v>RegionManufacturedNew</v>
          </cell>
          <cell r="H24" t="str">
            <v>Res</v>
          </cell>
          <cell r="I24" t="str">
            <v>Manufactured</v>
          </cell>
          <cell r="J24" t="str">
            <v>New</v>
          </cell>
          <cell r="K24" t="str">
            <v>Buildings</v>
          </cell>
          <cell r="L24">
            <v>1869.5754050925925</v>
          </cell>
          <cell r="M24">
            <v>1881.796305941358</v>
          </cell>
          <cell r="N24">
            <v>1949.1340235982509</v>
          </cell>
          <cell r="O24">
            <v>2021.1963608646258</v>
          </cell>
          <cell r="P24">
            <v>1959.5061710087307</v>
          </cell>
          <cell r="Q24">
            <v>1928.5764356212967</v>
          </cell>
          <cell r="R24">
            <v>1934.9641170211423</v>
          </cell>
          <cell r="S24">
            <v>1945.862235675901</v>
          </cell>
          <cell r="T24">
            <v>1956.539890631658</v>
          </cell>
          <cell r="U24">
            <v>1957.7742018038925</v>
          </cell>
          <cell r="V24">
            <v>1947.2038419604366</v>
          </cell>
          <cell r="W24">
            <v>1945.153453785721</v>
          </cell>
          <cell r="X24">
            <v>1947.9162901464586</v>
          </cell>
          <cell r="Y24">
            <v>1950.0749856673444</v>
          </cell>
          <cell r="Z24">
            <v>1950.7771106659191</v>
          </cell>
          <cell r="AA24">
            <v>1949.8166473382953</v>
          </cell>
          <cell r="AB24">
            <v>1948.4903882606959</v>
          </cell>
          <cell r="AC24">
            <v>1948.7048126440727</v>
          </cell>
          <cell r="AD24">
            <v>1949.296705787131</v>
          </cell>
          <cell r="AE24">
            <v>1949.5267750605763</v>
          </cell>
        </row>
        <row r="25">
          <cell r="G25" t="str">
            <v>RegionSingle FamilyExisting</v>
          </cell>
          <cell r="H25" t="str">
            <v>Res</v>
          </cell>
          <cell r="I25" t="str">
            <v>Single Family</v>
          </cell>
          <cell r="J25" t="str">
            <v>Existing</v>
          </cell>
          <cell r="K25" t="str">
            <v>Buildings</v>
          </cell>
          <cell r="L25">
            <v>4203528.2719999999</v>
          </cell>
          <cell r="M25">
            <v>4193982.9785983553</v>
          </cell>
          <cell r="N25">
            <v>4184459.3604704877</v>
          </cell>
          <cell r="O25">
            <v>4174957.36839659</v>
          </cell>
          <cell r="P25">
            <v>4165476.9532686244</v>
          </cell>
          <cell r="Q25">
            <v>4156018.0660900641</v>
          </cell>
          <cell r="R25">
            <v>4146580.6579756448</v>
          </cell>
          <cell r="S25">
            <v>4137164.6801511091</v>
          </cell>
          <cell r="T25">
            <v>4127770.0839529554</v>
          </cell>
          <cell r="U25">
            <v>4118396.8208281873</v>
          </cell>
          <cell r="V25">
            <v>4109044.8423340586</v>
          </cell>
          <cell r="W25">
            <v>4099714.1001378288</v>
          </cell>
          <cell r="X25">
            <v>4090404.5460165106</v>
          </cell>
          <cell r="Y25">
            <v>4081116.1318566194</v>
          </cell>
          <cell r="Z25">
            <v>4071848.8096539262</v>
          </cell>
          <cell r="AA25">
            <v>4062602.5315132081</v>
          </cell>
          <cell r="AB25">
            <v>4053377.2496480034</v>
          </cell>
          <cell r="AC25">
            <v>4044172.9163803621</v>
          </cell>
          <cell r="AD25">
            <v>4034989.4841406001</v>
          </cell>
          <cell r="AE25">
            <v>4025826.9054670548</v>
          </cell>
        </row>
        <row r="26">
          <cell r="G26" t="str">
            <v>RegionMultifamily - Low RiseExisting</v>
          </cell>
          <cell r="H26" t="str">
            <v>Res</v>
          </cell>
          <cell r="I26" t="str">
            <v>Multifamily - Low Rise</v>
          </cell>
          <cell r="J26" t="str">
            <v>Existing</v>
          </cell>
          <cell r="K26" t="str">
            <v>Buildings</v>
          </cell>
          <cell r="L26">
            <v>926243.25609262148</v>
          </cell>
          <cell r="M26">
            <v>924139.92640956037</v>
          </cell>
          <cell r="N26">
            <v>922041.3730050053</v>
          </cell>
          <cell r="O26">
            <v>919947.58503289847</v>
          </cell>
          <cell r="P26">
            <v>917858.55167181045</v>
          </cell>
          <cell r="Q26">
            <v>915774.26212488639</v>
          </cell>
          <cell r="R26">
            <v>913694.70561978838</v>
          </cell>
          <cell r="S26">
            <v>911619.87140864041</v>
          </cell>
          <cell r="T26">
            <v>909549.74876797362</v>
          </cell>
          <cell r="U26">
            <v>907484.32699866977</v>
          </cell>
          <cell r="V26">
            <v>905423.59542590659</v>
          </cell>
          <cell r="W26">
            <v>903367.54339910217</v>
          </cell>
          <cell r="X26">
            <v>901316.16029185988</v>
          </cell>
          <cell r="Y26">
            <v>899269.43550191447</v>
          </cell>
          <cell r="Z26">
            <v>897227.35845107585</v>
          </cell>
          <cell r="AA26">
            <v>895189.9185851753</v>
          </cell>
          <cell r="AB26">
            <v>893157.10537401051</v>
          </cell>
          <cell r="AC26">
            <v>891128.90831129183</v>
          </cell>
          <cell r="AD26">
            <v>889105.31691458682</v>
          </cell>
          <cell r="AE26">
            <v>887086.32072526717</v>
          </cell>
        </row>
        <row r="27">
          <cell r="G27" t="str">
            <v>RegionMultifamily - High RiseExisting</v>
          </cell>
          <cell r="H27" t="str">
            <v>Res</v>
          </cell>
          <cell r="I27" t="str">
            <v>Multifamily - High Rise</v>
          </cell>
          <cell r="J27" t="str">
            <v>Existing</v>
          </cell>
          <cell r="K27" t="str">
            <v>Buildings</v>
          </cell>
          <cell r="L27">
            <v>211180.07985625503</v>
          </cell>
          <cell r="M27">
            <v>210700.52836963299</v>
          </cell>
          <cell r="N27">
            <v>210222.06585706791</v>
          </cell>
          <cell r="O27">
            <v>209744.68984569819</v>
          </cell>
          <cell r="P27">
            <v>209268.39786827751</v>
          </cell>
          <cell r="Q27">
            <v>208793.18746316229</v>
          </cell>
          <cell r="R27">
            <v>208319.05617429892</v>
          </cell>
          <cell r="S27">
            <v>207846.00155121088</v>
          </cell>
          <cell r="T27">
            <v>207374.0211489865</v>
          </cell>
          <cell r="U27">
            <v>206903.11252826577</v>
          </cell>
          <cell r="V27">
            <v>206433.27325522827</v>
          </cell>
          <cell r="W27">
            <v>205964.50090158021</v>
          </cell>
          <cell r="X27">
            <v>205496.79304454199</v>
          </cell>
          <cell r="Y27">
            <v>205030.14726683579</v>
          </cell>
          <cell r="Z27">
            <v>204564.56115667295</v>
          </cell>
          <cell r="AA27">
            <v>204100.03230774152</v>
          </cell>
          <cell r="AB27">
            <v>203636.55831919383</v>
          </cell>
          <cell r="AC27">
            <v>203174.13679563423</v>
          </cell>
          <cell r="AD27">
            <v>202712.76534710638</v>
          </cell>
          <cell r="AE27">
            <v>202252.44158908122</v>
          </cell>
        </row>
        <row r="28">
          <cell r="G28" t="str">
            <v>RegionManufacturedExisting</v>
          </cell>
          <cell r="H28" t="str">
            <v>Res</v>
          </cell>
          <cell r="I28" t="str">
            <v>Manufactured</v>
          </cell>
          <cell r="J28" t="str">
            <v>Existing</v>
          </cell>
          <cell r="K28" t="str">
            <v>Buildings</v>
          </cell>
          <cell r="L28">
            <v>572006.3278356482</v>
          </cell>
          <cell r="M28">
            <v>565893.30394507048</v>
          </cell>
          <cell r="N28">
            <v>559845.60985814757</v>
          </cell>
          <cell r="O28">
            <v>553862.54739615123</v>
          </cell>
          <cell r="P28">
            <v>547943.42584177968</v>
          </cell>
          <cell r="Q28">
            <v>542087.56185941794</v>
          </cell>
          <cell r="R28">
            <v>536294.27941624937</v>
          </cell>
          <cell r="S28">
            <v>530562.90970421082</v>
          </cell>
          <cell r="T28">
            <v>524892.79106278194</v>
          </cell>
          <cell r="U28">
            <v>519283.26890259917</v>
          </cell>
          <cell r="V28">
            <v>513733.69562988722</v>
          </cell>
          <cell r="W28">
            <v>508243.4305716962</v>
          </cell>
          <cell r="X28">
            <v>502811.8399019395</v>
          </cell>
          <cell r="Y28">
            <v>497438.2965682213</v>
          </cell>
          <cell r="Z28">
            <v>492122.18021944637</v>
          </cell>
          <cell r="AA28">
            <v>486862.87713420321</v>
          </cell>
          <cell r="AB28">
            <v>481659.78014991269</v>
          </cell>
          <cell r="AC28">
            <v>476512.28859273402</v>
          </cell>
          <cell r="AD28">
            <v>471419.80820821953</v>
          </cell>
          <cell r="AE28">
            <v>466381.75109271082</v>
          </cell>
        </row>
        <row r="29">
          <cell r="G29" t="str">
            <v>RegionLarge OffNew</v>
          </cell>
          <cell r="H29" t="str">
            <v>Com</v>
          </cell>
          <cell r="I29" t="str">
            <v>Large Off</v>
          </cell>
          <cell r="J29" t="str">
            <v>New</v>
          </cell>
          <cell r="K29" t="str">
            <v>Millions SqFt</v>
          </cell>
          <cell r="L29">
            <v>7.8066550111953834</v>
          </cell>
          <cell r="M29">
            <v>5.9496992573140863</v>
          </cell>
          <cell r="N29">
            <v>5.890903545908837</v>
          </cell>
          <cell r="O29">
            <v>6.8915688291332424</v>
          </cell>
          <cell r="P29">
            <v>6.6410191533148355</v>
          </cell>
          <cell r="Q29">
            <v>5.4382226791221893</v>
          </cell>
          <cell r="R29">
            <v>6.9236851515846078</v>
          </cell>
          <cell r="S29">
            <v>6.040566884985755</v>
          </cell>
          <cell r="T29">
            <v>5.8620040343764588</v>
          </cell>
          <cell r="U29">
            <v>6.6048352977963205</v>
          </cell>
          <cell r="V29">
            <v>6.6081856774849808</v>
          </cell>
          <cell r="W29">
            <v>7.2276230030590352</v>
          </cell>
          <cell r="X29">
            <v>7.9321378463678132</v>
          </cell>
          <cell r="Y29">
            <v>7.2590370336019197</v>
          </cell>
          <cell r="Z29">
            <v>7.9122271387396417</v>
          </cell>
          <cell r="AA29">
            <v>7.7623340380974311</v>
          </cell>
          <cell r="AB29">
            <v>7.6402299023279152</v>
          </cell>
          <cell r="AC29">
            <v>7.1724831299946894</v>
          </cell>
          <cell r="AD29">
            <v>7.0810470955732994</v>
          </cell>
          <cell r="AE29">
            <v>7.4281005850341701</v>
          </cell>
        </row>
        <row r="30">
          <cell r="G30" t="str">
            <v>RegionMedium OffNew</v>
          </cell>
          <cell r="H30" t="str">
            <v>Com</v>
          </cell>
          <cell r="I30" t="str">
            <v>Medium Off</v>
          </cell>
          <cell r="J30" t="str">
            <v>New</v>
          </cell>
          <cell r="K30" t="str">
            <v>Millions SqFt</v>
          </cell>
          <cell r="L30">
            <v>6.3306892326899415</v>
          </cell>
          <cell r="M30">
            <v>4.6245517962703104</v>
          </cell>
          <cell r="N30">
            <v>4.6954401235311058</v>
          </cell>
          <cell r="O30">
            <v>5.5561738496820645</v>
          </cell>
          <cell r="P30">
            <v>5.2903315868283292</v>
          </cell>
          <cell r="Q30">
            <v>4.0954748538564614</v>
          </cell>
          <cell r="R30">
            <v>5.6166455086822502</v>
          </cell>
          <cell r="S30">
            <v>4.8928421056079552</v>
          </cell>
          <cell r="T30">
            <v>4.6489885594062974</v>
          </cell>
          <cell r="U30">
            <v>5.3600762751998365</v>
          </cell>
          <cell r="V30">
            <v>5.3451061612370649</v>
          </cell>
          <cell r="W30">
            <v>5.7169042762389006</v>
          </cell>
          <cell r="X30">
            <v>6.1644080859749115</v>
          </cell>
          <cell r="Y30">
            <v>5.8003829082546376</v>
          </cell>
          <cell r="Z30">
            <v>6.4331999103991837</v>
          </cell>
          <cell r="AA30">
            <v>6.1077443299386847</v>
          </cell>
          <cell r="AB30">
            <v>6.3133258324543373</v>
          </cell>
          <cell r="AC30">
            <v>5.5403053352108875</v>
          </cell>
          <cell r="AD30">
            <v>5.5266028757425794</v>
          </cell>
          <cell r="AE30">
            <v>5.9833355534459063</v>
          </cell>
        </row>
        <row r="31">
          <cell r="G31" t="str">
            <v>RegionSmall OffNew</v>
          </cell>
          <cell r="H31" t="str">
            <v>Com</v>
          </cell>
          <cell r="I31" t="str">
            <v>Small Off</v>
          </cell>
          <cell r="J31" t="str">
            <v>New</v>
          </cell>
          <cell r="K31" t="str">
            <v>Millions SqFt</v>
          </cell>
          <cell r="L31">
            <v>1.6621196768024407</v>
          </cell>
          <cell r="M31">
            <v>1.2170657423442173</v>
          </cell>
          <cell r="N31">
            <v>1.2444333527444498</v>
          </cell>
          <cell r="O31">
            <v>1.4586094503549032</v>
          </cell>
          <cell r="P31">
            <v>1.4004070058555529</v>
          </cell>
          <cell r="Q31">
            <v>1.0787722980410579</v>
          </cell>
          <cell r="R31">
            <v>1.4747976167420549</v>
          </cell>
          <cell r="S31">
            <v>1.2896357804774434</v>
          </cell>
          <cell r="T31">
            <v>1.2239291307589197</v>
          </cell>
          <cell r="U31">
            <v>1.4012443744673324</v>
          </cell>
          <cell r="V31">
            <v>1.3991315932028052</v>
          </cell>
          <cell r="W31">
            <v>1.4996248899933684</v>
          </cell>
          <cell r="X31">
            <v>1.6197763904689295</v>
          </cell>
          <cell r="Y31">
            <v>1.5187400891362097</v>
          </cell>
          <cell r="Z31">
            <v>1.6890757136254622</v>
          </cell>
          <cell r="AA31">
            <v>1.5972356158259797</v>
          </cell>
          <cell r="AB31">
            <v>1.640465747141107</v>
          </cell>
          <cell r="AC31">
            <v>1.4565955217811706</v>
          </cell>
          <cell r="AD31">
            <v>1.4531741906643101</v>
          </cell>
          <cell r="AE31">
            <v>1.5648660344158036</v>
          </cell>
        </row>
        <row r="32">
          <cell r="G32" t="str">
            <v>RegionXLarge RetNew</v>
          </cell>
          <cell r="H32" t="str">
            <v>Com</v>
          </cell>
          <cell r="I32" t="str">
            <v>XLarge Ret</v>
          </cell>
          <cell r="J32" t="str">
            <v>New</v>
          </cell>
          <cell r="K32" t="str">
            <v>Millions SqFt</v>
          </cell>
          <cell r="L32">
            <v>1.799418169017593</v>
          </cell>
          <cell r="M32">
            <v>1.485755176968429</v>
          </cell>
          <cell r="N32">
            <v>0.89794362681754358</v>
          </cell>
          <cell r="O32">
            <v>0.91201694404352718</v>
          </cell>
          <cell r="P32">
            <v>0.85125423267540556</v>
          </cell>
          <cell r="Q32">
            <v>0.73204497427617965</v>
          </cell>
          <cell r="R32">
            <v>0.73428349109996394</v>
          </cell>
          <cell r="S32">
            <v>0.71341173425108251</v>
          </cell>
          <cell r="T32">
            <v>0.89455902577447755</v>
          </cell>
          <cell r="U32">
            <v>1.032083805968905</v>
          </cell>
          <cell r="V32">
            <v>1.0963398187475875</v>
          </cell>
          <cell r="W32">
            <v>1.617287860192538</v>
          </cell>
          <cell r="X32">
            <v>1.8239074921539626</v>
          </cell>
          <cell r="Y32">
            <v>1.6267354909009817</v>
          </cell>
          <cell r="Z32">
            <v>1.5970323938843554</v>
          </cell>
          <cell r="AA32">
            <v>1.5393396581386409</v>
          </cell>
          <cell r="AB32">
            <v>1.2960530677092543</v>
          </cell>
          <cell r="AC32">
            <v>1.3176455108269955</v>
          </cell>
          <cell r="AD32">
            <v>1.2469979474733393</v>
          </cell>
          <cell r="AE32">
            <v>1.3540449607593745</v>
          </cell>
        </row>
        <row r="33">
          <cell r="G33" t="str">
            <v>RegionLarge RetNew</v>
          </cell>
          <cell r="H33" t="str">
            <v>Com</v>
          </cell>
          <cell r="I33" t="str">
            <v>Large Ret</v>
          </cell>
          <cell r="J33" t="str">
            <v>New</v>
          </cell>
          <cell r="K33" t="str">
            <v>Millions SqFt</v>
          </cell>
          <cell r="L33">
            <v>0.71960427219664069</v>
          </cell>
          <cell r="M33">
            <v>0.59647847099566831</v>
          </cell>
          <cell r="N33">
            <v>0.36611838042447359</v>
          </cell>
          <cell r="O33">
            <v>0.3731768350638246</v>
          </cell>
          <cell r="P33">
            <v>0.34504559304633386</v>
          </cell>
          <cell r="Q33">
            <v>0.2928623587115301</v>
          </cell>
          <cell r="R33">
            <v>0.29376294298921468</v>
          </cell>
          <cell r="S33">
            <v>0.28416308329236456</v>
          </cell>
          <cell r="T33">
            <v>0.36455471421578001</v>
          </cell>
          <cell r="U33">
            <v>0.42646627810709853</v>
          </cell>
          <cell r="V33">
            <v>0.44956380488737768</v>
          </cell>
          <cell r="W33">
            <v>0.65213839834683018</v>
          </cell>
          <cell r="X33">
            <v>0.73353807331773047</v>
          </cell>
          <cell r="Y33">
            <v>0.65560780242911365</v>
          </cell>
          <cell r="Z33">
            <v>0.64604928436358278</v>
          </cell>
          <cell r="AA33">
            <v>0.62178261445398098</v>
          </cell>
          <cell r="AB33">
            <v>0.52554853465709617</v>
          </cell>
          <cell r="AC33">
            <v>0.53266253778165396</v>
          </cell>
          <cell r="AD33">
            <v>0.50454130308386236</v>
          </cell>
          <cell r="AE33">
            <v>0.54553111610891503</v>
          </cell>
        </row>
        <row r="34">
          <cell r="G34" t="str">
            <v>RegionMedium RetNew</v>
          </cell>
          <cell r="H34" t="str">
            <v>Com</v>
          </cell>
          <cell r="I34" t="str">
            <v>Medium Ret</v>
          </cell>
          <cell r="J34" t="str">
            <v>New</v>
          </cell>
          <cell r="K34" t="str">
            <v>Millions SqFt</v>
          </cell>
          <cell r="L34">
            <v>2.7275899469990224</v>
          </cell>
          <cell r="M34">
            <v>2.2451802625726844</v>
          </cell>
          <cell r="N34">
            <v>1.3846551620328988</v>
          </cell>
          <cell r="O34">
            <v>1.414332931216091</v>
          </cell>
          <cell r="P34">
            <v>1.3048976182463843</v>
          </cell>
          <cell r="Q34">
            <v>1.1035456427042536</v>
          </cell>
          <cell r="R34">
            <v>1.0932193385059683</v>
          </cell>
          <cell r="S34">
            <v>1.0602010304011045</v>
          </cell>
          <cell r="T34">
            <v>1.3687417218066935</v>
          </cell>
          <cell r="U34">
            <v>1.6102119957699914</v>
          </cell>
          <cell r="V34">
            <v>1.7014476793012303</v>
          </cell>
          <cell r="W34">
            <v>2.4475448442766612</v>
          </cell>
          <cell r="X34">
            <v>2.7642584104961641</v>
          </cell>
          <cell r="Y34">
            <v>2.4645092385842489</v>
          </cell>
          <cell r="Z34">
            <v>2.435211674558635</v>
          </cell>
          <cell r="AA34">
            <v>2.3436666024455817</v>
          </cell>
          <cell r="AB34">
            <v>1.9970991421399598</v>
          </cell>
          <cell r="AC34">
            <v>2.0220850932468024</v>
          </cell>
          <cell r="AD34">
            <v>1.9074632582746243</v>
          </cell>
          <cell r="AE34">
            <v>2.0633846520749657</v>
          </cell>
        </row>
        <row r="35">
          <cell r="G35" t="str">
            <v>RegionSmall RetNew</v>
          </cell>
          <cell r="H35" t="str">
            <v>Com</v>
          </cell>
          <cell r="I35" t="str">
            <v>Small Ret</v>
          </cell>
          <cell r="J35" t="str">
            <v>New</v>
          </cell>
          <cell r="K35" t="str">
            <v>Millions SqFt</v>
          </cell>
          <cell r="L35">
            <v>0.86249938561661099</v>
          </cell>
          <cell r="M35">
            <v>0.71243811393533818</v>
          </cell>
          <cell r="N35">
            <v>0.43988135050703958</v>
          </cell>
          <cell r="O35">
            <v>0.44879648252082133</v>
          </cell>
          <cell r="P35">
            <v>0.41374173801952452</v>
          </cell>
          <cell r="Q35">
            <v>0.34301620014224921</v>
          </cell>
          <cell r="R35">
            <v>0.33946657261656726</v>
          </cell>
          <cell r="S35">
            <v>0.32965754978673117</v>
          </cell>
          <cell r="T35">
            <v>0.43689232903555525</v>
          </cell>
          <cell r="U35">
            <v>0.51886957722704219</v>
          </cell>
          <cell r="V35">
            <v>0.54817313334918127</v>
          </cell>
          <cell r="W35">
            <v>0.77969532117377649</v>
          </cell>
          <cell r="X35">
            <v>0.87858644381951334</v>
          </cell>
          <cell r="Y35">
            <v>0.78420074698109388</v>
          </cell>
          <cell r="Z35">
            <v>0.77728841592354081</v>
          </cell>
          <cell r="AA35">
            <v>0.74886674252534069</v>
          </cell>
          <cell r="AB35">
            <v>0.63964179951326661</v>
          </cell>
          <cell r="AC35">
            <v>0.64714740319049269</v>
          </cell>
          <cell r="AD35">
            <v>0.61166389038687663</v>
          </cell>
          <cell r="AE35">
            <v>0.66242443593788758</v>
          </cell>
        </row>
        <row r="36">
          <cell r="G36" t="str">
            <v>RegionSchool K-12New</v>
          </cell>
          <cell r="H36" t="str">
            <v>Com</v>
          </cell>
          <cell r="I36" t="str">
            <v>School K-12</v>
          </cell>
          <cell r="J36" t="str">
            <v>New</v>
          </cell>
          <cell r="K36" t="str">
            <v>Millions SqFt</v>
          </cell>
          <cell r="L36">
            <v>0.49337113702797691</v>
          </cell>
          <cell r="M36">
            <v>1.1029723159217257</v>
          </cell>
          <cell r="N36">
            <v>0.94992456965043459</v>
          </cell>
          <cell r="O36">
            <v>0.71720701164062661</v>
          </cell>
          <cell r="P36">
            <v>0.7442281187428561</v>
          </cell>
          <cell r="Q36">
            <v>0.85140099810585501</v>
          </cell>
          <cell r="R36">
            <v>0.99139466996200198</v>
          </cell>
          <cell r="S36">
            <v>1.5014629353162949</v>
          </cell>
          <cell r="T36">
            <v>1.8697826256608596</v>
          </cell>
          <cell r="U36">
            <v>1.6452707482432332</v>
          </cell>
          <cell r="V36">
            <v>1.6753181172445872</v>
          </cell>
          <cell r="W36">
            <v>1.7943041099264481</v>
          </cell>
          <cell r="X36">
            <v>1.8624299937819393</v>
          </cell>
          <cell r="Y36">
            <v>1.7489264522150836</v>
          </cell>
          <cell r="Z36">
            <v>1.7975598556031414</v>
          </cell>
          <cell r="AA36">
            <v>1.6195220459723754</v>
          </cell>
          <cell r="AB36">
            <v>1.8221433074925411</v>
          </cell>
          <cell r="AC36">
            <v>1.6336676691608698</v>
          </cell>
          <cell r="AD36">
            <v>1.7826242149357872</v>
          </cell>
          <cell r="AE36">
            <v>1.6891002859244486</v>
          </cell>
        </row>
        <row r="37">
          <cell r="G37" t="str">
            <v>RegionUniversityNew</v>
          </cell>
          <cell r="H37" t="str">
            <v>Com</v>
          </cell>
          <cell r="I37" t="str">
            <v>University</v>
          </cell>
          <cell r="J37" t="str">
            <v>New</v>
          </cell>
          <cell r="K37" t="str">
            <v>Millions SqFt</v>
          </cell>
          <cell r="L37">
            <v>0.2800209986196866</v>
          </cell>
          <cell r="M37">
            <v>0.29719871383536939</v>
          </cell>
          <cell r="N37">
            <v>0.58203115602335975</v>
          </cell>
          <cell r="O37">
            <v>0.83189457735737737</v>
          </cell>
          <cell r="P37">
            <v>0.66610454718876777</v>
          </cell>
          <cell r="Q37">
            <v>0.73648247778559484</v>
          </cell>
          <cell r="R37">
            <v>0.64334185638367225</v>
          </cell>
          <cell r="S37">
            <v>0.97289424291238524</v>
          </cell>
          <cell r="T37">
            <v>1.1820978013224126</v>
          </cell>
          <cell r="U37">
            <v>1.1785313924254113</v>
          </cell>
          <cell r="V37">
            <v>1.2952038876416079</v>
          </cell>
          <cell r="W37">
            <v>1.3229243736280945</v>
          </cell>
          <cell r="X37">
            <v>1.422909455419719</v>
          </cell>
          <cell r="Y37">
            <v>1.4430187909981058</v>
          </cell>
          <cell r="Z37">
            <v>1.2923971403480323</v>
          </cell>
          <cell r="AA37">
            <v>1.1785050733908478</v>
          </cell>
          <cell r="AB37">
            <v>1.3433889489273994</v>
          </cell>
          <cell r="AC37">
            <v>1.2265545990556588</v>
          </cell>
          <cell r="AD37">
            <v>1.2571458643971927</v>
          </cell>
          <cell r="AE37">
            <v>1.2979913333963795</v>
          </cell>
        </row>
        <row r="38">
          <cell r="G38" t="str">
            <v>RegionWarehouseNew</v>
          </cell>
          <cell r="H38" t="str">
            <v>Com</v>
          </cell>
          <cell r="I38" t="str">
            <v>Warehouse</v>
          </cell>
          <cell r="J38" t="str">
            <v>New</v>
          </cell>
          <cell r="K38" t="str">
            <v>Millions SqFt</v>
          </cell>
          <cell r="L38">
            <v>7.6586609772993617</v>
          </cell>
          <cell r="M38">
            <v>7.5774552212762423</v>
          </cell>
          <cell r="N38">
            <v>5.6453939930651131</v>
          </cell>
          <cell r="O38">
            <v>4.800793231843981</v>
          </cell>
          <cell r="P38">
            <v>3.5881391412601156</v>
          </cell>
          <cell r="Q38">
            <v>3.1529819033971824</v>
          </cell>
          <cell r="R38">
            <v>4.0691744688008198</v>
          </cell>
          <cell r="S38">
            <v>4.5400289951106014</v>
          </cell>
          <cell r="T38">
            <v>4.8555474587969272</v>
          </cell>
          <cell r="U38">
            <v>4.6966359797376018</v>
          </cell>
          <cell r="V38">
            <v>4.8557170740974245</v>
          </cell>
          <cell r="W38">
            <v>4.451750056135543</v>
          </cell>
          <cell r="X38">
            <v>3.8657972013430704</v>
          </cell>
          <cell r="Y38">
            <v>3.9817445148405937</v>
          </cell>
          <cell r="Z38">
            <v>3.9951806948216846</v>
          </cell>
          <cell r="AA38">
            <v>4.4738164673360306</v>
          </cell>
          <cell r="AB38">
            <v>4.2737219736102183</v>
          </cell>
          <cell r="AC38">
            <v>4.0870251812551333</v>
          </cell>
          <cell r="AD38">
            <v>4.137725578117939</v>
          </cell>
          <cell r="AE38">
            <v>3.6922064696454697</v>
          </cell>
        </row>
        <row r="39">
          <cell r="G39" t="str">
            <v>RegionSupermarketNew</v>
          </cell>
          <cell r="H39" t="str">
            <v>Com</v>
          </cell>
          <cell r="I39" t="str">
            <v>Supermarket</v>
          </cell>
          <cell r="J39" t="str">
            <v>New</v>
          </cell>
          <cell r="K39" t="str">
            <v>Millions SqFt</v>
          </cell>
          <cell r="L39">
            <v>0.38924897939746522</v>
          </cell>
          <cell r="M39">
            <v>0.34341311895347121</v>
          </cell>
          <cell r="N39">
            <v>0.29927348040561341</v>
          </cell>
          <cell r="O39">
            <v>0.29688874456634085</v>
          </cell>
          <cell r="P39">
            <v>0.29379933994281465</v>
          </cell>
          <cell r="Q39">
            <v>0.29041766271303127</v>
          </cell>
          <cell r="R39">
            <v>0.28614144770449462</v>
          </cell>
          <cell r="S39">
            <v>0.28163861967746157</v>
          </cell>
          <cell r="T39">
            <v>0.27688800876616482</v>
          </cell>
          <cell r="U39">
            <v>0.27357754310134663</v>
          </cell>
          <cell r="V39">
            <v>0.27063184585003941</v>
          </cell>
          <cell r="W39">
            <v>0.26801411864303953</v>
          </cell>
          <cell r="X39">
            <v>0.26660240614409092</v>
          </cell>
          <cell r="Y39">
            <v>0.25138198684402913</v>
          </cell>
          <cell r="Z39">
            <v>0.26455339135243683</v>
          </cell>
          <cell r="AA39">
            <v>0.26299167309250365</v>
          </cell>
          <cell r="AB39">
            <v>0.26140909607327911</v>
          </cell>
          <cell r="AC39">
            <v>0.25947687815142023</v>
          </cell>
          <cell r="AD39">
            <v>0.25750619496776178</v>
          </cell>
          <cell r="AE39">
            <v>0.25562560804995926</v>
          </cell>
        </row>
        <row r="40">
          <cell r="G40" t="str">
            <v>RegionMiniMartNew</v>
          </cell>
          <cell r="H40" t="str">
            <v>Com</v>
          </cell>
          <cell r="I40" t="str">
            <v>MiniMart</v>
          </cell>
          <cell r="J40" t="str">
            <v>New</v>
          </cell>
          <cell r="K40" t="str">
            <v>Millions SqFt</v>
          </cell>
          <cell r="L40">
            <v>0.19765540078516197</v>
          </cell>
          <cell r="M40">
            <v>0.18600542935034625</v>
          </cell>
          <cell r="N40">
            <v>9.5760802585072302E-2</v>
          </cell>
          <cell r="O40">
            <v>0.10062051473914659</v>
          </cell>
          <cell r="P40">
            <v>8.5646792534183808E-2</v>
          </cell>
          <cell r="Q40">
            <v>6.5415041923045286E-2</v>
          </cell>
          <cell r="R40">
            <v>5.7242996146950373E-2</v>
          </cell>
          <cell r="S40">
            <v>5.5087150941189433E-2</v>
          </cell>
          <cell r="T40">
            <v>7.3916214299540497E-2</v>
          </cell>
          <cell r="U40">
            <v>9.2056169088318471E-2</v>
          </cell>
          <cell r="V40">
            <v>0.10393709432109566</v>
          </cell>
          <cell r="W40">
            <v>0.15172170448022598</v>
          </cell>
          <cell r="X40">
            <v>0.15706997726929292</v>
          </cell>
          <cell r="Y40">
            <v>0.14510580631504899</v>
          </cell>
          <cell r="Z40">
            <v>0.15272706829792246</v>
          </cell>
          <cell r="AA40">
            <v>0.14104647748606622</v>
          </cell>
          <cell r="AB40">
            <v>0.11700741064540764</v>
          </cell>
          <cell r="AC40">
            <v>0.1200067315077773</v>
          </cell>
          <cell r="AD40">
            <v>0.11457442878633581</v>
          </cell>
          <cell r="AE40">
            <v>0.1211768182439132</v>
          </cell>
        </row>
        <row r="41">
          <cell r="G41" t="str">
            <v>RegionRestaurantNew</v>
          </cell>
          <cell r="H41" t="str">
            <v>Com</v>
          </cell>
          <cell r="I41" t="str">
            <v>Restaurant</v>
          </cell>
          <cell r="J41" t="str">
            <v>New</v>
          </cell>
          <cell r="K41" t="str">
            <v>Millions SqFt</v>
          </cell>
          <cell r="L41">
            <v>0.46894871790011039</v>
          </cell>
          <cell r="M41">
            <v>0.47387410836125871</v>
          </cell>
          <cell r="N41">
            <v>0.45144590813821411</v>
          </cell>
          <cell r="O41">
            <v>0.4505136151455652</v>
          </cell>
          <cell r="P41">
            <v>0.44778046039172248</v>
          </cell>
          <cell r="Q41">
            <v>0.44523396067124349</v>
          </cell>
          <cell r="R41">
            <v>0.44273536313864043</v>
          </cell>
          <cell r="S41">
            <v>0.4399078135546039</v>
          </cell>
          <cell r="T41">
            <v>0.43708606600163591</v>
          </cell>
          <cell r="U41">
            <v>0.43513915585550955</v>
          </cell>
          <cell r="V41">
            <v>0.43580404899906589</v>
          </cell>
          <cell r="W41">
            <v>0.59161866303702282</v>
          </cell>
          <cell r="X41">
            <v>0.66467702134516005</v>
          </cell>
          <cell r="Y41">
            <v>0.65353995366480533</v>
          </cell>
          <cell r="Z41">
            <v>0.676060915960916</v>
          </cell>
          <cell r="AA41">
            <v>0.70559825286541389</v>
          </cell>
          <cell r="AB41">
            <v>0.63206878506691044</v>
          </cell>
          <cell r="AC41">
            <v>0.63726309269471215</v>
          </cell>
          <cell r="AD41">
            <v>0.5828366650853003</v>
          </cell>
          <cell r="AE41">
            <v>0.63928201324113043</v>
          </cell>
        </row>
        <row r="42">
          <cell r="G42" t="str">
            <v>RegionLodgingNew</v>
          </cell>
          <cell r="H42" t="str">
            <v>Com</v>
          </cell>
          <cell r="I42" t="str">
            <v>Lodging</v>
          </cell>
          <cell r="J42" t="str">
            <v>New</v>
          </cell>
          <cell r="K42" t="str">
            <v>Millions SqFt</v>
          </cell>
          <cell r="L42">
            <v>1.0326774321313152</v>
          </cell>
          <cell r="M42">
            <v>1.0158776160943388</v>
          </cell>
          <cell r="N42">
            <v>0.74304915446037911</v>
          </cell>
          <cell r="O42">
            <v>0.76054102414226543</v>
          </cell>
          <cell r="P42">
            <v>0.65616402459427536</v>
          </cell>
          <cell r="Q42">
            <v>0.62755023267601961</v>
          </cell>
          <cell r="R42">
            <v>0.61023293273354484</v>
          </cell>
          <cell r="S42">
            <v>0.60571699788717037</v>
          </cell>
          <cell r="T42">
            <v>0.65097903457434547</v>
          </cell>
          <cell r="U42">
            <v>0.69319811486407867</v>
          </cell>
          <cell r="V42">
            <v>0.78843795894088464</v>
          </cell>
          <cell r="W42">
            <v>1.3645659476947984</v>
          </cell>
          <cell r="X42">
            <v>1.6032227373726178</v>
          </cell>
          <cell r="Y42">
            <v>1.6412696995684901</v>
          </cell>
          <cell r="Z42">
            <v>1.670283030615213</v>
          </cell>
          <cell r="AA42">
            <v>1.755661848186447</v>
          </cell>
          <cell r="AB42">
            <v>1.4871375295645746</v>
          </cell>
          <cell r="AC42">
            <v>1.4400033906080374</v>
          </cell>
          <cell r="AD42">
            <v>1.3499648074414823</v>
          </cell>
          <cell r="AE42">
            <v>1.4487057151095009</v>
          </cell>
        </row>
        <row r="43">
          <cell r="G43" t="str">
            <v>RegionHospitalNew</v>
          </cell>
          <cell r="H43" t="str">
            <v>Com</v>
          </cell>
          <cell r="I43" t="str">
            <v>Hospital</v>
          </cell>
          <cell r="J43" t="str">
            <v>New</v>
          </cell>
          <cell r="K43" t="str">
            <v>Millions SqFt</v>
          </cell>
          <cell r="L43">
            <v>4.1336070304911159</v>
          </cell>
          <cell r="M43">
            <v>3.5601449453189118</v>
          </cell>
          <cell r="N43">
            <v>3.2007770264658664</v>
          </cell>
          <cell r="O43">
            <v>2.6531465767673241</v>
          </cell>
          <cell r="P43">
            <v>1.8730082465149496</v>
          </cell>
          <cell r="Q43">
            <v>1.6467285324389391</v>
          </cell>
          <cell r="R43">
            <v>1.5196240263467067</v>
          </cell>
          <cell r="S43">
            <v>1.3328145698119136</v>
          </cell>
          <cell r="T43">
            <v>1.3372342578617185</v>
          </cell>
          <cell r="U43">
            <v>1.4086686461757902</v>
          </cell>
          <cell r="V43">
            <v>1.6725933548501446</v>
          </cell>
          <cell r="W43">
            <v>2.0158466086985318</v>
          </cell>
          <cell r="X43">
            <v>2.3033709594417431</v>
          </cell>
          <cell r="Y43">
            <v>2.063930246052466</v>
          </cell>
          <cell r="Z43">
            <v>1.9880083370090949</v>
          </cell>
          <cell r="AA43">
            <v>1.9342270452860566</v>
          </cell>
          <cell r="AB43">
            <v>1.774507966199161</v>
          </cell>
          <cell r="AC43">
            <v>1.6723841845019074</v>
          </cell>
          <cell r="AD43">
            <v>1.5414284807799123</v>
          </cell>
          <cell r="AE43">
            <v>1.5563040522680198</v>
          </cell>
        </row>
        <row r="44">
          <cell r="G44" t="str">
            <v>RegionResidential CareNew</v>
          </cell>
          <cell r="H44" t="str">
            <v>Com</v>
          </cell>
          <cell r="I44" t="str">
            <v>Residential Care</v>
          </cell>
          <cell r="J44" t="str">
            <v>New</v>
          </cell>
          <cell r="K44" t="str">
            <v>Millions SqFt</v>
          </cell>
          <cell r="L44">
            <v>4.5029406937179912</v>
          </cell>
          <cell r="M44">
            <v>4.0786070344439063</v>
          </cell>
          <cell r="N44">
            <v>3.5919834720533679</v>
          </cell>
          <cell r="O44">
            <v>3.0400934926407626</v>
          </cell>
          <cell r="P44">
            <v>2.3018670718031324</v>
          </cell>
          <cell r="Q44">
            <v>2.1321468422073435</v>
          </cell>
          <cell r="R44">
            <v>1.9771504564110642</v>
          </cell>
          <cell r="S44">
            <v>1.8096072137015302</v>
          </cell>
          <cell r="T44">
            <v>1.9023478055732992</v>
          </cell>
          <cell r="U44">
            <v>2.0129777404511922</v>
          </cell>
          <cell r="V44">
            <v>2.304026079874093</v>
          </cell>
          <cell r="W44">
            <v>2.7992417645016405</v>
          </cell>
          <cell r="X44">
            <v>3.0682339807477179</v>
          </cell>
          <cell r="Y44">
            <v>2.7441690138981158</v>
          </cell>
          <cell r="Z44">
            <v>2.8046561391012603</v>
          </cell>
          <cell r="AA44">
            <v>2.7282838662201567</v>
          </cell>
          <cell r="AB44">
            <v>2.4959637785038216</v>
          </cell>
          <cell r="AC44">
            <v>2.4392052334479857</v>
          </cell>
          <cell r="AD44">
            <v>2.3386950979959957</v>
          </cell>
          <cell r="AE44">
            <v>2.3103955399373803</v>
          </cell>
        </row>
        <row r="45">
          <cell r="G45" t="str">
            <v>RegionAssemblyNew</v>
          </cell>
          <cell r="H45" t="str">
            <v>Com</v>
          </cell>
          <cell r="I45" t="str">
            <v>Assembly</v>
          </cell>
          <cell r="J45" t="str">
            <v>New</v>
          </cell>
          <cell r="K45" t="str">
            <v>Millions SqFt</v>
          </cell>
          <cell r="L45">
            <v>3.1854829351393543</v>
          </cell>
          <cell r="M45">
            <v>3.1699057451518957</v>
          </cell>
          <cell r="N45">
            <v>2.2628528186826316</v>
          </cell>
          <cell r="O45">
            <v>2.6023617076700645</v>
          </cell>
          <cell r="P45">
            <v>2.2919684786454506</v>
          </cell>
          <cell r="Q45">
            <v>2.1556450092355899</v>
          </cell>
          <cell r="R45">
            <v>1.4820394508668711</v>
          </cell>
          <cell r="S45">
            <v>1.5603361472368396</v>
          </cell>
          <cell r="T45">
            <v>2.3546097038898557</v>
          </cell>
          <cell r="U45">
            <v>3.2740386396924066</v>
          </cell>
          <cell r="V45">
            <v>3.6241751874536021</v>
          </cell>
          <cell r="W45">
            <v>4.4420137300219826</v>
          </cell>
          <cell r="X45">
            <v>5.8224273473135861</v>
          </cell>
          <cell r="Y45">
            <v>6.4604400946422142</v>
          </cell>
          <cell r="Z45">
            <v>6.9014803298142597</v>
          </cell>
          <cell r="AA45">
            <v>6.748515751490312</v>
          </cell>
          <cell r="AB45">
            <v>6.4364694734288266</v>
          </cell>
          <cell r="AC45">
            <v>6.3053235195290611</v>
          </cell>
          <cell r="AD45">
            <v>6.2236620394663484</v>
          </cell>
          <cell r="AE45">
            <v>6.0386522880717726</v>
          </cell>
        </row>
        <row r="46">
          <cell r="G46" t="str">
            <v>RegionOtherNew</v>
          </cell>
          <cell r="H46" t="str">
            <v>Com</v>
          </cell>
          <cell r="I46" t="str">
            <v>Other</v>
          </cell>
          <cell r="J46" t="str">
            <v>New</v>
          </cell>
          <cell r="K46" t="str">
            <v>Millions SqFt</v>
          </cell>
          <cell r="L46">
            <v>12.863107129152304</v>
          </cell>
          <cell r="M46">
            <v>10.7220378193485</v>
          </cell>
          <cell r="N46">
            <v>10.142128438066296</v>
          </cell>
          <cell r="O46">
            <v>9.4611923499879236</v>
          </cell>
          <cell r="P46">
            <v>7.3638556881373223</v>
          </cell>
          <cell r="Q46">
            <v>8.1591439254269407</v>
          </cell>
          <cell r="R46">
            <v>7.9603673258815011</v>
          </cell>
          <cell r="S46">
            <v>8.6026166911432824</v>
          </cell>
          <cell r="T46">
            <v>9.3207800366095146</v>
          </cell>
          <cell r="U46">
            <v>9.0572786632714859</v>
          </cell>
          <cell r="V46">
            <v>10.184423730877143</v>
          </cell>
          <cell r="W46">
            <v>10.787657533789663</v>
          </cell>
          <cell r="X46">
            <v>11.005378574708409</v>
          </cell>
          <cell r="Y46">
            <v>10.267063981307951</v>
          </cell>
          <cell r="Z46">
            <v>11.027475862918971</v>
          </cell>
          <cell r="AA46">
            <v>9.9609233822623686</v>
          </cell>
          <cell r="AB46">
            <v>10.340047869658916</v>
          </cell>
          <cell r="AC46">
            <v>9.8383849729989699</v>
          </cell>
          <cell r="AD46">
            <v>9.3282989614436094</v>
          </cell>
          <cell r="AE46">
            <v>9.0355729282982153</v>
          </cell>
        </row>
        <row r="47">
          <cell r="G47" t="str">
            <v>RegionLarge OffStock 2016</v>
          </cell>
          <cell r="H47" t="str">
            <v>Com</v>
          </cell>
          <cell r="I47" t="str">
            <v>Large Off</v>
          </cell>
          <cell r="J47" t="str">
            <v>Stock 2016</v>
          </cell>
          <cell r="K47" t="str">
            <v>Millions SqFt</v>
          </cell>
          <cell r="L47">
            <v>380.08828477966154</v>
          </cell>
          <cell r="M47">
            <v>378.94801992532251</v>
          </cell>
          <cell r="N47">
            <v>377.81117586554655</v>
          </cell>
          <cell r="O47">
            <v>376.67774233794995</v>
          </cell>
          <cell r="P47">
            <v>375.54770911093607</v>
          </cell>
          <cell r="Q47">
            <v>374.42106598360328</v>
          </cell>
          <cell r="R47">
            <v>373.29780278565244</v>
          </cell>
          <cell r="S47">
            <v>372.17790937729552</v>
          </cell>
          <cell r="T47">
            <v>371.06137564916361</v>
          </cell>
          <cell r="U47">
            <v>369.94819152221612</v>
          </cell>
          <cell r="V47">
            <v>368.83834694764948</v>
          </cell>
          <cell r="W47">
            <v>367.73183190680658</v>
          </cell>
          <cell r="X47">
            <v>366.62863641108612</v>
          </cell>
          <cell r="Y47">
            <v>365.52875050185287</v>
          </cell>
          <cell r="Z47">
            <v>364.43216425034728</v>
          </cell>
          <cell r="AA47">
            <v>363.33886775759629</v>
          </cell>
          <cell r="AB47">
            <v>362.24885115432346</v>
          </cell>
          <cell r="AC47">
            <v>361.16210460086046</v>
          </cell>
          <cell r="AD47">
            <v>360.07861828705791</v>
          </cell>
          <cell r="AE47">
            <v>358.99838243219671</v>
          </cell>
        </row>
        <row r="48">
          <cell r="G48" t="str">
            <v>RegionMedium OffStock 2016</v>
          </cell>
          <cell r="H48" t="str">
            <v>Com</v>
          </cell>
          <cell r="I48" t="str">
            <v>Medium Off</v>
          </cell>
          <cell r="J48" t="str">
            <v>Stock 2016</v>
          </cell>
          <cell r="K48" t="str">
            <v>Millions SqFt</v>
          </cell>
          <cell r="L48">
            <v>190.73687138333023</v>
          </cell>
          <cell r="M48">
            <v>190.16466076918024</v>
          </cell>
          <cell r="N48">
            <v>189.59416678687271</v>
          </cell>
          <cell r="O48">
            <v>189.02538428651209</v>
          </cell>
          <cell r="P48">
            <v>188.45830813365254</v>
          </cell>
          <cell r="Q48">
            <v>187.89293320925157</v>
          </cell>
          <cell r="R48">
            <v>187.32925440962381</v>
          </cell>
          <cell r="S48">
            <v>186.76726664639497</v>
          </cell>
          <cell r="T48">
            <v>186.20696484645578</v>
          </cell>
          <cell r="U48">
            <v>185.64834395191642</v>
          </cell>
          <cell r="V48">
            <v>185.09139892006067</v>
          </cell>
          <cell r="W48">
            <v>184.5361247233005</v>
          </cell>
          <cell r="X48">
            <v>183.98251634913058</v>
          </cell>
          <cell r="Y48">
            <v>183.43056880008319</v>
          </cell>
          <cell r="Z48">
            <v>182.88027709368296</v>
          </cell>
          <cell r="AA48">
            <v>182.33163626240187</v>
          </cell>
          <cell r="AB48">
            <v>181.78464135361469</v>
          </cell>
          <cell r="AC48">
            <v>181.23928742955383</v>
          </cell>
          <cell r="AD48">
            <v>180.69556956726515</v>
          </cell>
          <cell r="AE48">
            <v>180.15348285856339</v>
          </cell>
        </row>
        <row r="49">
          <cell r="G49" t="str">
            <v>RegionSmall OffStock 2016</v>
          </cell>
          <cell r="H49" t="str">
            <v>Com</v>
          </cell>
          <cell r="I49" t="str">
            <v>Small Off</v>
          </cell>
          <cell r="J49" t="str">
            <v>Stock 2016</v>
          </cell>
          <cell r="K49" t="str">
            <v>Millions SqFt</v>
          </cell>
          <cell r="L49">
            <v>184.0913556049378</v>
          </cell>
          <cell r="M49">
            <v>183.53908153812301</v>
          </cell>
          <cell r="N49">
            <v>182.98846429350866</v>
          </cell>
          <cell r="O49">
            <v>182.43949890062811</v>
          </cell>
          <cell r="P49">
            <v>181.89218040392623</v>
          </cell>
          <cell r="Q49">
            <v>181.34650386271446</v>
          </cell>
          <cell r="R49">
            <v>180.80246435112633</v>
          </cell>
          <cell r="S49">
            <v>180.26005695807294</v>
          </cell>
          <cell r="T49">
            <v>179.71927678719871</v>
          </cell>
          <cell r="U49">
            <v>179.18011895683713</v>
          </cell>
          <cell r="V49">
            <v>178.64257859996661</v>
          </cell>
          <cell r="W49">
            <v>178.10665086416668</v>
          </cell>
          <cell r="X49">
            <v>177.57233091157423</v>
          </cell>
          <cell r="Y49">
            <v>177.03961391883951</v>
          </cell>
          <cell r="Z49">
            <v>176.50849507708296</v>
          </cell>
          <cell r="AA49">
            <v>175.97896959185172</v>
          </cell>
          <cell r="AB49">
            <v>175.45103268307616</v>
          </cell>
          <cell r="AC49">
            <v>174.92467958502692</v>
          </cell>
          <cell r="AD49">
            <v>174.39990554627184</v>
          </cell>
          <cell r="AE49">
            <v>173.87670582963304</v>
          </cell>
        </row>
        <row r="50">
          <cell r="G50" t="str">
            <v>RegionXLarge RetStock 2016</v>
          </cell>
          <cell r="H50" t="str">
            <v>Com</v>
          </cell>
          <cell r="I50" t="str">
            <v>XLarge Ret</v>
          </cell>
          <cell r="J50" t="str">
            <v>Stock 2016</v>
          </cell>
          <cell r="K50" t="str">
            <v>Millions SqFt</v>
          </cell>
          <cell r="L50">
            <v>138.35734062238015</v>
          </cell>
          <cell r="M50">
            <v>137.7208968555172</v>
          </cell>
          <cell r="N50">
            <v>137.08738072998179</v>
          </cell>
          <cell r="O50">
            <v>136.45677877862389</v>
          </cell>
          <cell r="P50">
            <v>135.8290775962422</v>
          </cell>
          <cell r="Q50">
            <v>135.20426383929947</v>
          </cell>
          <cell r="R50">
            <v>134.5823242256387</v>
          </cell>
          <cell r="S50">
            <v>133.96324553420075</v>
          </cell>
          <cell r="T50">
            <v>133.34701460474344</v>
          </cell>
          <cell r="U50">
            <v>132.73361833756161</v>
          </cell>
          <cell r="V50">
            <v>132.12304369320884</v>
          </cell>
          <cell r="W50">
            <v>131.51527769222005</v>
          </cell>
          <cell r="X50">
            <v>130.91030741483584</v>
          </cell>
          <cell r="Y50">
            <v>130.3081200007276</v>
          </cell>
          <cell r="Z50">
            <v>129.70870264872423</v>
          </cell>
          <cell r="AA50">
            <v>129.11204261654012</v>
          </cell>
          <cell r="AB50">
            <v>128.51812722050403</v>
          </cell>
          <cell r="AC50">
            <v>127.92694383528971</v>
          </cell>
          <cell r="AD50">
            <v>127.33847989364737</v>
          </cell>
          <cell r="AE50">
            <v>126.75272288613657</v>
          </cell>
        </row>
        <row r="51">
          <cell r="G51" t="str">
            <v>RegionLarge RetStock 2016</v>
          </cell>
          <cell r="H51" t="str">
            <v>Com</v>
          </cell>
          <cell r="I51" t="str">
            <v>Large Ret</v>
          </cell>
          <cell r="J51" t="str">
            <v>Stock 2016</v>
          </cell>
          <cell r="K51" t="str">
            <v>Millions SqFt</v>
          </cell>
          <cell r="L51">
            <v>208.9574509880029</v>
          </cell>
          <cell r="M51">
            <v>207.99624671345808</v>
          </cell>
          <cell r="N51">
            <v>207.03946397857615</v>
          </cell>
          <cell r="O51">
            <v>206.0870824442747</v>
          </cell>
          <cell r="P51">
            <v>205.13908186503102</v>
          </cell>
          <cell r="Q51">
            <v>204.1954420884519</v>
          </cell>
          <cell r="R51">
            <v>203.25614305484498</v>
          </cell>
          <cell r="S51">
            <v>202.32116479679266</v>
          </cell>
          <cell r="T51">
            <v>201.3904874387274</v>
          </cell>
          <cell r="U51">
            <v>200.46409119650929</v>
          </cell>
          <cell r="V51">
            <v>199.54195637700533</v>
          </cell>
          <cell r="W51">
            <v>198.62406337767112</v>
          </cell>
          <cell r="X51">
            <v>197.71039268613379</v>
          </cell>
          <cell r="Y51">
            <v>196.8009248797776</v>
          </cell>
          <cell r="Z51">
            <v>195.8956406253306</v>
          </cell>
          <cell r="AA51">
            <v>194.99452067845405</v>
          </cell>
          <cell r="AB51">
            <v>194.09754588333314</v>
          </cell>
          <cell r="AC51">
            <v>193.20469717226982</v>
          </cell>
          <cell r="AD51">
            <v>192.31595556527733</v>
          </cell>
          <cell r="AE51">
            <v>191.43130216967708</v>
          </cell>
        </row>
        <row r="52">
          <cell r="G52" t="str">
            <v>RegionMedium RetStock 2016</v>
          </cell>
          <cell r="H52" t="str">
            <v>Com</v>
          </cell>
          <cell r="I52" t="str">
            <v>Medium Ret</v>
          </cell>
          <cell r="J52" t="str">
            <v>Stock 2016</v>
          </cell>
          <cell r="K52" t="str">
            <v>Millions SqFt</v>
          </cell>
          <cell r="L52">
            <v>97.115689913224898</v>
          </cell>
          <cell r="M52">
            <v>96.668957739624062</v>
          </cell>
          <cell r="N52">
            <v>96.224280534021787</v>
          </cell>
          <cell r="O52">
            <v>95.781648843565293</v>
          </cell>
          <cell r="P52">
            <v>95.34105325888487</v>
          </cell>
          <cell r="Q52">
            <v>94.902484413894001</v>
          </cell>
          <cell r="R52">
            <v>94.465932985590086</v>
          </cell>
          <cell r="S52">
            <v>94.031389693856369</v>
          </cell>
          <cell r="T52">
            <v>93.598845301264618</v>
          </cell>
          <cell r="U52">
            <v>93.168290612878806</v>
          </cell>
          <cell r="V52">
            <v>92.739716476059556</v>
          </cell>
          <cell r="W52">
            <v>92.313113780269674</v>
          </cell>
          <cell r="X52">
            <v>91.888473456880433</v>
          </cell>
          <cell r="Y52">
            <v>91.465786478978771</v>
          </cell>
          <cell r="Z52">
            <v>91.045043861175472</v>
          </cell>
          <cell r="AA52">
            <v>90.626236659414062</v>
          </cell>
          <cell r="AB52">
            <v>90.209355970780734</v>
          </cell>
          <cell r="AC52">
            <v>89.794392933315152</v>
          </cell>
          <cell r="AD52">
            <v>89.381338725821905</v>
          </cell>
          <cell r="AE52">
            <v>88.97018456768312</v>
          </cell>
        </row>
        <row r="53">
          <cell r="G53" t="str">
            <v>RegionSmall RetStock 2016</v>
          </cell>
          <cell r="H53" t="str">
            <v>Com</v>
          </cell>
          <cell r="I53" t="str">
            <v>Small Ret</v>
          </cell>
          <cell r="J53" t="str">
            <v>Stock 2016</v>
          </cell>
          <cell r="K53" t="str">
            <v>Millions SqFt</v>
          </cell>
          <cell r="L53">
            <v>109.47966092768364</v>
          </cell>
          <cell r="M53">
            <v>108.97605448741629</v>
          </cell>
          <cell r="N53">
            <v>108.47476463677417</v>
          </cell>
          <cell r="O53">
            <v>107.975780719445</v>
          </cell>
          <cell r="P53">
            <v>107.47909212813555</v>
          </cell>
          <cell r="Q53">
            <v>106.98468830434612</v>
          </cell>
          <cell r="R53">
            <v>106.49255873814613</v>
          </cell>
          <cell r="S53">
            <v>106.00269296795065</v>
          </cell>
          <cell r="T53">
            <v>105.51508058029808</v>
          </cell>
          <cell r="U53">
            <v>105.0297112096287</v>
          </cell>
          <cell r="V53">
            <v>104.54657453806439</v>
          </cell>
          <cell r="W53">
            <v>104.0656602951893</v>
          </cell>
          <cell r="X53">
            <v>103.58695825783141</v>
          </cell>
          <cell r="Y53">
            <v>103.11045824984539</v>
          </cell>
          <cell r="Z53">
            <v>102.6361501418961</v>
          </cell>
          <cell r="AA53">
            <v>102.16402385124337</v>
          </cell>
          <cell r="AB53">
            <v>101.69406934152764</v>
          </cell>
          <cell r="AC53">
            <v>101.2262766225566</v>
          </cell>
          <cell r="AD53">
            <v>100.76063575009285</v>
          </cell>
          <cell r="AE53">
            <v>100.29713682564241</v>
          </cell>
        </row>
        <row r="54">
          <cell r="G54" t="str">
            <v>RegionSchool K-12Stock 2016</v>
          </cell>
          <cell r="H54" t="str">
            <v>Com</v>
          </cell>
          <cell r="I54" t="str">
            <v>School K-12</v>
          </cell>
          <cell r="J54" t="str">
            <v>Stock 2016</v>
          </cell>
          <cell r="K54" t="str">
            <v>Millions SqFt</v>
          </cell>
          <cell r="L54">
            <v>241.11763975818661</v>
          </cell>
          <cell r="M54">
            <v>240.12905743517803</v>
          </cell>
          <cell r="N54">
            <v>239.14452829969383</v>
          </cell>
          <cell r="O54">
            <v>238.16403573366509</v>
          </cell>
          <cell r="P54">
            <v>237.18756318715711</v>
          </cell>
          <cell r="Q54">
            <v>236.21509417808971</v>
          </cell>
          <cell r="R54">
            <v>235.24661229195956</v>
          </cell>
          <cell r="S54">
            <v>234.28210118156252</v>
          </cell>
          <cell r="T54">
            <v>233.32154456671807</v>
          </cell>
          <cell r="U54">
            <v>232.36492623399457</v>
          </cell>
          <cell r="V54">
            <v>231.41223003643518</v>
          </cell>
          <cell r="W54">
            <v>230.46343989328579</v>
          </cell>
          <cell r="X54">
            <v>229.51853978972335</v>
          </cell>
          <cell r="Y54">
            <v>228.57751377658545</v>
          </cell>
          <cell r="Z54">
            <v>227.64034597010144</v>
          </cell>
          <cell r="AA54">
            <v>226.70702055162403</v>
          </cell>
          <cell r="AB54">
            <v>225.77752176736234</v>
          </cell>
          <cell r="AC54">
            <v>224.85183392811618</v>
          </cell>
          <cell r="AD54">
            <v>223.92994140901092</v>
          </cell>
          <cell r="AE54">
            <v>223.01182864923393</v>
          </cell>
        </row>
        <row r="55">
          <cell r="G55" t="str">
            <v>RegionUniversityStock 2016</v>
          </cell>
          <cell r="H55" t="str">
            <v>Com</v>
          </cell>
          <cell r="I55" t="str">
            <v>University</v>
          </cell>
          <cell r="J55" t="str">
            <v>Stock 2016</v>
          </cell>
          <cell r="K55" t="str">
            <v>Millions SqFt</v>
          </cell>
          <cell r="L55">
            <v>122.15340627232256</v>
          </cell>
          <cell r="M55">
            <v>121.65257730660603</v>
          </cell>
          <cell r="N55">
            <v>121.15380173964894</v>
          </cell>
          <cell r="O55">
            <v>120.65707115251638</v>
          </cell>
          <cell r="P55">
            <v>120.16237716079107</v>
          </cell>
          <cell r="Q55">
            <v>119.66971141443182</v>
          </cell>
          <cell r="R55">
            <v>119.17906559763266</v>
          </cell>
          <cell r="S55">
            <v>118.69043142868237</v>
          </cell>
          <cell r="T55">
            <v>118.20380065982476</v>
          </cell>
          <cell r="U55">
            <v>117.71916507711948</v>
          </cell>
          <cell r="V55">
            <v>117.23651650030328</v>
          </cell>
          <cell r="W55">
            <v>116.75584678265207</v>
          </cell>
          <cell r="X55">
            <v>116.27714781084319</v>
          </cell>
          <cell r="Y55">
            <v>115.80041150481873</v>
          </cell>
          <cell r="Z55">
            <v>115.32562981764897</v>
          </cell>
          <cell r="AA55">
            <v>114.8527947353966</v>
          </cell>
          <cell r="AB55">
            <v>114.38189827698147</v>
          </cell>
          <cell r="AC55">
            <v>113.91293249404585</v>
          </cell>
          <cell r="AD55">
            <v>113.44588947082025</v>
          </cell>
          <cell r="AE55">
            <v>112.98076132398991</v>
          </cell>
        </row>
        <row r="56">
          <cell r="G56" t="str">
            <v>RegionWarehouseStock 2016</v>
          </cell>
          <cell r="H56" t="str">
            <v>Com</v>
          </cell>
          <cell r="I56" t="str">
            <v>Warehouse</v>
          </cell>
          <cell r="J56" t="str">
            <v>Stock 2016</v>
          </cell>
          <cell r="K56" t="str">
            <v>Millions SqFt</v>
          </cell>
          <cell r="L56">
            <v>448.69829599576161</v>
          </cell>
          <cell r="M56">
            <v>447.03811230057732</v>
          </cell>
          <cell r="N56">
            <v>445.3840712850652</v>
          </cell>
          <cell r="O56">
            <v>443.73615022131042</v>
          </cell>
          <cell r="P56">
            <v>442.09432646549152</v>
          </cell>
          <cell r="Q56">
            <v>440.45857745756916</v>
          </cell>
          <cell r="R56">
            <v>438.82888072097626</v>
          </cell>
          <cell r="S56">
            <v>437.2052138623086</v>
          </cell>
          <cell r="T56">
            <v>435.58755457101802</v>
          </cell>
          <cell r="U56">
            <v>433.97588061910528</v>
          </cell>
          <cell r="V56">
            <v>432.37016986081449</v>
          </cell>
          <cell r="W56">
            <v>430.77040023232951</v>
          </cell>
          <cell r="X56">
            <v>429.17654975146979</v>
          </cell>
          <cell r="Y56">
            <v>427.58859651738936</v>
          </cell>
          <cell r="Z56">
            <v>426.00651871027503</v>
          </cell>
          <cell r="AA56">
            <v>424.43029459104702</v>
          </cell>
          <cell r="AB56">
            <v>422.85990250106011</v>
          </cell>
          <cell r="AC56">
            <v>421.2953208618062</v>
          </cell>
          <cell r="AD56">
            <v>419.73652817461749</v>
          </cell>
          <cell r="AE56">
            <v>418.18350302037135</v>
          </cell>
        </row>
        <row r="57">
          <cell r="G57" t="str">
            <v>RegionSupermarketStock 2016</v>
          </cell>
          <cell r="H57" t="str">
            <v>Com</v>
          </cell>
          <cell r="I57" t="str">
            <v>Supermarket</v>
          </cell>
          <cell r="J57" t="str">
            <v>Stock 2016</v>
          </cell>
          <cell r="K57" t="str">
            <v>Millions SqFt</v>
          </cell>
          <cell r="L57">
            <v>53.720939527021244</v>
          </cell>
          <cell r="M57">
            <v>53.237451071278059</v>
          </cell>
          <cell r="N57">
            <v>52.758314011636557</v>
          </cell>
          <cell r="O57">
            <v>52.283489185531828</v>
          </cell>
          <cell r="P57">
            <v>51.812937782862043</v>
          </cell>
          <cell r="Q57">
            <v>51.346621342816277</v>
          </cell>
          <cell r="R57">
            <v>50.884501750730934</v>
          </cell>
          <cell r="S57">
            <v>50.426541234974358</v>
          </cell>
          <cell r="T57">
            <v>49.97270236385959</v>
          </cell>
          <cell r="U57">
            <v>49.522948042584851</v>
          </cell>
          <cell r="V57">
            <v>49.077241510201581</v>
          </cell>
          <cell r="W57">
            <v>48.635546336609778</v>
          </cell>
          <cell r="X57">
            <v>48.197826419580288</v>
          </cell>
          <cell r="Y57">
            <v>47.76404598180406</v>
          </cell>
          <cell r="Z57">
            <v>47.33416956796782</v>
          </cell>
          <cell r="AA57">
            <v>46.908162041856116</v>
          </cell>
          <cell r="AB57">
            <v>46.485988583479411</v>
          </cell>
          <cell r="AC57">
            <v>46.067614686228097</v>
          </cell>
          <cell r="AD57">
            <v>45.653006154052044</v>
          </cell>
          <cell r="AE57">
            <v>45.242129098665572</v>
          </cell>
        </row>
        <row r="58">
          <cell r="G58" t="str">
            <v>RegionMiniMartStock 2016</v>
          </cell>
          <cell r="H58" t="str">
            <v>Com</v>
          </cell>
          <cell r="I58" t="str">
            <v>MiniMart</v>
          </cell>
          <cell r="J58" t="str">
            <v>Stock 2016</v>
          </cell>
          <cell r="K58" t="str">
            <v>Millions SqFt</v>
          </cell>
          <cell r="L58">
            <v>22.491017060912501</v>
          </cell>
          <cell r="M58">
            <v>22.384859460384995</v>
          </cell>
          <cell r="N58">
            <v>22.279202923731983</v>
          </cell>
          <cell r="O58">
            <v>22.174045085931969</v>
          </cell>
          <cell r="P58">
            <v>22.069383593126368</v>
          </cell>
          <cell r="Q58">
            <v>21.965216102566814</v>
          </cell>
          <cell r="R58">
            <v>21.8615402825627</v>
          </cell>
          <cell r="S58">
            <v>21.758353812429004</v>
          </cell>
          <cell r="T58">
            <v>21.655654382434342</v>
          </cell>
          <cell r="U58">
            <v>21.553439693749251</v>
          </cell>
          <cell r="V58">
            <v>21.451707458394754</v>
          </cell>
          <cell r="W58">
            <v>21.350455399191134</v>
          </cell>
          <cell r="X58">
            <v>21.249681249706953</v>
          </cell>
          <cell r="Y58">
            <v>21.149382754208336</v>
          </cell>
          <cell r="Z58">
            <v>21.049557667608472</v>
          </cell>
          <cell r="AA58">
            <v>20.950203755417366</v>
          </cell>
          <cell r="AB58">
            <v>20.851318793691796</v>
          </cell>
          <cell r="AC58">
            <v>20.75290056898557</v>
          </cell>
          <cell r="AD58">
            <v>20.654946878299963</v>
          </cell>
          <cell r="AE58">
            <v>20.557455529034385</v>
          </cell>
        </row>
        <row r="59">
          <cell r="G59" t="str">
            <v>RegionRestaurantStock 2016</v>
          </cell>
          <cell r="H59" t="str">
            <v>Com</v>
          </cell>
          <cell r="I59" t="str">
            <v>Restaurant</v>
          </cell>
          <cell r="J59" t="str">
            <v>Stock 2016</v>
          </cell>
          <cell r="K59" t="str">
            <v>Millions SqFt</v>
          </cell>
          <cell r="L59">
            <v>51.550857208753726</v>
          </cell>
          <cell r="M59">
            <v>51.307537162728408</v>
          </cell>
          <cell r="N59">
            <v>51.065365587320336</v>
          </cell>
          <cell r="O59">
            <v>50.824337061748189</v>
          </cell>
          <cell r="P59">
            <v>50.584446190816735</v>
          </cell>
          <cell r="Q59">
            <v>50.345687604796083</v>
          </cell>
          <cell r="R59">
            <v>50.108055959301453</v>
          </cell>
          <cell r="S59">
            <v>49.871545935173543</v>
          </cell>
          <cell r="T59">
            <v>49.636152238359529</v>
          </cell>
          <cell r="U59">
            <v>49.40186959979448</v>
          </cell>
          <cell r="V59">
            <v>49.168692775283453</v>
          </cell>
          <cell r="W59">
            <v>48.936616545384119</v>
          </cell>
          <cell r="X59">
            <v>48.705635715289908</v>
          </cell>
          <cell r="Y59">
            <v>48.475745114713739</v>
          </cell>
          <cell r="Z59">
            <v>48.246939597772297</v>
          </cell>
          <cell r="AA59">
            <v>48.019214042870807</v>
          </cell>
          <cell r="AB59">
            <v>47.792563352588466</v>
          </cell>
          <cell r="AC59">
            <v>47.56698245356425</v>
          </cell>
          <cell r="AD59">
            <v>47.342466296383435</v>
          </cell>
          <cell r="AE59">
            <v>47.119009855464505</v>
          </cell>
        </row>
        <row r="60">
          <cell r="G60" t="str">
            <v>RegionLodgingStock 2016</v>
          </cell>
          <cell r="H60" t="str">
            <v>Com</v>
          </cell>
          <cell r="I60" t="str">
            <v>Lodging</v>
          </cell>
          <cell r="J60" t="str">
            <v>Stock 2016</v>
          </cell>
          <cell r="K60" t="str">
            <v>Millions SqFt</v>
          </cell>
          <cell r="L60">
            <v>170.15189589049527</v>
          </cell>
          <cell r="M60">
            <v>169.74353134035809</v>
          </cell>
          <cell r="N60">
            <v>169.33614686514122</v>
          </cell>
          <cell r="O60">
            <v>168.92974011266489</v>
          </cell>
          <cell r="P60">
            <v>168.52430873639449</v>
          </cell>
          <cell r="Q60">
            <v>168.11985039542716</v>
          </cell>
          <cell r="R60">
            <v>167.71636275447813</v>
          </cell>
          <cell r="S60">
            <v>167.31384348386743</v>
          </cell>
          <cell r="T60">
            <v>166.91229025950614</v>
          </cell>
          <cell r="U60">
            <v>166.51170076288332</v>
          </cell>
          <cell r="V60">
            <v>166.11207268105238</v>
          </cell>
          <cell r="W60">
            <v>165.7134037066179</v>
          </cell>
          <cell r="X60">
            <v>165.31569153772202</v>
          </cell>
          <cell r="Y60">
            <v>164.91893387803151</v>
          </cell>
          <cell r="Z60">
            <v>164.52312843672422</v>
          </cell>
          <cell r="AA60">
            <v>164.12827292847609</v>
          </cell>
          <cell r="AB60">
            <v>163.73436507344778</v>
          </cell>
          <cell r="AC60">
            <v>163.3414025972715</v>
          </cell>
          <cell r="AD60">
            <v>162.94938323103807</v>
          </cell>
          <cell r="AE60">
            <v>162.55830471128357</v>
          </cell>
        </row>
        <row r="61">
          <cell r="G61" t="str">
            <v>RegionHospitalStock 2016</v>
          </cell>
          <cell r="H61" t="str">
            <v>Com</v>
          </cell>
          <cell r="I61" t="str">
            <v>Hospital</v>
          </cell>
          <cell r="J61" t="str">
            <v>Stock 2016</v>
          </cell>
          <cell r="K61" t="str">
            <v>Millions SqFt</v>
          </cell>
          <cell r="L61">
            <v>105.02947953487826</v>
          </cell>
          <cell r="M61">
            <v>104.80891762785501</v>
          </cell>
          <cell r="N61">
            <v>104.58881890083651</v>
          </cell>
          <cell r="O61">
            <v>104.36918238114475</v>
          </cell>
          <cell r="P61">
            <v>104.15000709814436</v>
          </cell>
          <cell r="Q61">
            <v>103.93129208323826</v>
          </cell>
          <cell r="R61">
            <v>103.71303636986346</v>
          </cell>
          <cell r="S61">
            <v>103.49523899348674</v>
          </cell>
          <cell r="T61">
            <v>103.27789899160042</v>
          </cell>
          <cell r="U61">
            <v>103.06101540371807</v>
          </cell>
          <cell r="V61">
            <v>102.84458727137024</v>
          </cell>
          <cell r="W61">
            <v>102.62861363810038</v>
          </cell>
          <cell r="X61">
            <v>102.41309354946036</v>
          </cell>
          <cell r="Y61">
            <v>102.19802605300649</v>
          </cell>
          <cell r="Z61">
            <v>101.98341019829519</v>
          </cell>
          <cell r="AA61">
            <v>101.76924503687877</v>
          </cell>
          <cell r="AB61">
            <v>101.55552962230132</v>
          </cell>
          <cell r="AC61">
            <v>101.3422630100945</v>
          </cell>
          <cell r="AD61">
            <v>101.1294442577733</v>
          </cell>
          <cell r="AE61">
            <v>100.91707242483197</v>
          </cell>
        </row>
        <row r="62">
          <cell r="G62" t="str">
            <v>RegionResidential CareStock 2016</v>
          </cell>
          <cell r="H62" t="str">
            <v>Com</v>
          </cell>
          <cell r="I62" t="str">
            <v>Residential Care</v>
          </cell>
          <cell r="J62" t="str">
            <v>Stock 2016</v>
          </cell>
          <cell r="K62" t="str">
            <v>Millions SqFt</v>
          </cell>
          <cell r="L62">
            <v>128.74820917277606</v>
          </cell>
          <cell r="M62">
            <v>128.43921347076139</v>
          </cell>
          <cell r="N62">
            <v>128.1309593584316</v>
          </cell>
          <cell r="O62">
            <v>127.82344505597135</v>
          </cell>
          <cell r="P62">
            <v>127.51666878783702</v>
          </cell>
          <cell r="Q62">
            <v>127.21062878274621</v>
          </cell>
          <cell r="R62">
            <v>126.90532327366765</v>
          </cell>
          <cell r="S62">
            <v>126.60075049781085</v>
          </cell>
          <cell r="T62">
            <v>126.29690869661611</v>
          </cell>
          <cell r="U62">
            <v>125.99379611574425</v>
          </cell>
          <cell r="V62">
            <v>125.69141100506647</v>
          </cell>
          <cell r="W62">
            <v>125.3897516186543</v>
          </cell>
          <cell r="X62">
            <v>125.08881621476955</v>
          </cell>
          <cell r="Y62">
            <v>124.78860305585408</v>
          </cell>
          <cell r="Z62">
            <v>124.48911040852005</v>
          </cell>
          <cell r="AA62">
            <v>124.1903365435396</v>
          </cell>
          <cell r="AB62">
            <v>123.8922797358351</v>
          </cell>
          <cell r="AC62">
            <v>123.59493826446912</v>
          </cell>
          <cell r="AD62">
            <v>123.29831041263438</v>
          </cell>
          <cell r="AE62">
            <v>123.00239446764408</v>
          </cell>
        </row>
        <row r="63">
          <cell r="G63" t="str">
            <v>RegionAssemblyStock 2016</v>
          </cell>
          <cell r="H63" t="str">
            <v>Com</v>
          </cell>
          <cell r="I63" t="str">
            <v>Assembly</v>
          </cell>
          <cell r="J63" t="str">
            <v>Stock 2016</v>
          </cell>
          <cell r="K63" t="str">
            <v>Millions SqFt</v>
          </cell>
          <cell r="L63">
            <v>375.90224900649127</v>
          </cell>
          <cell r="M63">
            <v>374.21570091594884</v>
          </cell>
          <cell r="N63">
            <v>372.53671980450594</v>
          </cell>
          <cell r="O63">
            <v>370.86527172164978</v>
          </cell>
          <cell r="P63">
            <v>369.20132286919198</v>
          </cell>
          <cell r="Q63">
            <v>367.54483960058553</v>
          </cell>
          <cell r="R63">
            <v>365.89578842024423</v>
          </cell>
          <cell r="S63">
            <v>364.25413598286536</v>
          </cell>
          <cell r="T63">
            <v>362.6198490927556</v>
          </cell>
          <cell r="U63">
            <v>360.99289470315949</v>
          </cell>
          <cell r="V63">
            <v>359.37323991559134</v>
          </cell>
          <cell r="W63">
            <v>357.76085197917007</v>
          </cell>
          <cell r="X63">
            <v>356.15569828995689</v>
          </cell>
          <cell r="Y63">
            <v>354.55774639029596</v>
          </cell>
          <cell r="Z63">
            <v>352.96696396815821</v>
          </cell>
          <cell r="AA63">
            <v>351.38331885648773</v>
          </cell>
          <cell r="AB63">
            <v>349.80677903255156</v>
          </cell>
          <cell r="AC63">
            <v>348.23731261729228</v>
          </cell>
          <cell r="AD63">
            <v>346.67488787468267</v>
          </cell>
          <cell r="AE63">
            <v>345.11947321108494</v>
          </cell>
        </row>
        <row r="64">
          <cell r="G64" t="str">
            <v>RegionOtherStock 2016</v>
          </cell>
          <cell r="H64" t="str">
            <v>Com</v>
          </cell>
          <cell r="I64" t="str">
            <v>Other</v>
          </cell>
          <cell r="J64" t="str">
            <v>Stock 2016</v>
          </cell>
          <cell r="K64" t="str">
            <v>Millions SqFt</v>
          </cell>
          <cell r="L64">
            <v>342.64988330108076</v>
          </cell>
          <cell r="M64">
            <v>339.56603435137106</v>
          </cell>
          <cell r="N64">
            <v>336.50994004220871</v>
          </cell>
          <cell r="O64">
            <v>333.48135058182885</v>
          </cell>
          <cell r="P64">
            <v>330.48001842659238</v>
          </cell>
          <cell r="Q64">
            <v>327.50569826075304</v>
          </cell>
          <cell r="R64">
            <v>324.55814697640625</v>
          </cell>
          <cell r="S64">
            <v>321.63712365361863</v>
          </cell>
          <cell r="T64">
            <v>318.7423895407361</v>
          </cell>
          <cell r="U64">
            <v>315.87370803486942</v>
          </cell>
          <cell r="V64">
            <v>313.03084466255564</v>
          </cell>
          <cell r="W64">
            <v>310.21356706059254</v>
          </cell>
          <cell r="X64">
            <v>307.42164495704725</v>
          </cell>
          <cell r="Y64">
            <v>304.65485015243382</v>
          </cell>
          <cell r="Z64">
            <v>301.9129565010619</v>
          </cell>
          <cell r="AA64">
            <v>299.19573989255235</v>
          </cell>
          <cell r="AB64">
            <v>296.50297823351934</v>
          </cell>
          <cell r="AC64">
            <v>293.83445142941764</v>
          </cell>
          <cell r="AD64">
            <v>291.18994136655289</v>
          </cell>
          <cell r="AE64">
            <v>288.5692318942539</v>
          </cell>
        </row>
        <row r="65">
          <cell r="G65" t="str">
            <v>RegionIdahoStock</v>
          </cell>
          <cell r="H65" t="str">
            <v>Ag</v>
          </cell>
          <cell r="I65" t="str">
            <v>Idaho</v>
          </cell>
          <cell r="J65" t="str">
            <v>Stock</v>
          </cell>
          <cell r="K65" t="str">
            <v>% Growth</v>
          </cell>
          <cell r="L65">
            <v>0</v>
          </cell>
          <cell r="M65">
            <v>1.2504100211369894E-4</v>
          </cell>
          <cell r="N65">
            <v>1.7375879514796466E-4</v>
          </cell>
          <cell r="O65">
            <v>6.1210927779177624E-4</v>
          </cell>
          <cell r="P65">
            <v>8.8127487458086599E-4</v>
          </cell>
          <cell r="Q65">
            <v>1.1201972174019578E-3</v>
          </cell>
          <cell r="R65">
            <v>1.2717867360821197E-3</v>
          </cell>
          <cell r="S65">
            <v>1.4404642508513471E-3</v>
          </cell>
          <cell r="T65">
            <v>1.5874396385228723E-3</v>
          </cell>
          <cell r="U65">
            <v>1.7204636459112381E-3</v>
          </cell>
          <cell r="V65">
            <v>1.8289050040785739E-3</v>
          </cell>
          <cell r="W65">
            <v>1.9377539743383628E-3</v>
          </cell>
          <cell r="X65">
            <v>2.0316119038316116E-3</v>
          </cell>
          <cell r="Y65">
            <v>2.128079506222659E-3</v>
          </cell>
          <cell r="Z65">
            <v>2.2126572758413075E-3</v>
          </cell>
          <cell r="AA65">
            <v>2.2578225416429688E-3</v>
          </cell>
          <cell r="AB65">
            <v>2.3464540176612314E-3</v>
          </cell>
          <cell r="AC65">
            <v>2.414467009038601E-3</v>
          </cell>
          <cell r="AD65">
            <v>2.4848313911262653E-3</v>
          </cell>
          <cell r="AE65">
            <v>2.5344116000376449E-3</v>
          </cell>
        </row>
        <row r="66">
          <cell r="G66" t="str">
            <v>RegionMontanaStock</v>
          </cell>
          <cell r="H66" t="str">
            <v>Ag</v>
          </cell>
          <cell r="I66" t="str">
            <v>Montana</v>
          </cell>
          <cell r="J66" t="str">
            <v>Stock</v>
          </cell>
          <cell r="K66" t="str">
            <v>% Growth</v>
          </cell>
          <cell r="L66">
            <v>0</v>
          </cell>
          <cell r="M66">
            <v>1.0848242299839954E-2</v>
          </cell>
          <cell r="N66">
            <v>1.059267655252486E-2</v>
          </cell>
          <cell r="O66">
            <v>1.0752312089181865E-2</v>
          </cell>
          <cell r="P66">
            <v>1.075849831916186E-2</v>
          </cell>
          <cell r="Q66">
            <v>7.6567396067742733E-3</v>
          </cell>
          <cell r="R66">
            <v>7.6532068711881581E-3</v>
          </cell>
          <cell r="S66">
            <v>7.9235679867256659E-3</v>
          </cell>
          <cell r="T66">
            <v>8.1459053842477987E-3</v>
          </cell>
          <cell r="U66">
            <v>8.331284422267278E-3</v>
          </cell>
          <cell r="V66">
            <v>8.47135846405455E-3</v>
          </cell>
          <cell r="W66">
            <v>8.5938864965773454E-3</v>
          </cell>
          <cell r="X66">
            <v>8.6866032784890905E-3</v>
          </cell>
          <cell r="Y66">
            <v>8.7680800681235963E-3</v>
          </cell>
          <cell r="Z66">
            <v>8.8271867856936984E-3</v>
          </cell>
          <cell r="AA66">
            <v>8.8355566433926322E-3</v>
          </cell>
          <cell r="AB66">
            <v>8.8812025924713319E-3</v>
          </cell>
          <cell r="AC66">
            <v>8.8979055290069331E-3</v>
          </cell>
          <cell r="AD66">
            <v>8.9118787925779024E-3</v>
          </cell>
          <cell r="AE66">
            <v>8.9015256915168112E-3</v>
          </cell>
        </row>
        <row r="67">
          <cell r="G67" t="str">
            <v>RegionOregonStock</v>
          </cell>
          <cell r="H67" t="str">
            <v>Ag</v>
          </cell>
          <cell r="I67" t="str">
            <v>Oregon</v>
          </cell>
          <cell r="J67" t="str">
            <v>Stock</v>
          </cell>
          <cell r="K67" t="str">
            <v>% Growth</v>
          </cell>
          <cell r="L67">
            <v>0</v>
          </cell>
          <cell r="M67">
            <v>1.0110842680911804E-2</v>
          </cell>
          <cell r="N67">
            <v>1.0059217505089263E-2</v>
          </cell>
          <cell r="O67">
            <v>1.1176866051223918E-2</v>
          </cell>
          <cell r="P67">
            <v>1.9803102619340613E-2</v>
          </cell>
          <cell r="Q67">
            <v>1.2078828157499845E-2</v>
          </cell>
          <cell r="R67">
            <v>1.2074917420983849E-2</v>
          </cell>
          <cell r="S67">
            <v>1.2823009061012478E-2</v>
          </cell>
          <cell r="T67">
            <v>1.2064646132519813E-2</v>
          </cell>
          <cell r="U67">
            <v>2.1359830411811859E-2</v>
          </cell>
          <cell r="V67">
            <v>1.1864279678250279E-2</v>
          </cell>
          <cell r="W67">
            <v>1.1811806122028052E-2</v>
          </cell>
          <cell r="X67">
            <v>1.1060463245174785E-2</v>
          </cell>
          <cell r="Y67">
            <v>1.1689201211084101E-2</v>
          </cell>
          <cell r="Z67">
            <v>1.9623204602959039E-2</v>
          </cell>
          <cell r="AA67">
            <v>1.2054155221857031E-2</v>
          </cell>
          <cell r="AB67">
            <v>1.2615728823653952E-2</v>
          </cell>
          <cell r="AC67">
            <v>1.2496481187089379E-2</v>
          </cell>
          <cell r="AD67">
            <v>1.1753415892541448E-2</v>
          </cell>
          <cell r="AE67">
            <v>2.0946064887122692E-2</v>
          </cell>
        </row>
        <row r="68">
          <cell r="G68" t="str">
            <v>RegionWashingtonStock</v>
          </cell>
          <cell r="H68" t="str">
            <v>Ag</v>
          </cell>
          <cell r="I68" t="str">
            <v>Washington</v>
          </cell>
          <cell r="J68" t="str">
            <v>Stock</v>
          </cell>
          <cell r="K68" t="str">
            <v>% Growth</v>
          </cell>
          <cell r="L68">
            <v>0</v>
          </cell>
          <cell r="M68">
            <v>1.0662122206220235E-2</v>
          </cell>
          <cell r="N68">
            <v>1.0931258902780325E-2</v>
          </cell>
          <cell r="O68">
            <v>1.1173761515183053E-2</v>
          </cell>
          <cell r="P68">
            <v>1.811439906784525E-2</v>
          </cell>
          <cell r="Q68">
            <v>1.2399989211989764E-2</v>
          </cell>
          <cell r="R68">
            <v>1.1939862954954953E-2</v>
          </cell>
          <cell r="S68">
            <v>1.2288284859874222E-2</v>
          </cell>
          <cell r="T68">
            <v>1.1842226253476947E-2</v>
          </cell>
          <cell r="U68">
            <v>1.9682157833762929E-2</v>
          </cell>
          <cell r="V68">
            <v>1.1592234987503456E-2</v>
          </cell>
          <cell r="W68">
            <v>1.1147844023716795E-2</v>
          </cell>
          <cell r="X68">
            <v>1.1425985017752077E-2</v>
          </cell>
          <cell r="Y68">
            <v>1.0985810035676221E-2</v>
          </cell>
          <cell r="Z68">
            <v>1.7930228386922677E-2</v>
          </cell>
          <cell r="AA68">
            <v>1.1736355426763144E-2</v>
          </cell>
          <cell r="AB68">
            <v>1.1982095590114178E-2</v>
          </cell>
          <cell r="AC68">
            <v>1.1862624139313738E-2</v>
          </cell>
          <cell r="AD68">
            <v>1.1418033334772959E-2</v>
          </cell>
          <cell r="AE68">
            <v>1.8838157687553127E-2</v>
          </cell>
        </row>
        <row r="69">
          <cell r="G69" t="str">
            <v>RegionIdahoDairyStock</v>
          </cell>
          <cell r="H69" t="str">
            <v>Dairy</v>
          </cell>
          <cell r="I69" t="str">
            <v>IdahoDairy</v>
          </cell>
          <cell r="J69" t="str">
            <v>Stock</v>
          </cell>
          <cell r="K69" t="str">
            <v>1000lbs</v>
          </cell>
          <cell r="L69">
            <v>13629.012110609969</v>
          </cell>
          <cell r="M69">
            <v>13842.907114251881</v>
          </cell>
          <cell r="N69">
            <v>14023.216425344392</v>
          </cell>
          <cell r="O69">
            <v>14266.319353967396</v>
          </cell>
          <cell r="P69">
            <v>14513.683501515552</v>
          </cell>
          <cell r="Q69">
            <v>14784.738793280194</v>
          </cell>
          <cell r="R69">
            <v>15048.82150982591</v>
          </cell>
          <cell r="S69">
            <v>15351.081667959821</v>
          </cell>
          <cell r="T69">
            <v>15676.70161423125</v>
          </cell>
          <cell r="U69">
            <v>16022.910400199034</v>
          </cell>
          <cell r="V69">
            <v>16435.334001552066</v>
          </cell>
          <cell r="W69">
            <v>16796.9270935268</v>
          </cell>
          <cell r="X69">
            <v>17186.008838626629</v>
          </cell>
          <cell r="Y69">
            <v>17509.663776252026</v>
          </cell>
          <cell r="Z69">
            <v>17849.045518001847</v>
          </cell>
          <cell r="AA69">
            <v>18205.116228437721</v>
          </cell>
          <cell r="AB69">
            <v>18533.843580326749</v>
          </cell>
          <cell r="AC69">
            <v>18839.457555909743</v>
          </cell>
          <cell r="AD69">
            <v>19186.22471079613</v>
          </cell>
          <cell r="AE69">
            <v>19422.392838095242</v>
          </cell>
        </row>
        <row r="70">
          <cell r="G70" t="str">
            <v>RegionMontanaDairyStock</v>
          </cell>
          <cell r="H70" t="str">
            <v>Dairy</v>
          </cell>
          <cell r="I70" t="str">
            <v>MontanaDairy</v>
          </cell>
          <cell r="J70" t="str">
            <v>Stock</v>
          </cell>
          <cell r="K70" t="str">
            <v>1000lbs</v>
          </cell>
          <cell r="L70">
            <v>90.74529582059904</v>
          </cell>
          <cell r="M70">
            <v>90.898327903457215</v>
          </cell>
          <cell r="N70">
            <v>90.899562515809663</v>
          </cell>
          <cell r="O70">
            <v>91.013237267303055</v>
          </cell>
          <cell r="P70">
            <v>90.967755259326395</v>
          </cell>
          <cell r="Q70">
            <v>90.924506050749457</v>
          </cell>
          <cell r="R70">
            <v>91.025748037140048</v>
          </cell>
          <cell r="S70">
            <v>91.099301040678228</v>
          </cell>
          <cell r="T70">
            <v>90.915023147811965</v>
          </cell>
          <cell r="U70">
            <v>90.903023153329187</v>
          </cell>
          <cell r="V70">
            <v>90.903850245090197</v>
          </cell>
          <cell r="W70">
            <v>90.425722269176404</v>
          </cell>
          <cell r="X70">
            <v>90.371471553755299</v>
          </cell>
          <cell r="Y70">
            <v>90.264014484201496</v>
          </cell>
          <cell r="Z70">
            <v>90.097051493259059</v>
          </cell>
          <cell r="AA70">
            <v>89.896800203896433</v>
          </cell>
          <cell r="AB70">
            <v>89.896456479218287</v>
          </cell>
          <cell r="AC70">
            <v>89.606519803497406</v>
          </cell>
          <cell r="AD70">
            <v>89.325294250105614</v>
          </cell>
          <cell r="AE70">
            <v>89.328380794090677</v>
          </cell>
        </row>
        <row r="71">
          <cell r="G71" t="str">
            <v>RegionOregonDairyStock</v>
          </cell>
          <cell r="H71" t="str">
            <v>Dairy</v>
          </cell>
          <cell r="I71" t="str">
            <v>OregonDairy</v>
          </cell>
          <cell r="J71" t="str">
            <v>Stock</v>
          </cell>
          <cell r="K71" t="str">
            <v>1000lbs</v>
          </cell>
          <cell r="L71">
            <v>2744.180551622544</v>
          </cell>
          <cell r="M71">
            <v>2781.3253166710429</v>
          </cell>
          <cell r="N71">
            <v>2817.8028576592669</v>
          </cell>
          <cell r="O71">
            <v>2852.4466796581391</v>
          </cell>
          <cell r="P71">
            <v>2887.2703785501863</v>
          </cell>
          <cell r="Q71">
            <v>2923.2055190854799</v>
          </cell>
          <cell r="R71">
            <v>2963.8717110873577</v>
          </cell>
          <cell r="S71">
            <v>3007.9285968792492</v>
          </cell>
          <cell r="T71">
            <v>3054.4586648127197</v>
          </cell>
          <cell r="U71">
            <v>3103.2723514737127</v>
          </cell>
          <cell r="V71">
            <v>3155.2926430989965</v>
          </cell>
          <cell r="W71">
            <v>3205.2179835947745</v>
          </cell>
          <cell r="X71">
            <v>3255.0785902298294</v>
          </cell>
          <cell r="Y71">
            <v>3304.2085620815005</v>
          </cell>
          <cell r="Z71">
            <v>3359.7128554945239</v>
          </cell>
          <cell r="AA71">
            <v>3405.0605171911329</v>
          </cell>
          <cell r="AB71">
            <v>3454.1652559274162</v>
          </cell>
          <cell r="AC71">
            <v>3509.2005551615157</v>
          </cell>
          <cell r="AD71">
            <v>3557.2266817524842</v>
          </cell>
          <cell r="AE71">
            <v>3610.3576666465606</v>
          </cell>
        </row>
        <row r="72">
          <cell r="G72" t="str">
            <v>RegionWashingtonDairyStock</v>
          </cell>
          <cell r="H72" t="str">
            <v>Dairy</v>
          </cell>
          <cell r="I72" t="str">
            <v>WashingtonDairy</v>
          </cell>
          <cell r="J72" t="str">
            <v>Stock</v>
          </cell>
          <cell r="K72" t="str">
            <v>1000lbs</v>
          </cell>
          <cell r="L72">
            <v>6417.4166624736044</v>
          </cell>
          <cell r="M72">
            <v>6527.6845985495966</v>
          </cell>
          <cell r="N72">
            <v>6648.0748527559354</v>
          </cell>
          <cell r="O72">
            <v>6750.5768396680051</v>
          </cell>
          <cell r="P72">
            <v>6858.9947023924851</v>
          </cell>
          <cell r="Q72">
            <v>6950.9448303929594</v>
          </cell>
          <cell r="R72">
            <v>7066.5055116132971</v>
          </cell>
          <cell r="S72">
            <v>7154.1963866384513</v>
          </cell>
          <cell r="T72">
            <v>7260.5595150379595</v>
          </cell>
          <cell r="U72">
            <v>7382.1828771063319</v>
          </cell>
          <cell r="V72">
            <v>7515.612457778011</v>
          </cell>
          <cell r="W72">
            <v>7658.3815592644387</v>
          </cell>
          <cell r="X72">
            <v>7790.6041619373518</v>
          </cell>
          <cell r="Y72">
            <v>7925.9535611829233</v>
          </cell>
          <cell r="Z72">
            <v>8056.1594585167277</v>
          </cell>
          <cell r="AA72">
            <v>8212.3413257643278</v>
          </cell>
          <cell r="AB72">
            <v>8359.6360208598271</v>
          </cell>
          <cell r="AC72">
            <v>8487.3604780857568</v>
          </cell>
          <cell r="AD72">
            <v>8647.4216609802097</v>
          </cell>
          <cell r="AE72">
            <v>8766.8632794861296</v>
          </cell>
        </row>
        <row r="73">
          <cell r="G73" t="str">
            <v>RegionMechanical PulpStock</v>
          </cell>
          <cell r="H73" t="str">
            <v>Ind</v>
          </cell>
          <cell r="I73" t="str">
            <v>Mechanical Pulp</v>
          </cell>
          <cell r="J73" t="str">
            <v>Stock</v>
          </cell>
          <cell r="K73" t="str">
            <v>Consumption (MWh)</v>
          </cell>
          <cell r="L73">
            <v>3758422.9515033378</v>
          </cell>
          <cell r="M73">
            <v>3846371.717457301</v>
          </cell>
          <cell r="N73">
            <v>3968374.1915052147</v>
          </cell>
          <cell r="O73">
            <v>4090510.3824295267</v>
          </cell>
          <cell r="P73">
            <v>4250302.9154343279</v>
          </cell>
          <cell r="Q73">
            <v>4334033.2977658212</v>
          </cell>
          <cell r="R73">
            <v>4456327.439187984</v>
          </cell>
          <cell r="S73">
            <v>4578789.2711511394</v>
          </cell>
          <cell r="T73">
            <v>4701360.1942719091</v>
          </cell>
          <cell r="U73">
            <v>4824313.8733196864</v>
          </cell>
          <cell r="V73">
            <v>4947352.2681518989</v>
          </cell>
          <cell r="W73">
            <v>5070668.4941239785</v>
          </cell>
          <cell r="X73">
            <v>5241393.4127492504</v>
          </cell>
          <cell r="Y73">
            <v>5317320.3001071345</v>
          </cell>
          <cell r="Z73">
            <v>5440661.5619043242</v>
          </cell>
          <cell r="AA73">
            <v>5564018.2642552005</v>
          </cell>
          <cell r="AB73">
            <v>5739586.1964683067</v>
          </cell>
          <cell r="AC73">
            <v>5811280.9684790904</v>
          </cell>
          <cell r="AD73">
            <v>5935246.9976805374</v>
          </cell>
          <cell r="AE73">
            <v>6059032.0232603503</v>
          </cell>
        </row>
        <row r="74">
          <cell r="G74" t="str">
            <v>RegionKraft PulpStock</v>
          </cell>
          <cell r="H74" t="str">
            <v>Ind</v>
          </cell>
          <cell r="I74" t="str">
            <v>Kraft Pulp</v>
          </cell>
          <cell r="J74" t="str">
            <v>Stock</v>
          </cell>
          <cell r="K74" t="str">
            <v>Consumption (MWh)</v>
          </cell>
          <cell r="L74">
            <v>2773481.4382196674</v>
          </cell>
          <cell r="M74">
            <v>2819427.5750914654</v>
          </cell>
          <cell r="N74">
            <v>2890507.7097985409</v>
          </cell>
          <cell r="O74">
            <v>2962071.1114584161</v>
          </cell>
          <cell r="P74">
            <v>3059997.7868964532</v>
          </cell>
          <cell r="Q74">
            <v>3103655.7832492976</v>
          </cell>
          <cell r="R74">
            <v>3174966.0896720556</v>
          </cell>
          <cell r="S74">
            <v>3246510.2403896889</v>
          </cell>
          <cell r="T74">
            <v>3318080.388651574</v>
          </cell>
          <cell r="U74">
            <v>3389982.4618547466</v>
          </cell>
          <cell r="V74">
            <v>3462131.4738810235</v>
          </cell>
          <cell r="W74">
            <v>3534707.6510694856</v>
          </cell>
          <cell r="X74">
            <v>3640109.6347631621</v>
          </cell>
          <cell r="Y74">
            <v>3679903.4172538687</v>
          </cell>
          <cell r="Z74">
            <v>3752596.4740436999</v>
          </cell>
          <cell r="AA74">
            <v>3825294.7476344355</v>
          </cell>
          <cell r="AB74">
            <v>3934104.1351328893</v>
          </cell>
          <cell r="AC74">
            <v>3971456.2759534372</v>
          </cell>
          <cell r="AD74">
            <v>4044721.9040998006</v>
          </cell>
          <cell r="AE74">
            <v>4117951.8072271077</v>
          </cell>
        </row>
        <row r="75">
          <cell r="G75" t="str">
            <v>RegionPaperStock</v>
          </cell>
          <cell r="H75" t="str">
            <v>Ind</v>
          </cell>
          <cell r="I75" t="str">
            <v>Paper</v>
          </cell>
          <cell r="J75" t="str">
            <v>Stock</v>
          </cell>
          <cell r="K75" t="str">
            <v>Consumption (MWh)</v>
          </cell>
          <cell r="L75">
            <v>909695.70566164097</v>
          </cell>
          <cell r="M75">
            <v>929841.98736761883</v>
          </cell>
          <cell r="N75">
            <v>958296.9900283548</v>
          </cell>
          <cell r="O75">
            <v>986772.46541472664</v>
          </cell>
          <cell r="P75">
            <v>1024503.2482359634</v>
          </cell>
          <cell r="Q75">
            <v>1043814.269249864</v>
          </cell>
          <cell r="R75">
            <v>1072416.0473229263</v>
          </cell>
          <cell r="S75">
            <v>1101138.6289797227</v>
          </cell>
          <cell r="T75">
            <v>1129827.4252453854</v>
          </cell>
          <cell r="U75">
            <v>1158615.4096222189</v>
          </cell>
          <cell r="V75">
            <v>1187381.7412163604</v>
          </cell>
          <cell r="W75">
            <v>1216221.7351596826</v>
          </cell>
          <cell r="X75">
            <v>1256359.4314945252</v>
          </cell>
          <cell r="Y75">
            <v>1273754.7023949234</v>
          </cell>
          <cell r="Z75">
            <v>1302557.2241510332</v>
          </cell>
          <cell r="AA75">
            <v>1331330.2770174742</v>
          </cell>
          <cell r="AB75">
            <v>1372605.4069409962</v>
          </cell>
          <cell r="AC75">
            <v>1388979.5459728481</v>
          </cell>
          <cell r="AD75">
            <v>1417876.2653212347</v>
          </cell>
          <cell r="AE75">
            <v>1446660.9687985121</v>
          </cell>
        </row>
        <row r="76">
          <cell r="G76" t="str">
            <v>RegionFoundriesStock</v>
          </cell>
          <cell r="H76" t="str">
            <v>Ind</v>
          </cell>
          <cell r="I76" t="str">
            <v>Foundries</v>
          </cell>
          <cell r="J76" t="str">
            <v>Stock</v>
          </cell>
          <cell r="K76" t="str">
            <v>Consumption (MWh)</v>
          </cell>
          <cell r="L76">
            <v>2911780.7125423807</v>
          </cell>
          <cell r="M76">
            <v>2836711.9420544878</v>
          </cell>
          <cell r="N76">
            <v>2789583.7208478679</v>
          </cell>
          <cell r="O76">
            <v>2744161.1652043322</v>
          </cell>
          <cell r="P76">
            <v>2724138.9595719618</v>
          </cell>
          <cell r="Q76">
            <v>2657920.4757749322</v>
          </cell>
          <cell r="R76">
            <v>2617304.9227809869</v>
          </cell>
          <cell r="S76">
            <v>2577672.8738681655</v>
          </cell>
          <cell r="T76">
            <v>2539470.2769998731</v>
          </cell>
          <cell r="U76">
            <v>2502370.6800410077</v>
          </cell>
          <cell r="V76">
            <v>2466328.7382904179</v>
          </cell>
          <cell r="W76">
            <v>2431145.5854122876</v>
          </cell>
          <cell r="X76">
            <v>2419072.5388772879</v>
          </cell>
          <cell r="Y76">
            <v>2363410.6682392037</v>
          </cell>
          <cell r="Z76">
            <v>2330315.4302864787</v>
          </cell>
          <cell r="AA76">
            <v>2297818.1106687617</v>
          </cell>
          <cell r="AB76">
            <v>2286770.7986101452</v>
          </cell>
          <cell r="AC76">
            <v>2234701.6262630955</v>
          </cell>
          <cell r="AD76">
            <v>2204017.8086585626</v>
          </cell>
          <cell r="AE76">
            <v>2173546.4494459317</v>
          </cell>
        </row>
        <row r="77">
          <cell r="G77" t="str">
            <v>RegionFrozen FoodStock</v>
          </cell>
          <cell r="H77" t="str">
            <v>Ind</v>
          </cell>
          <cell r="I77" t="str">
            <v>Frozen Food</v>
          </cell>
          <cell r="J77" t="str">
            <v>Stock</v>
          </cell>
          <cell r="K77" t="str">
            <v>Consumption (MWh)</v>
          </cell>
          <cell r="L77">
            <v>1237117.9151862806</v>
          </cell>
          <cell r="M77">
            <v>1256265.8697824469</v>
          </cell>
          <cell r="N77">
            <v>1286638.141562406</v>
          </cell>
          <cell r="O77">
            <v>1317026.0249685342</v>
          </cell>
          <cell r="P77">
            <v>1359372.6119707115</v>
          </cell>
          <cell r="Q77">
            <v>1377450.5956346455</v>
          </cell>
          <cell r="R77">
            <v>1407752.7747509496</v>
          </cell>
          <cell r="S77">
            <v>1438031.0417962291</v>
          </cell>
          <cell r="T77">
            <v>1468359.9477337729</v>
          </cell>
          <cell r="U77">
            <v>1498806.1175902041</v>
          </cell>
          <cell r="V77">
            <v>1529247.5005361729</v>
          </cell>
          <cell r="W77">
            <v>1559755.0254088808</v>
          </cell>
          <cell r="X77">
            <v>1604695.7181381483</v>
          </cell>
          <cell r="Y77">
            <v>1620685.0488578391</v>
          </cell>
          <cell r="Z77">
            <v>1651120.4927678995</v>
          </cell>
          <cell r="AA77">
            <v>1681526.4060613776</v>
          </cell>
          <cell r="AB77">
            <v>1727706.9650814079</v>
          </cell>
          <cell r="AC77">
            <v>1742468.2976748645</v>
          </cell>
          <cell r="AD77">
            <v>1772999.536528415</v>
          </cell>
          <cell r="AE77">
            <v>1803423.3883706611</v>
          </cell>
        </row>
        <row r="78">
          <cell r="G78" t="str">
            <v>RegionOther FoodStock</v>
          </cell>
          <cell r="H78" t="str">
            <v>Ind</v>
          </cell>
          <cell r="I78" t="str">
            <v>Other Food</v>
          </cell>
          <cell r="J78" t="str">
            <v>Stock</v>
          </cell>
          <cell r="K78" t="str">
            <v>Consumption (MWh)</v>
          </cell>
          <cell r="L78">
            <v>2189215.7914933185</v>
          </cell>
          <cell r="M78">
            <v>2225714.4170001475</v>
          </cell>
          <cell r="N78">
            <v>2281801.3842795906</v>
          </cell>
          <cell r="O78">
            <v>2337878.4662610777</v>
          </cell>
          <cell r="P78">
            <v>2414859.5617400161</v>
          </cell>
          <cell r="Q78">
            <v>2449639.2617126312</v>
          </cell>
          <cell r="R78">
            <v>2505916.452109566</v>
          </cell>
          <cell r="S78">
            <v>2561919.8701418121</v>
          </cell>
          <cell r="T78">
            <v>2618248.9470964097</v>
          </cell>
          <cell r="U78">
            <v>2674706.0878431001</v>
          </cell>
          <cell r="V78">
            <v>2731406.8457201738</v>
          </cell>
          <cell r="W78">
            <v>2788145.294466868</v>
          </cell>
          <cell r="X78">
            <v>2870921.2322274465</v>
          </cell>
          <cell r="Y78">
            <v>2901825.3565548556</v>
          </cell>
          <cell r="Z78">
            <v>2958750.6188529818</v>
          </cell>
          <cell r="AA78">
            <v>3015584.6219987967</v>
          </cell>
          <cell r="AB78">
            <v>3100853.4167639203</v>
          </cell>
          <cell r="AC78">
            <v>3129759.8328607553</v>
          </cell>
          <cell r="AD78">
            <v>3187110.5829028329</v>
          </cell>
          <cell r="AE78">
            <v>3244229.8759716363</v>
          </cell>
        </row>
        <row r="79">
          <cell r="G79" t="str">
            <v>RegionWood - LumberStock</v>
          </cell>
          <cell r="H79" t="str">
            <v>Ind</v>
          </cell>
          <cell r="I79" t="str">
            <v>Wood - Lumber</v>
          </cell>
          <cell r="J79" t="str">
            <v>Stock</v>
          </cell>
          <cell r="K79" t="str">
            <v>Consumption (MWh)</v>
          </cell>
          <cell r="L79">
            <v>1161963.8217505382</v>
          </cell>
          <cell r="M79">
            <v>1117769.5487595289</v>
          </cell>
          <cell r="N79">
            <v>1084874.9921310821</v>
          </cell>
          <cell r="O79">
            <v>1052791.9192047431</v>
          </cell>
          <cell r="P79">
            <v>1030397.4491679214</v>
          </cell>
          <cell r="Q79">
            <v>990879.29279742646</v>
          </cell>
          <cell r="R79">
            <v>961065.17490868072</v>
          </cell>
          <cell r="S79">
            <v>931730.64036078285</v>
          </cell>
          <cell r="T79">
            <v>903080.08419384609</v>
          </cell>
          <cell r="U79">
            <v>874945.75211344392</v>
          </cell>
          <cell r="V79">
            <v>847310.7915088681</v>
          </cell>
          <cell r="W79">
            <v>820119.00687699113</v>
          </cell>
          <cell r="X79">
            <v>800618.32318729174</v>
          </cell>
          <cell r="Y79">
            <v>766954.27095195896</v>
          </cell>
          <cell r="Z79">
            <v>740908.22274123156</v>
          </cell>
          <cell r="AA79">
            <v>715106.45172531332</v>
          </cell>
          <cell r="AB79">
            <v>696028.08762583928</v>
          </cell>
          <cell r="AC79">
            <v>664509.97671853204</v>
          </cell>
          <cell r="AD79">
            <v>639621.04956848687</v>
          </cell>
          <cell r="AE79">
            <v>614946.99745740264</v>
          </cell>
        </row>
        <row r="80">
          <cell r="G80" t="str">
            <v>RegionWood - PanelStock</v>
          </cell>
          <cell r="H80" t="str">
            <v>Ind</v>
          </cell>
          <cell r="I80" t="str">
            <v>Wood - Panel</v>
          </cell>
          <cell r="J80" t="str">
            <v>Stock</v>
          </cell>
          <cell r="K80" t="str">
            <v>Consumption (MWh)</v>
          </cell>
          <cell r="L80">
            <v>551950.18982134352</v>
          </cell>
          <cell r="M80">
            <v>528731.18450453493</v>
          </cell>
          <cell r="N80">
            <v>510838.63702842174</v>
          </cell>
          <cell r="O80">
            <v>493229.56048375246</v>
          </cell>
          <cell r="P80">
            <v>480200.65450609016</v>
          </cell>
          <cell r="Q80">
            <v>458869.67437759304</v>
          </cell>
          <cell r="R80">
            <v>442034.77624590963</v>
          </cell>
          <cell r="S80">
            <v>425381.84725157876</v>
          </cell>
          <cell r="T80">
            <v>408945.79607863171</v>
          </cell>
          <cell r="U80">
            <v>392669.02882158436</v>
          </cell>
          <cell r="V80">
            <v>376527.17230508296</v>
          </cell>
          <cell r="W80">
            <v>360540.83558473963</v>
          </cell>
          <cell r="X80">
            <v>347793.23494737077</v>
          </cell>
          <cell r="Y80">
            <v>328864.0423583783</v>
          </cell>
          <cell r="Z80">
            <v>313174.70380282239</v>
          </cell>
          <cell r="AA80">
            <v>297578.74522290094</v>
          </cell>
          <cell r="AB80">
            <v>284693.91308797692</v>
          </cell>
          <cell r="AC80">
            <v>266695.50893493497</v>
          </cell>
          <cell r="AD80">
            <v>251377.16659093063</v>
          </cell>
          <cell r="AE80">
            <v>236121.41095945257</v>
          </cell>
        </row>
        <row r="81">
          <cell r="G81" t="str">
            <v>RegionWood - OtherStock</v>
          </cell>
          <cell r="H81" t="str">
            <v>Ind</v>
          </cell>
          <cell r="I81" t="str">
            <v>Wood - Other</v>
          </cell>
          <cell r="J81" t="str">
            <v>Stock</v>
          </cell>
          <cell r="K81" t="str">
            <v>Consumption (MWh)</v>
          </cell>
          <cell r="L81">
            <v>870727.85506649863</v>
          </cell>
          <cell r="M81">
            <v>839735.03037413268</v>
          </cell>
          <cell r="N81">
            <v>817265.57122340729</v>
          </cell>
          <cell r="O81">
            <v>795421.70406258584</v>
          </cell>
          <cell r="P81">
            <v>780923.07506947254</v>
          </cell>
          <cell r="Q81">
            <v>753146.51005964773</v>
          </cell>
          <cell r="R81">
            <v>732820.97518292943</v>
          </cell>
          <cell r="S81">
            <v>712886.70561548509</v>
          </cell>
          <cell r="T81">
            <v>693400.22734523669</v>
          </cell>
          <cell r="U81">
            <v>674308.65124034672</v>
          </cell>
          <cell r="V81">
            <v>655534.95057322702</v>
          </cell>
          <cell r="W81">
            <v>637111.60144566628</v>
          </cell>
          <cell r="X81">
            <v>624630.92244216194</v>
          </cell>
          <cell r="Y81">
            <v>601103.42928001995</v>
          </cell>
          <cell r="Z81">
            <v>583449.38612394244</v>
          </cell>
          <cell r="AA81">
            <v>565997.72271073016</v>
          </cell>
          <cell r="AB81">
            <v>553823.1943250458</v>
          </cell>
          <cell r="AC81">
            <v>531773.35758124199</v>
          </cell>
          <cell r="AD81">
            <v>514944.55152005563</v>
          </cell>
          <cell r="AE81">
            <v>498286.13824063755</v>
          </cell>
        </row>
        <row r="82">
          <cell r="G82" t="str">
            <v>RegionSugarStock</v>
          </cell>
          <cell r="H82" t="str">
            <v>Ind</v>
          </cell>
          <cell r="I82" t="str">
            <v>Sugar</v>
          </cell>
          <cell r="J82" t="str">
            <v>Stock</v>
          </cell>
          <cell r="K82" t="str">
            <v>Consumption (MWh)</v>
          </cell>
          <cell r="L82">
            <v>475136.72478012781</v>
          </cell>
          <cell r="M82">
            <v>478944.05758966133</v>
          </cell>
          <cell r="N82">
            <v>486819.48116772674</v>
          </cell>
          <cell r="O82">
            <v>494591.38634116278</v>
          </cell>
          <cell r="P82">
            <v>506508.14130214165</v>
          </cell>
          <cell r="Q82">
            <v>510023.29432266601</v>
          </cell>
          <cell r="R82">
            <v>517787.90058012598</v>
          </cell>
          <cell r="S82">
            <v>525332.27094640187</v>
          </cell>
          <cell r="T82">
            <v>532962.59651115292</v>
          </cell>
          <cell r="U82">
            <v>540559.14188859914</v>
          </cell>
          <cell r="V82">
            <v>548264.64271890977</v>
          </cell>
          <cell r="W82">
            <v>555867.220442908</v>
          </cell>
          <cell r="X82">
            <v>568632.32789277437</v>
          </cell>
          <cell r="Y82">
            <v>571112.91942260799</v>
          </cell>
          <cell r="Z82">
            <v>578836.54771749349</v>
          </cell>
          <cell r="AA82">
            <v>586399.91803551139</v>
          </cell>
          <cell r="AB82">
            <v>599561.512214605</v>
          </cell>
          <cell r="AC82">
            <v>601661.01637638209</v>
          </cell>
          <cell r="AD82">
            <v>609371.99258243595</v>
          </cell>
          <cell r="AE82">
            <v>616906.35518594901</v>
          </cell>
        </row>
        <row r="83">
          <cell r="G83" t="str">
            <v>RegionHi Tech - Chip FabStock</v>
          </cell>
          <cell r="H83" t="str">
            <v>Ind</v>
          </cell>
          <cell r="I83" t="str">
            <v>Hi Tech - Chip Fab</v>
          </cell>
          <cell r="J83" t="str">
            <v>Stock</v>
          </cell>
          <cell r="K83" t="str">
            <v>Consumption (MWh)</v>
          </cell>
          <cell r="L83">
            <v>441794.88875823218</v>
          </cell>
          <cell r="M83">
            <v>432626.39847364998</v>
          </cell>
          <cell r="N83">
            <v>427242.98054352769</v>
          </cell>
          <cell r="O83">
            <v>422213.82213962206</v>
          </cell>
          <cell r="P83">
            <v>421920.64066734893</v>
          </cell>
          <cell r="Q83">
            <v>413709.06623231358</v>
          </cell>
          <cell r="R83">
            <v>410212.7518948018</v>
          </cell>
          <cell r="S83">
            <v>406355.09832970693</v>
          </cell>
          <cell r="T83">
            <v>403296.23418868397</v>
          </cell>
          <cell r="U83">
            <v>399924.4240136806</v>
          </cell>
          <cell r="V83">
            <v>397295.90252843429</v>
          </cell>
          <cell r="W83">
            <v>394316.89382121537</v>
          </cell>
          <cell r="X83">
            <v>395623.44895442144</v>
          </cell>
          <cell r="Y83">
            <v>389392.69605832879</v>
          </cell>
          <cell r="Z83">
            <v>386892.14662184619</v>
          </cell>
          <cell r="AA83">
            <v>385025.31464219192</v>
          </cell>
          <cell r="AB83">
            <v>386311.31539104413</v>
          </cell>
          <cell r="AC83">
            <v>381213.1101798673</v>
          </cell>
          <cell r="AD83">
            <v>379233.88825255015</v>
          </cell>
          <cell r="AE83">
            <v>377804.18623239076</v>
          </cell>
        </row>
        <row r="84">
          <cell r="G84" t="str">
            <v>RegionHi Tech - SiliconStock</v>
          </cell>
          <cell r="H84" t="str">
            <v>Ind</v>
          </cell>
          <cell r="I84" t="str">
            <v>Hi Tech - Silicon</v>
          </cell>
          <cell r="J84" t="str">
            <v>Stock</v>
          </cell>
          <cell r="K84" t="str">
            <v>Consumption (MWh)</v>
          </cell>
          <cell r="L84">
            <v>226900.615461001</v>
          </cell>
          <cell r="M84">
            <v>224036.45332402681</v>
          </cell>
          <cell r="N84">
            <v>223197.60670939417</v>
          </cell>
          <cell r="O84">
            <v>222435.67348639047</v>
          </cell>
          <cell r="P84">
            <v>223898.4301459378</v>
          </cell>
          <cell r="Q84">
            <v>221368.38696638378</v>
          </cell>
          <cell r="R84">
            <v>221129.95798393188</v>
          </cell>
          <cell r="S84">
            <v>220786.11584318019</v>
          </cell>
          <cell r="T84">
            <v>220661.22741685802</v>
          </cell>
          <cell r="U84">
            <v>220514.6104276102</v>
          </cell>
          <cell r="V84">
            <v>220566.57724116242</v>
          </cell>
          <cell r="W84">
            <v>220582.85570889112</v>
          </cell>
          <cell r="X84">
            <v>222786.93799954746</v>
          </cell>
          <cell r="Y84">
            <v>220925.37261965938</v>
          </cell>
          <cell r="Z84">
            <v>221135.24104542725</v>
          </cell>
          <cell r="AA84">
            <v>221470.75488217658</v>
          </cell>
          <cell r="AB84">
            <v>223814.68962733069</v>
          </cell>
          <cell r="AC84">
            <v>222220.65723257174</v>
          </cell>
          <cell r="AD84">
            <v>222629.30420924808</v>
          </cell>
          <cell r="AE84">
            <v>223146.84657001842</v>
          </cell>
        </row>
        <row r="85">
          <cell r="G85" t="str">
            <v>RegionMetal FabStock</v>
          </cell>
          <cell r="H85" t="str">
            <v>Ind</v>
          </cell>
          <cell r="I85" t="str">
            <v>Metal Fab</v>
          </cell>
          <cell r="J85" t="str">
            <v>Stock</v>
          </cell>
          <cell r="K85" t="str">
            <v>Consumption (MWh)</v>
          </cell>
          <cell r="L85">
            <v>909892.68701188185</v>
          </cell>
          <cell r="M85">
            <v>891825.25809582323</v>
          </cell>
          <cell r="N85">
            <v>882508.80442902481</v>
          </cell>
          <cell r="O85">
            <v>873727.53576770169</v>
          </cell>
          <cell r="P85">
            <v>873074.20336348354</v>
          </cell>
          <cell r="Q85">
            <v>857353.78829031112</v>
          </cell>
          <cell r="R85">
            <v>849920.96028251934</v>
          </cell>
          <cell r="S85">
            <v>842747.12140389089</v>
          </cell>
          <cell r="T85">
            <v>835992.11174095876</v>
          </cell>
          <cell r="U85">
            <v>829585.10375461576</v>
          </cell>
          <cell r="V85">
            <v>823489.91083828453</v>
          </cell>
          <cell r="W85">
            <v>817657.03435069101</v>
          </cell>
          <cell r="X85">
            <v>819465.35455238761</v>
          </cell>
          <cell r="Y85">
            <v>806647.75437978934</v>
          </cell>
          <cell r="Z85">
            <v>801457.62846863491</v>
          </cell>
          <cell r="AA85">
            <v>796415.70090358355</v>
          </cell>
          <cell r="AB85">
            <v>798860.24754177267</v>
          </cell>
          <cell r="AC85">
            <v>786961.84080937004</v>
          </cell>
          <cell r="AD85">
            <v>782499.53998716734</v>
          </cell>
          <cell r="AE85">
            <v>778123.72130174015</v>
          </cell>
        </row>
        <row r="86">
          <cell r="G86" t="str">
            <v>RegionTransportation, EquipStock</v>
          </cell>
          <cell r="H86" t="str">
            <v>Ind</v>
          </cell>
          <cell r="I86" t="str">
            <v>Transportation, Equip</v>
          </cell>
          <cell r="J86" t="str">
            <v>Stock</v>
          </cell>
          <cell r="K86" t="str">
            <v>Consumption (MWh)</v>
          </cell>
          <cell r="L86">
            <v>1804273.4320914866</v>
          </cell>
          <cell r="M86">
            <v>1764444.7092744687</v>
          </cell>
          <cell r="N86">
            <v>1742380.5060862801</v>
          </cell>
          <cell r="O86">
            <v>1721734.2919262978</v>
          </cell>
          <cell r="P86">
            <v>1717290.0100661237</v>
          </cell>
          <cell r="Q86">
            <v>1684212.3577429946</v>
          </cell>
          <cell r="R86">
            <v>1667572.9872876552</v>
          </cell>
          <cell r="S86">
            <v>1651915.7655637239</v>
          </cell>
          <cell r="T86">
            <v>1637404.0605393937</v>
          </cell>
          <cell r="U86">
            <v>1624039.8539685637</v>
          </cell>
          <cell r="V86">
            <v>1611571.7582730576</v>
          </cell>
          <cell r="W86">
            <v>1599938.1807304013</v>
          </cell>
          <cell r="X86">
            <v>1603782.6234504275</v>
          </cell>
          <cell r="Y86">
            <v>1579189.4507664458</v>
          </cell>
          <cell r="Z86">
            <v>1569848.0280781442</v>
          </cell>
          <cell r="AA86">
            <v>1560977.4194455137</v>
          </cell>
          <cell r="AB86">
            <v>1566945.462049291</v>
          </cell>
          <cell r="AC86">
            <v>1545218.7396206472</v>
          </cell>
          <cell r="AD86">
            <v>1538099.8647244556</v>
          </cell>
          <cell r="AE86">
            <v>1531589.7574381533</v>
          </cell>
        </row>
        <row r="87">
          <cell r="G87" t="str">
            <v>RegionRefineryStock</v>
          </cell>
          <cell r="H87" t="str">
            <v>Ind</v>
          </cell>
          <cell r="I87" t="str">
            <v>Refinery</v>
          </cell>
          <cell r="J87" t="str">
            <v>Stock</v>
          </cell>
          <cell r="K87" t="str">
            <v>Consumption (MWh)</v>
          </cell>
          <cell r="L87">
            <v>1881024.91962965</v>
          </cell>
          <cell r="M87">
            <v>1909117.5467978129</v>
          </cell>
          <cell r="N87">
            <v>1951995.6132668965</v>
          </cell>
          <cell r="O87">
            <v>1997111.8831124087</v>
          </cell>
          <cell r="P87">
            <v>2057483.6301056999</v>
          </cell>
          <cell r="Q87">
            <v>2084336.8416466711</v>
          </cell>
          <cell r="R87">
            <v>2127809.677560756</v>
          </cell>
          <cell r="S87">
            <v>2172413.8365607024</v>
          </cell>
          <cell r="T87">
            <v>2215960.2386478884</v>
          </cell>
          <cell r="U87">
            <v>2261195.6605773838</v>
          </cell>
          <cell r="V87">
            <v>2305708.6406222372</v>
          </cell>
          <cell r="W87">
            <v>2351421.030442731</v>
          </cell>
          <cell r="X87">
            <v>2417809.3733545281</v>
          </cell>
          <cell r="Y87">
            <v>2441973.3932293397</v>
          </cell>
          <cell r="Z87">
            <v>2486737.3300964865</v>
          </cell>
          <cell r="AA87">
            <v>2532907.6529900534</v>
          </cell>
          <cell r="AB87">
            <v>2601624.7146502738</v>
          </cell>
          <cell r="AC87">
            <v>2625012.9439967307</v>
          </cell>
          <cell r="AD87">
            <v>2670463.7864335729</v>
          </cell>
          <cell r="AE87">
            <v>2717337.6347862268</v>
          </cell>
        </row>
        <row r="88">
          <cell r="G88" t="str">
            <v>RegionCold StorageStock</v>
          </cell>
          <cell r="H88" t="str">
            <v>Ind</v>
          </cell>
          <cell r="I88" t="str">
            <v>Cold Storage</v>
          </cell>
          <cell r="J88" t="str">
            <v>Stock</v>
          </cell>
          <cell r="K88" t="str">
            <v>Consumption (MWh)</v>
          </cell>
          <cell r="L88">
            <v>78154.236827670538</v>
          </cell>
          <cell r="M88">
            <v>79453.458629044515</v>
          </cell>
          <cell r="N88">
            <v>81462.364882615439</v>
          </cell>
          <cell r="O88">
            <v>83477.500671992908</v>
          </cell>
          <cell r="P88">
            <v>86245.581369176958</v>
          </cell>
          <cell r="Q88">
            <v>87478.747599680457</v>
          </cell>
          <cell r="R88">
            <v>89494.311122657688</v>
          </cell>
          <cell r="S88">
            <v>91509.020390414968</v>
          </cell>
          <cell r="T88">
            <v>93532.504764969955</v>
          </cell>
          <cell r="U88">
            <v>95564.382084683428</v>
          </cell>
          <cell r="V88">
            <v>97600.983939128768</v>
          </cell>
          <cell r="W88">
            <v>99644.634467322845</v>
          </cell>
          <cell r="X88">
            <v>102618.3524040958</v>
          </cell>
          <cell r="Y88">
            <v>103741.81616097505</v>
          </cell>
          <cell r="Z88">
            <v>105788.43696882724</v>
          </cell>
          <cell r="AA88">
            <v>107838.05913011087</v>
          </cell>
          <cell r="AB88">
            <v>110898.73263363529</v>
          </cell>
          <cell r="AC88">
            <v>111951.72686476028</v>
          </cell>
          <cell r="AD88">
            <v>114014.96377503965</v>
          </cell>
          <cell r="AE88">
            <v>116079.01640209509</v>
          </cell>
        </row>
        <row r="89">
          <cell r="G89" t="str">
            <v>RegionFruit StorageStock</v>
          </cell>
          <cell r="H89" t="str">
            <v>Ind</v>
          </cell>
          <cell r="I89" t="str">
            <v>Fruit Storage</v>
          </cell>
          <cell r="J89" t="str">
            <v>Stock</v>
          </cell>
          <cell r="K89" t="str">
            <v>Consumption (MWh)</v>
          </cell>
          <cell r="L89">
            <v>199395.43790713095</v>
          </cell>
          <cell r="M89">
            <v>204115.10690708214</v>
          </cell>
          <cell r="N89">
            <v>210634.84781997796</v>
          </cell>
          <cell r="O89">
            <v>217141.49063609194</v>
          </cell>
          <cell r="P89">
            <v>225683.75101923331</v>
          </cell>
          <cell r="Q89">
            <v>230234.36323329096</v>
          </cell>
          <cell r="R89">
            <v>236796.95219371072</v>
          </cell>
          <cell r="S89">
            <v>243349.21918638356</v>
          </cell>
          <cell r="T89">
            <v>249921.80671927828</v>
          </cell>
          <cell r="U89">
            <v>256506.98239189648</v>
          </cell>
          <cell r="V89">
            <v>263096.35269472009</v>
          </cell>
          <cell r="W89">
            <v>269693.66215315415</v>
          </cell>
          <cell r="X89">
            <v>278797.26062516763</v>
          </cell>
          <cell r="Y89">
            <v>282842.82237701409</v>
          </cell>
          <cell r="Z89">
            <v>289419.35664982459</v>
          </cell>
          <cell r="AA89">
            <v>295994.31165490975</v>
          </cell>
          <cell r="AB89">
            <v>305366.03036291245</v>
          </cell>
          <cell r="AC89">
            <v>309179.84460456396</v>
          </cell>
          <cell r="AD89">
            <v>315794.71629056305</v>
          </cell>
          <cell r="AE89">
            <v>322364.98084319307</v>
          </cell>
        </row>
        <row r="90">
          <cell r="G90" t="str">
            <v>RegionChemicalStock</v>
          </cell>
          <cell r="H90" t="str">
            <v>Ind</v>
          </cell>
          <cell r="I90" t="str">
            <v>Chemical</v>
          </cell>
          <cell r="J90" t="str">
            <v>Stock</v>
          </cell>
          <cell r="K90" t="str">
            <v>Consumption (MWh)</v>
          </cell>
          <cell r="L90">
            <v>3305004.1605836996</v>
          </cell>
          <cell r="M90">
            <v>3443789.6934345411</v>
          </cell>
          <cell r="N90">
            <v>3609021.9884613133</v>
          </cell>
          <cell r="O90">
            <v>3771046.7677251906</v>
          </cell>
          <cell r="P90">
            <v>3927253.9609524435</v>
          </cell>
          <cell r="Q90">
            <v>4037395.7085911199</v>
          </cell>
          <cell r="R90">
            <v>4188643.2636367837</v>
          </cell>
          <cell r="S90">
            <v>4340984.9755713558</v>
          </cell>
          <cell r="T90">
            <v>4493975.9194887662</v>
          </cell>
          <cell r="U90">
            <v>4646018.0745007796</v>
          </cell>
          <cell r="V90">
            <v>4797371.3042631764</v>
          </cell>
          <cell r="W90">
            <v>4947813.7264089147</v>
          </cell>
          <cell r="X90">
            <v>5144107.7969676936</v>
          </cell>
          <cell r="Y90">
            <v>5246402.7802377427</v>
          </cell>
          <cell r="Z90">
            <v>5394857.0622515492</v>
          </cell>
          <cell r="AA90">
            <v>5541714.6108995685</v>
          </cell>
          <cell r="AB90">
            <v>5740442.2061493713</v>
          </cell>
          <cell r="AC90">
            <v>5833788.3063517585</v>
          </cell>
          <cell r="AD90">
            <v>5979638.453419812</v>
          </cell>
          <cell r="AE90">
            <v>6123880.4660364473</v>
          </cell>
        </row>
        <row r="91">
          <cell r="G91" t="str">
            <v>RegionMisc ManfStock</v>
          </cell>
          <cell r="H91" t="str">
            <v>Ind</v>
          </cell>
          <cell r="I91" t="str">
            <v>Misc Manf</v>
          </cell>
          <cell r="J91" t="str">
            <v>Stock</v>
          </cell>
          <cell r="K91" t="str">
            <v>Consumption (MWh)</v>
          </cell>
          <cell r="L91">
            <v>4209556.472488177</v>
          </cell>
          <cell r="M91">
            <v>4334633.1165770665</v>
          </cell>
          <cell r="N91">
            <v>4496807.6122477548</v>
          </cell>
          <cell r="O91">
            <v>4658950.5636732625</v>
          </cell>
          <cell r="P91">
            <v>4833902.8390341504</v>
          </cell>
          <cell r="Q91">
            <v>4939547.3871582579</v>
          </cell>
          <cell r="R91">
            <v>5095859.5790590979</v>
          </cell>
          <cell r="S91">
            <v>5254063.1713875132</v>
          </cell>
          <cell r="T91">
            <v>5413802.5084346561</v>
          </cell>
          <cell r="U91">
            <v>5573463.6928148605</v>
          </cell>
          <cell r="V91">
            <v>5733797.7617043415</v>
          </cell>
          <cell r="W91">
            <v>5893374.3310838528</v>
          </cell>
          <cell r="X91">
            <v>6108755.4059702102</v>
          </cell>
          <cell r="Y91">
            <v>6213044.4648437528</v>
          </cell>
          <cell r="Z91">
            <v>6372313.332896472</v>
          </cell>
          <cell r="AA91">
            <v>6531884.2745853113</v>
          </cell>
          <cell r="AB91">
            <v>6752077.3183153793</v>
          </cell>
          <cell r="AC91">
            <v>6850327.3548128605</v>
          </cell>
          <cell r="AD91">
            <v>7009692.065473482</v>
          </cell>
          <cell r="AE91">
            <v>7168736.8179728845</v>
          </cell>
        </row>
        <row r="92">
          <cell r="G92" t="str">
            <v>RegionEVStock</v>
          </cell>
          <cell r="H92" t="str">
            <v>EV</v>
          </cell>
          <cell r="I92" t="str">
            <v>EV</v>
          </cell>
          <cell r="J92" t="str">
            <v>Stock</v>
          </cell>
          <cell r="K92" t="str">
            <v>1000 Cars</v>
          </cell>
          <cell r="L92">
            <v>60.183986956923889</v>
          </cell>
          <cell r="M92">
            <v>91.985039267783762</v>
          </cell>
          <cell r="N92">
            <v>131.71899349682545</v>
          </cell>
          <cell r="O92">
            <v>179.31931215654896</v>
          </cell>
          <cell r="P92">
            <v>234.46894197990883</v>
          </cell>
          <cell r="Q92">
            <v>296.9378027583823</v>
          </cell>
          <cell r="R92">
            <v>366.00059330503768</v>
          </cell>
          <cell r="S92">
            <v>441.25939468635204</v>
          </cell>
          <cell r="T92">
            <v>522.62506581198477</v>
          </cell>
          <cell r="U92">
            <v>610.52396116716261</v>
          </cell>
          <cell r="V92">
            <v>705.01906985870437</v>
          </cell>
          <cell r="W92">
            <v>801.72374571842784</v>
          </cell>
          <cell r="X92">
            <v>899.84995621451503</v>
          </cell>
          <cell r="Y92">
            <v>998.49290967026104</v>
          </cell>
          <cell r="Z92">
            <v>1096.4275699987345</v>
          </cell>
          <cell r="AA92">
            <v>1187.7661760902763</v>
          </cell>
          <cell r="AB92">
            <v>1272.9815546454543</v>
          </cell>
          <cell r="AC92">
            <v>1351.8588013409089</v>
          </cell>
          <cell r="AD92">
            <v>1433.0587465545455</v>
          </cell>
          <cell r="AE92">
            <v>1500.0488473772725</v>
          </cell>
        </row>
        <row r="93">
          <cell r="G93" t="str">
            <v>RegionPopStock</v>
          </cell>
          <cell r="H93" t="str">
            <v>Pop</v>
          </cell>
          <cell r="I93" t="str">
            <v>Pop</v>
          </cell>
          <cell r="J93" t="str">
            <v>Stock</v>
          </cell>
          <cell r="K93" t="str">
            <v># of people</v>
          </cell>
          <cell r="L93">
            <v>13520.68111</v>
          </cell>
          <cell r="M93">
            <v>13661.840299999998</v>
          </cell>
          <cell r="N93">
            <v>13803.691440000001</v>
          </cell>
          <cell r="O93">
            <v>13944.276469999999</v>
          </cell>
          <cell r="P93">
            <v>14082.801340000002</v>
          </cell>
          <cell r="Q93">
            <v>14218.715590000002</v>
          </cell>
          <cell r="R93">
            <v>14351.918940000001</v>
          </cell>
          <cell r="S93">
            <v>14482.437540000003</v>
          </cell>
          <cell r="T93">
            <v>14610.4211</v>
          </cell>
          <cell r="U93">
            <v>14736.24631</v>
          </cell>
          <cell r="V93">
            <v>14860.320880000001</v>
          </cell>
          <cell r="W93">
            <v>14983.078860000001</v>
          </cell>
          <cell r="X93">
            <v>15104.70127</v>
          </cell>
          <cell r="Y93">
            <v>15225.195700000002</v>
          </cell>
          <cell r="Z93">
            <v>15344.62486</v>
          </cell>
          <cell r="AA93">
            <v>15463.089019999998</v>
          </cell>
          <cell r="AB93">
            <v>15580.68845</v>
          </cell>
          <cell r="AC93">
            <v>15697.50913</v>
          </cell>
          <cell r="AD93">
            <v>15813.626329999999</v>
          </cell>
          <cell r="AE93">
            <v>15929.254489999999</v>
          </cell>
        </row>
        <row r="94">
          <cell r="G94" t="str">
            <v>RegionDataCenterStock</v>
          </cell>
          <cell r="H94" t="str">
            <v>DataCenter</v>
          </cell>
          <cell r="I94" t="str">
            <v>DataCenter</v>
          </cell>
          <cell r="J94" t="str">
            <v>Stock</v>
          </cell>
          <cell r="K94" t="str">
            <v>Consumption (aMW)</v>
          </cell>
          <cell r="L94">
            <v>381.60143269415096</v>
          </cell>
          <cell r="M94">
            <v>404.69885906229592</v>
          </cell>
          <cell r="N94">
            <v>421.46039895133885</v>
          </cell>
          <cell r="O94">
            <v>419.64642143844253</v>
          </cell>
          <cell r="P94">
            <v>423.66562864853898</v>
          </cell>
          <cell r="Q94">
            <v>432.76092390952061</v>
          </cell>
          <cell r="R94">
            <v>446.31531189522576</v>
          </cell>
          <cell r="S94">
            <v>450.98222620533323</v>
          </cell>
          <cell r="T94">
            <v>459.05126073815245</v>
          </cell>
          <cell r="U94">
            <v>470.19601765719887</v>
          </cell>
          <cell r="V94">
            <v>484.16208251533135</v>
          </cell>
          <cell r="W94">
            <v>494.21069266812788</v>
          </cell>
          <cell r="X94">
            <v>506.64189476780371</v>
          </cell>
          <cell r="Y94">
            <v>521.35392484293436</v>
          </cell>
          <cell r="Z94">
            <v>538.28523642117</v>
          </cell>
          <cell r="AA94">
            <v>554.01935267425768</v>
          </cell>
          <cell r="AB94">
            <v>571.88182312772415</v>
          </cell>
          <cell r="AC94">
            <v>591.90212163156946</v>
          </cell>
          <cell r="AD94">
            <v>614.13634434495953</v>
          </cell>
          <cell r="AE94">
            <v>636.87438282107769</v>
          </cell>
        </row>
      </sheetData>
      <sheetData sheetId="2">
        <row r="3">
          <cell r="H3">
            <v>100</v>
          </cell>
        </row>
        <row r="4">
          <cell r="H4">
            <v>100</v>
          </cell>
        </row>
      </sheetData>
      <sheetData sheetId="3">
        <row r="24">
          <cell r="G24">
            <v>19224</v>
          </cell>
          <cell r="H24">
            <v>20881</v>
          </cell>
          <cell r="I24">
            <v>22030</v>
          </cell>
          <cell r="J24">
            <v>26693</v>
          </cell>
          <cell r="K24">
            <v>29534</v>
          </cell>
          <cell r="L24">
            <v>25256</v>
          </cell>
          <cell r="M24">
            <v>32825</v>
          </cell>
          <cell r="N24">
            <v>33591</v>
          </cell>
          <cell r="O24">
            <v>34363</v>
          </cell>
          <cell r="P24">
            <v>28330</v>
          </cell>
          <cell r="Q24">
            <v>28658</v>
          </cell>
          <cell r="R24">
            <v>28846</v>
          </cell>
          <cell r="S24">
            <v>29714</v>
          </cell>
          <cell r="T24">
            <v>28101</v>
          </cell>
          <cell r="U24">
            <v>25350</v>
          </cell>
          <cell r="V24">
            <v>26054</v>
          </cell>
          <cell r="W24">
            <v>30098</v>
          </cell>
          <cell r="X24">
            <v>34243</v>
          </cell>
          <cell r="Y24">
            <v>36326</v>
          </cell>
          <cell r="Z24">
            <v>40247</v>
          </cell>
          <cell r="AA24">
            <v>36985</v>
          </cell>
          <cell r="AB24">
            <v>30373</v>
          </cell>
          <cell r="AC24">
            <v>18826</v>
          </cell>
          <cell r="AD24">
            <v>13391</v>
          </cell>
          <cell r="AE24">
            <v>14886</v>
          </cell>
        </row>
        <row r="25">
          <cell r="G25">
            <v>14869.183557824352</v>
          </cell>
          <cell r="H25">
            <v>15220.21190520253</v>
          </cell>
          <cell r="I25">
            <v>18940.327900324999</v>
          </cell>
          <cell r="J25">
            <v>18837.087988326672</v>
          </cell>
          <cell r="K25">
            <v>17883.866659845167</v>
          </cell>
          <cell r="L25">
            <v>8123.2235993523336</v>
          </cell>
          <cell r="M25">
            <v>7903.1488702815295</v>
          </cell>
          <cell r="N25">
            <v>7592.1801314599406</v>
          </cell>
          <cell r="O25">
            <v>9401.6361134168346</v>
          </cell>
          <cell r="P25">
            <v>9701.2779324751245</v>
          </cell>
          <cell r="Q25">
            <v>11104.526723200062</v>
          </cell>
          <cell r="R25">
            <v>10897.632074550364</v>
          </cell>
          <cell r="S25">
            <v>12645.60766842474</v>
          </cell>
          <cell r="T25">
            <v>11965.262831791384</v>
          </cell>
          <cell r="U25">
            <v>10483.919915783859</v>
          </cell>
          <cell r="V25">
            <v>9971.9026959155963</v>
          </cell>
          <cell r="W25">
            <v>7253.9578552287549</v>
          </cell>
          <cell r="X25">
            <v>7119.6062546632547</v>
          </cell>
          <cell r="Y25">
            <v>7985.0504417912043</v>
          </cell>
          <cell r="Z25">
            <v>8677.2745487052198</v>
          </cell>
          <cell r="AA25">
            <v>9569.5883473366248</v>
          </cell>
          <cell r="AB25">
            <v>10771.842399662728</v>
          </cell>
          <cell r="AC25">
            <v>8763.9200796845034</v>
          </cell>
          <cell r="AD25">
            <v>2981.3702838569475</v>
          </cell>
          <cell r="AE25">
            <v>3522.5521445353306</v>
          </cell>
        </row>
        <row r="26">
          <cell r="G26">
            <v>968.81644217564758</v>
          </cell>
          <cell r="H26">
            <v>1167.7880947974693</v>
          </cell>
          <cell r="I26">
            <v>1180.6720996750003</v>
          </cell>
          <cell r="J26">
            <v>1129.91201167333</v>
          </cell>
          <cell r="K26">
            <v>657.13334015483224</v>
          </cell>
          <cell r="L26">
            <v>654.77640064766615</v>
          </cell>
          <cell r="M26">
            <v>652.8511297184707</v>
          </cell>
          <cell r="N26">
            <v>756.81986854005959</v>
          </cell>
          <cell r="O26">
            <v>787.36388658316514</v>
          </cell>
          <cell r="P26">
            <v>872.72206752487591</v>
          </cell>
          <cell r="Q26">
            <v>879.4732767999385</v>
          </cell>
          <cell r="R26">
            <v>984.36792544963578</v>
          </cell>
          <cell r="S26">
            <v>957.39233157526019</v>
          </cell>
          <cell r="T26">
            <v>887.73716820861637</v>
          </cell>
          <cell r="U26">
            <v>863.08008421613988</v>
          </cell>
          <cell r="V26">
            <v>722.09730408440362</v>
          </cell>
          <cell r="W26">
            <v>726.04214477124526</v>
          </cell>
          <cell r="X26">
            <v>786.3937453367455</v>
          </cell>
          <cell r="Y26">
            <v>838.94955820879602</v>
          </cell>
          <cell r="Z26">
            <v>904.72545129478021</v>
          </cell>
          <cell r="AA26">
            <v>978.41165266337521</v>
          </cell>
          <cell r="AB26">
            <v>852.15760033727156</v>
          </cell>
          <cell r="AC26">
            <v>520.07992031549577</v>
          </cell>
          <cell r="AD26">
            <v>564.62971614305252</v>
          </cell>
          <cell r="AE26">
            <v>705.44785546466926</v>
          </cell>
        </row>
        <row r="27">
          <cell r="G27">
            <v>4550</v>
          </cell>
          <cell r="H27">
            <v>3873</v>
          </cell>
          <cell r="I27">
            <v>4184</v>
          </cell>
          <cell r="J27">
            <v>4397</v>
          </cell>
          <cell r="K27">
            <v>5645</v>
          </cell>
          <cell r="L27">
            <v>5353</v>
          </cell>
          <cell r="M27">
            <v>5964</v>
          </cell>
          <cell r="N27">
            <v>6849</v>
          </cell>
          <cell r="O27">
            <v>7332</v>
          </cell>
          <cell r="P27">
            <v>7252</v>
          </cell>
          <cell r="Q27">
            <v>6257</v>
          </cell>
          <cell r="R27">
            <v>6419</v>
          </cell>
          <cell r="S27">
            <v>6874</v>
          </cell>
          <cell r="T27">
            <v>5339</v>
          </cell>
          <cell r="U27">
            <v>3853</v>
          </cell>
          <cell r="V27">
            <v>2971</v>
          </cell>
          <cell r="W27">
            <v>2933</v>
          </cell>
          <cell r="X27">
            <v>2868</v>
          </cell>
          <cell r="Y27">
            <v>2705</v>
          </cell>
          <cell r="Z27">
            <v>2723</v>
          </cell>
          <cell r="AA27">
            <v>2653</v>
          </cell>
          <cell r="AB27">
            <v>2063</v>
          </cell>
          <cell r="AC27">
            <v>1621</v>
          </cell>
          <cell r="AD27">
            <v>859</v>
          </cell>
          <cell r="AE27">
            <v>681</v>
          </cell>
        </row>
        <row r="34">
          <cell r="G34">
            <v>2868</v>
          </cell>
          <cell r="H34">
            <v>2692</v>
          </cell>
          <cell r="I34">
            <v>2813</v>
          </cell>
          <cell r="J34">
            <v>3536</v>
          </cell>
          <cell r="K34">
            <v>4754</v>
          </cell>
          <cell r="L34">
            <v>5803</v>
          </cell>
          <cell r="M34">
            <v>8453</v>
          </cell>
          <cell r="N34">
            <v>9522</v>
          </cell>
          <cell r="O34">
            <v>10120</v>
          </cell>
          <cell r="P34">
            <v>8784</v>
          </cell>
          <cell r="Q34">
            <v>9538</v>
          </cell>
          <cell r="R34">
            <v>9107</v>
          </cell>
          <cell r="S34">
            <v>10575</v>
          </cell>
          <cell r="T34">
            <v>10544</v>
          </cell>
          <cell r="U34">
            <v>9631</v>
          </cell>
          <cell r="V34">
            <v>9441</v>
          </cell>
          <cell r="W34">
            <v>10730</v>
          </cell>
          <cell r="X34">
            <v>12976</v>
          </cell>
          <cell r="Y34">
            <v>15094</v>
          </cell>
          <cell r="Z34">
            <v>18771</v>
          </cell>
          <cell r="AA34">
            <v>15444</v>
          </cell>
          <cell r="AB34">
            <v>9693</v>
          </cell>
          <cell r="AC34">
            <v>6027</v>
          </cell>
          <cell r="AD34">
            <v>4336</v>
          </cell>
          <cell r="AE34">
            <v>3706</v>
          </cell>
        </row>
        <row r="35">
          <cell r="G35">
            <v>848.82991832591654</v>
          </cell>
          <cell r="H35">
            <v>518.17882714524762</v>
          </cell>
          <cell r="I35">
            <v>288.37484437276629</v>
          </cell>
          <cell r="J35">
            <v>818.68632809921849</v>
          </cell>
          <cell r="K35">
            <v>922.54881309467987</v>
          </cell>
          <cell r="L35">
            <v>713.12107820425172</v>
          </cell>
          <cell r="M35">
            <v>1322.6430437243826</v>
          </cell>
          <cell r="N35">
            <v>1874.8440142054371</v>
          </cell>
          <cell r="O35">
            <v>2484.0690897878753</v>
          </cell>
          <cell r="P35">
            <v>1754.5624245646084</v>
          </cell>
          <cell r="Q35">
            <v>1502.6818009503679</v>
          </cell>
          <cell r="R35">
            <v>1099.0598706051132</v>
          </cell>
          <cell r="S35">
            <v>998.51700550573537</v>
          </cell>
          <cell r="T35">
            <v>1279.6542411025091</v>
          </cell>
          <cell r="U35">
            <v>931.97705912690287</v>
          </cell>
          <cell r="V35">
            <v>1416.4873706075907</v>
          </cell>
          <cell r="W35">
            <v>1622.1096316302473</v>
          </cell>
          <cell r="X35">
            <v>1725.2037386728252</v>
          </cell>
          <cell r="Y35">
            <v>1627.7922787378966</v>
          </cell>
          <cell r="Z35">
            <v>1461.0310065714518</v>
          </cell>
          <cell r="AA35">
            <v>1503.1641209172849</v>
          </cell>
          <cell r="AB35">
            <v>1434.6085653222435</v>
          </cell>
          <cell r="AC35">
            <v>616.53672479350837</v>
          </cell>
          <cell r="AD35">
            <v>410.6655928821981</v>
          </cell>
          <cell r="AE35">
            <v>283.5340494616637</v>
          </cell>
        </row>
        <row r="36">
          <cell r="G36">
            <v>45.170081674083427</v>
          </cell>
          <cell r="H36">
            <v>35.82117285475239</v>
          </cell>
          <cell r="I36">
            <v>62.625155627233696</v>
          </cell>
          <cell r="J36">
            <v>68.313671900781529</v>
          </cell>
          <cell r="K36">
            <v>60.451186905320142</v>
          </cell>
          <cell r="L36">
            <v>93.878921795748312</v>
          </cell>
          <cell r="M36">
            <v>125.35695627561738</v>
          </cell>
          <cell r="N36">
            <v>157.15598579456281</v>
          </cell>
          <cell r="O36">
            <v>120.93091021212476</v>
          </cell>
          <cell r="P36">
            <v>108.43757543539168</v>
          </cell>
          <cell r="Q36">
            <v>88.318199049632</v>
          </cell>
          <cell r="R36">
            <v>84.940129394886824</v>
          </cell>
          <cell r="S36">
            <v>100.48299449426467</v>
          </cell>
          <cell r="T36">
            <v>84.345758897490967</v>
          </cell>
          <cell r="U36">
            <v>113.02294087309717</v>
          </cell>
          <cell r="V36">
            <v>126.51262939240925</v>
          </cell>
          <cell r="W36">
            <v>133.89036836975254</v>
          </cell>
          <cell r="X36">
            <v>129.79626132717482</v>
          </cell>
          <cell r="Y36">
            <v>122.20772126210333</v>
          </cell>
          <cell r="Z36">
            <v>125.96899342854817</v>
          </cell>
          <cell r="AA36">
            <v>120.8358790827151</v>
          </cell>
          <cell r="AB36">
            <v>73.391434677756436</v>
          </cell>
          <cell r="AC36">
            <v>61.463275206491645</v>
          </cell>
          <cell r="AD36">
            <v>55.334407117801909</v>
          </cell>
          <cell r="AE36">
            <v>72.465950538336273</v>
          </cell>
        </row>
        <row r="37">
          <cell r="G37">
            <v>838</v>
          </cell>
          <cell r="H37">
            <v>605</v>
          </cell>
          <cell r="I37">
            <v>572</v>
          </cell>
          <cell r="J37">
            <v>703</v>
          </cell>
          <cell r="K37">
            <v>820</v>
          </cell>
          <cell r="L37">
            <v>1089</v>
          </cell>
          <cell r="M37">
            <v>1696</v>
          </cell>
          <cell r="N37">
            <v>2779</v>
          </cell>
          <cell r="O37">
            <v>3712</v>
          </cell>
          <cell r="P37">
            <v>3167</v>
          </cell>
          <cell r="Q37">
            <v>2635</v>
          </cell>
          <cell r="R37">
            <v>2634</v>
          </cell>
          <cell r="S37">
            <v>2980</v>
          </cell>
          <cell r="T37">
            <v>2343</v>
          </cell>
          <cell r="U37">
            <v>1317</v>
          </cell>
          <cell r="V37">
            <v>998</v>
          </cell>
          <cell r="W37">
            <v>1042</v>
          </cell>
          <cell r="X37">
            <v>785</v>
          </cell>
          <cell r="Y37">
            <v>765</v>
          </cell>
          <cell r="Z37">
            <v>798</v>
          </cell>
          <cell r="AA37">
            <v>849</v>
          </cell>
          <cell r="AB37">
            <v>721</v>
          </cell>
          <cell r="AC37">
            <v>526</v>
          </cell>
          <cell r="AD37">
            <v>273</v>
          </cell>
          <cell r="AE37">
            <v>283</v>
          </cell>
        </row>
        <row r="44">
          <cell r="G44">
            <v>972.4</v>
          </cell>
          <cell r="H44">
            <v>825.5</v>
          </cell>
          <cell r="I44">
            <v>730.6</v>
          </cell>
          <cell r="J44">
            <v>696.80000000000007</v>
          </cell>
          <cell r="K44">
            <v>925.6</v>
          </cell>
          <cell r="L44">
            <v>1349.4</v>
          </cell>
          <cell r="M44">
            <v>2454.4</v>
          </cell>
          <cell r="N44">
            <v>2601.3000000000002</v>
          </cell>
          <cell r="O44">
            <v>2906.8</v>
          </cell>
          <cell r="P44">
            <v>2382.9</v>
          </cell>
          <cell r="Q44">
            <v>2070.9</v>
          </cell>
          <cell r="R44">
            <v>1963</v>
          </cell>
          <cell r="S44">
            <v>1986.4</v>
          </cell>
          <cell r="T44">
            <v>2096.9</v>
          </cell>
          <cell r="U44">
            <v>2020.2</v>
          </cell>
          <cell r="V44">
            <v>2246.4</v>
          </cell>
          <cell r="W44">
            <v>2694.9</v>
          </cell>
          <cell r="X44">
            <v>3138.2000000000003</v>
          </cell>
          <cell r="Y44">
            <v>4468.1000000000004</v>
          </cell>
          <cell r="Z44">
            <v>4390.1000000000004</v>
          </cell>
          <cell r="AA44">
            <v>4347.2</v>
          </cell>
          <cell r="AB44">
            <v>3862.3</v>
          </cell>
          <cell r="AC44">
            <v>2616.9</v>
          </cell>
          <cell r="AD44">
            <v>1831.7</v>
          </cell>
          <cell r="AE44">
            <v>1666.6000000000001</v>
          </cell>
        </row>
        <row r="45">
          <cell r="G45">
            <v>474.93825094095956</v>
          </cell>
          <cell r="H45">
            <v>125.55342428746027</v>
          </cell>
          <cell r="I45">
            <v>239.38975865025668</v>
          </cell>
          <cell r="J45">
            <v>86.494038342320181</v>
          </cell>
          <cell r="K45">
            <v>253.07778115310504</v>
          </cell>
          <cell r="L45">
            <v>443.40968982992769</v>
          </cell>
          <cell r="M45">
            <v>238.40668933003624</v>
          </cell>
          <cell r="N45">
            <v>450.83862929341456</v>
          </cell>
          <cell r="O45">
            <v>732.37259269994001</v>
          </cell>
          <cell r="P45">
            <v>865.92745922778568</v>
          </cell>
          <cell r="Q45">
            <v>1098.5131099856153</v>
          </cell>
          <cell r="R45">
            <v>785.96545249482699</v>
          </cell>
          <cell r="S45">
            <v>745.40877474760293</v>
          </cell>
          <cell r="T45">
            <v>685.7461288484983</v>
          </cell>
          <cell r="U45">
            <v>667.72203160881213</v>
          </cell>
          <cell r="V45">
            <v>593.63332238391354</v>
          </cell>
          <cell r="W45">
            <v>1035.9518784735571</v>
          </cell>
          <cell r="X45">
            <v>903.3500469773611</v>
          </cell>
          <cell r="Y45">
            <v>893.8619142539435</v>
          </cell>
          <cell r="Z45">
            <v>928.12087639779793</v>
          </cell>
          <cell r="AA45">
            <v>772.11945727824411</v>
          </cell>
          <cell r="AB45">
            <v>709.88601514140555</v>
          </cell>
          <cell r="AC45">
            <v>356.68663359518177</v>
          </cell>
          <cell r="AD45">
            <v>136.66696241508441</v>
          </cell>
          <cell r="AE45">
            <v>367.84636582419688</v>
          </cell>
        </row>
        <row r="46">
          <cell r="G46">
            <v>26.061749059040462</v>
          </cell>
          <cell r="H46">
            <v>31.446575712539726</v>
          </cell>
          <cell r="I46">
            <v>24.610241349743323</v>
          </cell>
          <cell r="J46">
            <v>33.505961657679826</v>
          </cell>
          <cell r="K46">
            <v>42.922218846894957</v>
          </cell>
          <cell r="L46">
            <v>33.5903101700723</v>
          </cell>
          <cell r="M46">
            <v>45.593310669963749</v>
          </cell>
          <cell r="N46">
            <v>61.161370706585451</v>
          </cell>
          <cell r="O46">
            <v>69.627407300060014</v>
          </cell>
          <cell r="P46">
            <v>82.072540772214268</v>
          </cell>
          <cell r="Q46">
            <v>66.486890014384684</v>
          </cell>
          <cell r="R46">
            <v>65.034547505173009</v>
          </cell>
          <cell r="S46">
            <v>62.591225252397024</v>
          </cell>
          <cell r="T46">
            <v>62.253871151501713</v>
          </cell>
          <cell r="U46">
            <v>60.277968391187819</v>
          </cell>
          <cell r="V46">
            <v>85.366677616086406</v>
          </cell>
          <cell r="W46">
            <v>79.048121526442912</v>
          </cell>
          <cell r="X46">
            <v>79.649953022638883</v>
          </cell>
          <cell r="Y46">
            <v>82.138085746056518</v>
          </cell>
          <cell r="Z46">
            <v>73.879123602202057</v>
          </cell>
          <cell r="AA46">
            <v>69.880542721755916</v>
          </cell>
          <cell r="AB46">
            <v>49.113984858594421</v>
          </cell>
          <cell r="AC46">
            <v>37.313366404818197</v>
          </cell>
          <cell r="AD46">
            <v>52.333037584915587</v>
          </cell>
          <cell r="AE46">
            <v>68.15363417580312</v>
          </cell>
        </row>
        <row r="47">
          <cell r="G47">
            <v>667</v>
          </cell>
          <cell r="H47">
            <v>514</v>
          </cell>
          <cell r="I47">
            <v>441</v>
          </cell>
          <cell r="J47">
            <v>480</v>
          </cell>
          <cell r="K47">
            <v>505</v>
          </cell>
          <cell r="L47">
            <v>653</v>
          </cell>
          <cell r="M47">
            <v>1021</v>
          </cell>
          <cell r="N47">
            <v>1453</v>
          </cell>
          <cell r="O47">
            <v>1871</v>
          </cell>
          <cell r="P47">
            <v>1772</v>
          </cell>
          <cell r="Q47">
            <v>1749</v>
          </cell>
          <cell r="R47">
            <v>1681</v>
          </cell>
          <cell r="S47">
            <v>1919</v>
          </cell>
          <cell r="T47">
            <v>1736</v>
          </cell>
          <cell r="U47">
            <v>1195</v>
          </cell>
          <cell r="V47">
            <v>922</v>
          </cell>
          <cell r="W47">
            <v>972</v>
          </cell>
          <cell r="X47">
            <v>827</v>
          </cell>
          <cell r="Y47">
            <v>697</v>
          </cell>
          <cell r="Z47">
            <v>641</v>
          </cell>
          <cell r="AA47">
            <v>611</v>
          </cell>
          <cell r="AB47">
            <v>593</v>
          </cell>
          <cell r="AC47">
            <v>437</v>
          </cell>
          <cell r="AD47">
            <v>290</v>
          </cell>
          <cell r="AE47">
            <v>325</v>
          </cell>
        </row>
        <row r="54">
          <cell r="G54">
            <v>29614.268</v>
          </cell>
          <cell r="H54">
            <v>32248.535</v>
          </cell>
          <cell r="I54">
            <v>34559.441999999995</v>
          </cell>
          <cell r="J54">
            <v>42040.175999999999</v>
          </cell>
          <cell r="K54">
            <v>48415.591999999997</v>
          </cell>
          <cell r="L54">
            <v>44234.157999999996</v>
          </cell>
          <cell r="M54">
            <v>57584.008000000002</v>
          </cell>
          <cell r="N54">
            <v>61360.741000000002</v>
          </cell>
          <cell r="O54">
            <v>63637.876000000004</v>
          </cell>
          <cell r="P54">
            <v>54867.252999999997</v>
          </cell>
          <cell r="Q54">
            <v>57384.413</v>
          </cell>
          <cell r="R54">
            <v>56006.91</v>
          </cell>
          <cell r="S54">
            <v>58939.248</v>
          </cell>
          <cell r="T54">
            <v>56527.233</v>
          </cell>
          <cell r="U54">
            <v>51608.513999999996</v>
          </cell>
          <cell r="V54">
            <v>52738.448000000004</v>
          </cell>
          <cell r="W54">
            <v>59782.093000000001</v>
          </cell>
          <cell r="X54">
            <v>67688.774000000005</v>
          </cell>
          <cell r="Y54">
            <v>74522.816999999995</v>
          </cell>
          <cell r="Z54">
            <v>84872.357000000004</v>
          </cell>
          <cell r="AA54">
            <v>75289.903999999995</v>
          </cell>
          <cell r="AB54">
            <v>57664.510999999999</v>
          </cell>
          <cell r="AC54">
            <v>34509.633000000002</v>
          </cell>
          <cell r="AD54">
            <v>24099.069</v>
          </cell>
          <cell r="AE54">
            <v>24846.962</v>
          </cell>
        </row>
        <row r="55">
          <cell r="G55">
            <v>18929.763197074921</v>
          </cell>
          <cell r="H55">
            <v>19012.285997102455</v>
          </cell>
          <cell r="I55">
            <v>22080.05399967837</v>
          </cell>
          <cell r="J55">
            <v>28601.778161129085</v>
          </cell>
          <cell r="K55">
            <v>27202.893689869059</v>
          </cell>
          <cell r="L55">
            <v>12390.210937882894</v>
          </cell>
          <cell r="M55">
            <v>12173.152842775997</v>
          </cell>
          <cell r="N55">
            <v>12361.89700061282</v>
          </cell>
          <cell r="O55">
            <v>17122.743158401601</v>
          </cell>
          <cell r="P55">
            <v>18662.733640245107</v>
          </cell>
          <cell r="Q55">
            <v>21954.730458996564</v>
          </cell>
          <cell r="R55">
            <v>20000.57314201623</v>
          </cell>
          <cell r="S55">
            <v>20642.129902132976</v>
          </cell>
          <cell r="T55">
            <v>18328.494801049026</v>
          </cell>
          <cell r="U55">
            <v>14151.270582179823</v>
          </cell>
          <cell r="V55">
            <v>14626.267683576692</v>
          </cell>
          <cell r="W55">
            <v>12028.647109827845</v>
          </cell>
          <cell r="X55">
            <v>13046.576324182057</v>
          </cell>
          <cell r="Y55">
            <v>13957.232094298251</v>
          </cell>
          <cell r="Z55">
            <v>13931.004497270837</v>
          </cell>
          <cell r="AA55">
            <v>15900.995334173014</v>
          </cell>
          <cell r="AB55">
            <v>15570.247880584542</v>
          </cell>
          <cell r="AC55">
            <v>11944.723214001346</v>
          </cell>
          <cell r="AD55">
            <v>4141.9202192737603</v>
          </cell>
          <cell r="AE55">
            <v>4082.3550519108021</v>
          </cell>
        </row>
        <row r="56">
          <cell r="G56">
            <v>1541.8068029250769</v>
          </cell>
          <cell r="H56">
            <v>1789.2040028975434</v>
          </cell>
          <cell r="I56">
            <v>2697.4260003216259</v>
          </cell>
          <cell r="J56">
            <v>2452.6218388709185</v>
          </cell>
          <cell r="K56">
            <v>1250.8263101309403</v>
          </cell>
          <cell r="L56">
            <v>1272.6790621171076</v>
          </cell>
          <cell r="M56">
            <v>1783.7271572240043</v>
          </cell>
          <cell r="N56">
            <v>2321.94299938718</v>
          </cell>
          <cell r="O56">
            <v>2678.3968415983995</v>
          </cell>
          <cell r="P56">
            <v>3071.6263597548932</v>
          </cell>
          <cell r="Q56">
            <v>2881.3195410034377</v>
          </cell>
          <cell r="R56">
            <v>2811.4968579837696</v>
          </cell>
          <cell r="S56">
            <v>2476.4300978670262</v>
          </cell>
          <cell r="T56">
            <v>2052.8651989509744</v>
          </cell>
          <cell r="U56">
            <v>2155.6894178201746</v>
          </cell>
          <cell r="V56">
            <v>2035.7623164233073</v>
          </cell>
          <cell r="W56">
            <v>2249.9028901721549</v>
          </cell>
          <cell r="X56">
            <v>2341.7336758179449</v>
          </cell>
          <cell r="Y56">
            <v>2340.0879057017487</v>
          </cell>
          <cell r="Z56">
            <v>2581.1355027291629</v>
          </cell>
          <cell r="AA56">
            <v>2450.9446658269858</v>
          </cell>
          <cell r="AB56">
            <v>2125.3821194154557</v>
          </cell>
          <cell r="AC56">
            <v>1478.8567859986533</v>
          </cell>
          <cell r="AD56">
            <v>1471.80978072624</v>
          </cell>
          <cell r="AE56">
            <v>1909.1649480891979</v>
          </cell>
        </row>
        <row r="57">
          <cell r="G57">
            <v>8065.1900000000005</v>
          </cell>
          <cell r="H57">
            <v>7680.98</v>
          </cell>
          <cell r="I57">
            <v>8859.369999999999</v>
          </cell>
          <cell r="J57">
            <v>9760.6</v>
          </cell>
          <cell r="K57">
            <v>11657.85</v>
          </cell>
          <cell r="L57">
            <v>11534.21</v>
          </cell>
          <cell r="M57">
            <v>13344.97</v>
          </cell>
          <cell r="N57">
            <v>16910.21</v>
          </cell>
          <cell r="O57">
            <v>19707.47</v>
          </cell>
          <cell r="P57">
            <v>18879.04</v>
          </cell>
          <cell r="Q57">
            <v>16372.93</v>
          </cell>
          <cell r="R57">
            <v>16578.169999999998</v>
          </cell>
          <cell r="S57">
            <v>17170.830000000002</v>
          </cell>
          <cell r="T57">
            <v>13873.52</v>
          </cell>
          <cell r="U57">
            <v>9050.15</v>
          </cell>
          <cell r="V57">
            <v>6886.54</v>
          </cell>
          <cell r="W57">
            <v>7046.04</v>
          </cell>
          <cell r="X57">
            <v>6539.3899999999994</v>
          </cell>
          <cell r="Y57">
            <v>6359.29</v>
          </cell>
          <cell r="Z57">
            <v>6381.37</v>
          </cell>
          <cell r="AA57">
            <v>6080.27</v>
          </cell>
          <cell r="AB57">
            <v>4894.01</v>
          </cell>
          <cell r="AC57">
            <v>3674.09</v>
          </cell>
          <cell r="AD57">
            <v>2014.3</v>
          </cell>
          <cell r="AE57">
            <v>1796.25</v>
          </cell>
        </row>
      </sheetData>
      <sheetData sheetId="4">
        <row r="24">
          <cell r="G24">
            <v>19224</v>
          </cell>
          <cell r="H24">
            <v>20881</v>
          </cell>
          <cell r="I24">
            <v>22030</v>
          </cell>
          <cell r="J24">
            <v>26693</v>
          </cell>
          <cell r="K24">
            <v>29534</v>
          </cell>
          <cell r="L24">
            <v>25256</v>
          </cell>
          <cell r="M24">
            <v>32825</v>
          </cell>
          <cell r="N24">
            <v>33591</v>
          </cell>
          <cell r="O24">
            <v>34363</v>
          </cell>
          <cell r="P24">
            <v>28330</v>
          </cell>
          <cell r="Q24">
            <v>28658</v>
          </cell>
          <cell r="R24">
            <v>28846</v>
          </cell>
          <cell r="S24">
            <v>29714</v>
          </cell>
          <cell r="T24">
            <v>28101</v>
          </cell>
          <cell r="U24">
            <v>25350</v>
          </cell>
          <cell r="V24">
            <v>26054</v>
          </cell>
          <cell r="W24">
            <v>30098</v>
          </cell>
          <cell r="X24">
            <v>34243</v>
          </cell>
          <cell r="Y24">
            <v>36326</v>
          </cell>
          <cell r="Z24">
            <v>40247</v>
          </cell>
          <cell r="AA24">
            <v>36985</v>
          </cell>
          <cell r="AB24">
            <v>30373</v>
          </cell>
          <cell r="AC24">
            <v>18826</v>
          </cell>
          <cell r="AD24">
            <v>13391</v>
          </cell>
          <cell r="AE24">
            <v>14886</v>
          </cell>
        </row>
        <row r="25">
          <cell r="G25">
            <v>14869.183557824352</v>
          </cell>
          <cell r="H25">
            <v>15220.21190520253</v>
          </cell>
          <cell r="I25">
            <v>18940.327900324999</v>
          </cell>
          <cell r="J25">
            <v>18837.087988326672</v>
          </cell>
          <cell r="K25">
            <v>17883.866659845167</v>
          </cell>
          <cell r="L25">
            <v>8123.2235993523336</v>
          </cell>
          <cell r="M25">
            <v>7903.1488702815295</v>
          </cell>
          <cell r="N25">
            <v>7592.1801314599406</v>
          </cell>
          <cell r="O25">
            <v>9401.6361134168346</v>
          </cell>
          <cell r="P25">
            <v>9701.2779324751245</v>
          </cell>
          <cell r="Q25">
            <v>11104.526723200062</v>
          </cell>
          <cell r="R25">
            <v>10897.632074550364</v>
          </cell>
          <cell r="S25">
            <v>12645.60766842474</v>
          </cell>
          <cell r="T25">
            <v>11965.262831791384</v>
          </cell>
          <cell r="U25">
            <v>10483.919915783859</v>
          </cell>
          <cell r="V25">
            <v>9971.9026959155963</v>
          </cell>
          <cell r="W25">
            <v>7253.9578552287549</v>
          </cell>
          <cell r="X25">
            <v>7119.6062546632547</v>
          </cell>
          <cell r="Y25">
            <v>7985.0504417912043</v>
          </cell>
          <cell r="Z25">
            <v>8677.2745487052198</v>
          </cell>
          <cell r="AA25">
            <v>9569.5883473366248</v>
          </cell>
          <cell r="AB25">
            <v>10771.842399662728</v>
          </cell>
          <cell r="AC25">
            <v>8763.9200796845034</v>
          </cell>
          <cell r="AD25">
            <v>2981.3702838569475</v>
          </cell>
          <cell r="AE25">
            <v>3522.5521445353306</v>
          </cell>
        </row>
        <row r="26">
          <cell r="G26">
            <v>968.81644217564758</v>
          </cell>
          <cell r="H26">
            <v>1167.7880947974693</v>
          </cell>
          <cell r="I26">
            <v>1180.6720996750003</v>
          </cell>
          <cell r="J26">
            <v>1129.91201167333</v>
          </cell>
          <cell r="K26">
            <v>657.13334015483224</v>
          </cell>
          <cell r="L26">
            <v>654.77640064766615</v>
          </cell>
          <cell r="M26">
            <v>652.8511297184707</v>
          </cell>
          <cell r="N26">
            <v>756.81986854005959</v>
          </cell>
          <cell r="O26">
            <v>787.36388658316514</v>
          </cell>
          <cell r="P26">
            <v>872.72206752487591</v>
          </cell>
          <cell r="Q26">
            <v>879.4732767999385</v>
          </cell>
          <cell r="R26">
            <v>984.36792544963578</v>
          </cell>
          <cell r="S26">
            <v>957.39233157526019</v>
          </cell>
          <cell r="T26">
            <v>887.73716820861637</v>
          </cell>
          <cell r="U26">
            <v>863.08008421613988</v>
          </cell>
          <cell r="V26">
            <v>722.09730408440362</v>
          </cell>
          <cell r="W26">
            <v>726.04214477124526</v>
          </cell>
          <cell r="X26">
            <v>786.3937453367455</v>
          </cell>
          <cell r="Y26">
            <v>838.94955820879602</v>
          </cell>
          <cell r="Z26">
            <v>904.72545129478021</v>
          </cell>
          <cell r="AA26">
            <v>978.41165266337521</v>
          </cell>
          <cell r="AB26">
            <v>852.15760033727156</v>
          </cell>
          <cell r="AC26">
            <v>520.07992031549577</v>
          </cell>
          <cell r="AD26">
            <v>564.62971614305252</v>
          </cell>
          <cell r="AE26">
            <v>705.44785546466926</v>
          </cell>
        </row>
        <row r="27">
          <cell r="G27">
            <v>4550</v>
          </cell>
          <cell r="H27">
            <v>3873</v>
          </cell>
          <cell r="I27">
            <v>4184</v>
          </cell>
          <cell r="J27">
            <v>4397</v>
          </cell>
          <cell r="K27">
            <v>5645</v>
          </cell>
          <cell r="L27">
            <v>5353</v>
          </cell>
          <cell r="M27">
            <v>5964</v>
          </cell>
          <cell r="N27">
            <v>6849</v>
          </cell>
          <cell r="O27">
            <v>7332</v>
          </cell>
          <cell r="P27">
            <v>7252</v>
          </cell>
          <cell r="Q27">
            <v>6257</v>
          </cell>
          <cell r="R27">
            <v>6419</v>
          </cell>
          <cell r="S27">
            <v>6874</v>
          </cell>
          <cell r="T27">
            <v>5339</v>
          </cell>
          <cell r="U27">
            <v>3853</v>
          </cell>
          <cell r="V27">
            <v>2971</v>
          </cell>
          <cell r="W27">
            <v>2933</v>
          </cell>
          <cell r="X27">
            <v>2868</v>
          </cell>
          <cell r="Y27">
            <v>2705</v>
          </cell>
          <cell r="Z27">
            <v>2723</v>
          </cell>
          <cell r="AA27">
            <v>2653</v>
          </cell>
          <cell r="AB27">
            <v>2063</v>
          </cell>
          <cell r="AC27">
            <v>1621</v>
          </cell>
          <cell r="AD27">
            <v>859</v>
          </cell>
          <cell r="AE27">
            <v>681</v>
          </cell>
        </row>
        <row r="34">
          <cell r="G34">
            <v>2868</v>
          </cell>
          <cell r="H34">
            <v>2692</v>
          </cell>
          <cell r="I34">
            <v>2813</v>
          </cell>
          <cell r="J34">
            <v>3536</v>
          </cell>
          <cell r="K34">
            <v>4754</v>
          </cell>
          <cell r="L34">
            <v>5803</v>
          </cell>
          <cell r="M34">
            <v>8453</v>
          </cell>
          <cell r="N34">
            <v>9522</v>
          </cell>
          <cell r="O34">
            <v>10120</v>
          </cell>
          <cell r="P34">
            <v>8784</v>
          </cell>
          <cell r="Q34">
            <v>9538</v>
          </cell>
          <cell r="R34">
            <v>9107</v>
          </cell>
          <cell r="S34">
            <v>10575</v>
          </cell>
          <cell r="T34">
            <v>10544</v>
          </cell>
          <cell r="U34">
            <v>9631</v>
          </cell>
          <cell r="V34">
            <v>9441</v>
          </cell>
          <cell r="W34">
            <v>10730</v>
          </cell>
          <cell r="X34">
            <v>12976</v>
          </cell>
          <cell r="Y34">
            <v>15094</v>
          </cell>
          <cell r="Z34">
            <v>18771</v>
          </cell>
          <cell r="AA34">
            <v>15444</v>
          </cell>
          <cell r="AB34">
            <v>9693</v>
          </cell>
          <cell r="AC34">
            <v>6027</v>
          </cell>
          <cell r="AD34">
            <v>4336</v>
          </cell>
          <cell r="AE34">
            <v>3706</v>
          </cell>
        </row>
        <row r="35">
          <cell r="G35">
            <v>848.82991832591654</v>
          </cell>
          <cell r="H35">
            <v>518.17882714524762</v>
          </cell>
          <cell r="I35">
            <v>288.37484437276629</v>
          </cell>
          <cell r="J35">
            <v>818.68632809921849</v>
          </cell>
          <cell r="K35">
            <v>922.54881309467987</v>
          </cell>
          <cell r="L35">
            <v>713.12107820425172</v>
          </cell>
          <cell r="M35">
            <v>1322.6430437243826</v>
          </cell>
          <cell r="N35">
            <v>1874.8440142054371</v>
          </cell>
          <cell r="O35">
            <v>2484.0690897878753</v>
          </cell>
          <cell r="P35">
            <v>1754.5624245646084</v>
          </cell>
          <cell r="Q35">
            <v>1502.6818009503679</v>
          </cell>
          <cell r="R35">
            <v>1099.0598706051132</v>
          </cell>
          <cell r="S35">
            <v>998.51700550573537</v>
          </cell>
          <cell r="T35">
            <v>1279.6542411025091</v>
          </cell>
          <cell r="U35">
            <v>931.97705912690287</v>
          </cell>
          <cell r="V35">
            <v>1416.4873706075907</v>
          </cell>
          <cell r="W35">
            <v>1622.1096316302473</v>
          </cell>
          <cell r="X35">
            <v>1725.2037386728252</v>
          </cell>
          <cell r="Y35">
            <v>1627.7922787378966</v>
          </cell>
          <cell r="Z35">
            <v>1461.0310065714518</v>
          </cell>
          <cell r="AA35">
            <v>1503.1641209172849</v>
          </cell>
          <cell r="AB35">
            <v>1434.6085653222435</v>
          </cell>
          <cell r="AC35">
            <v>616.53672479350837</v>
          </cell>
          <cell r="AD35">
            <v>410.6655928821981</v>
          </cell>
          <cell r="AE35">
            <v>283.5340494616637</v>
          </cell>
        </row>
        <row r="36">
          <cell r="G36">
            <v>45.170081674083427</v>
          </cell>
          <cell r="H36">
            <v>35.82117285475239</v>
          </cell>
          <cell r="I36">
            <v>62.625155627233696</v>
          </cell>
          <cell r="J36">
            <v>68.313671900781529</v>
          </cell>
          <cell r="K36">
            <v>60.451186905320142</v>
          </cell>
          <cell r="L36">
            <v>93.878921795748312</v>
          </cell>
          <cell r="M36">
            <v>125.35695627561738</v>
          </cell>
          <cell r="N36">
            <v>157.15598579456281</v>
          </cell>
          <cell r="O36">
            <v>120.93091021212476</v>
          </cell>
          <cell r="P36">
            <v>108.43757543539168</v>
          </cell>
          <cell r="Q36">
            <v>88.318199049632</v>
          </cell>
          <cell r="R36">
            <v>84.940129394886824</v>
          </cell>
          <cell r="S36">
            <v>100.48299449426467</v>
          </cell>
          <cell r="T36">
            <v>84.345758897490967</v>
          </cell>
          <cell r="U36">
            <v>113.02294087309717</v>
          </cell>
          <cell r="V36">
            <v>126.51262939240925</v>
          </cell>
          <cell r="W36">
            <v>133.89036836975254</v>
          </cell>
          <cell r="X36">
            <v>129.79626132717482</v>
          </cell>
          <cell r="Y36">
            <v>122.20772126210333</v>
          </cell>
          <cell r="Z36">
            <v>125.96899342854817</v>
          </cell>
          <cell r="AA36">
            <v>120.8358790827151</v>
          </cell>
          <cell r="AB36">
            <v>73.391434677756436</v>
          </cell>
          <cell r="AC36">
            <v>61.463275206491645</v>
          </cell>
          <cell r="AD36">
            <v>55.334407117801909</v>
          </cell>
          <cell r="AE36">
            <v>72.465950538336273</v>
          </cell>
        </row>
        <row r="37">
          <cell r="G37">
            <v>838</v>
          </cell>
          <cell r="H37">
            <v>605</v>
          </cell>
          <cell r="I37">
            <v>572</v>
          </cell>
          <cell r="J37">
            <v>703</v>
          </cell>
          <cell r="K37">
            <v>820</v>
          </cell>
          <cell r="L37">
            <v>1089</v>
          </cell>
          <cell r="M37">
            <v>1696</v>
          </cell>
          <cell r="N37">
            <v>2779</v>
          </cell>
          <cell r="O37">
            <v>3712</v>
          </cell>
          <cell r="P37">
            <v>3167</v>
          </cell>
          <cell r="Q37">
            <v>2635</v>
          </cell>
          <cell r="R37">
            <v>2634</v>
          </cell>
          <cell r="S37">
            <v>2980</v>
          </cell>
          <cell r="T37">
            <v>2343</v>
          </cell>
          <cell r="U37">
            <v>1317</v>
          </cell>
          <cell r="V37">
            <v>998</v>
          </cell>
          <cell r="W37">
            <v>1042</v>
          </cell>
          <cell r="X37">
            <v>785</v>
          </cell>
          <cell r="Y37">
            <v>765</v>
          </cell>
          <cell r="Z37">
            <v>798</v>
          </cell>
          <cell r="AA37">
            <v>849</v>
          </cell>
          <cell r="AB37">
            <v>721</v>
          </cell>
          <cell r="AC37">
            <v>526</v>
          </cell>
          <cell r="AD37">
            <v>273</v>
          </cell>
          <cell r="AE37">
            <v>283</v>
          </cell>
        </row>
        <row r="44">
          <cell r="G44">
            <v>972.4</v>
          </cell>
          <cell r="H44">
            <v>825.5</v>
          </cell>
          <cell r="I44">
            <v>730.6</v>
          </cell>
          <cell r="J44">
            <v>696.80000000000007</v>
          </cell>
          <cell r="K44">
            <v>925.6</v>
          </cell>
          <cell r="L44">
            <v>1349.4</v>
          </cell>
          <cell r="M44">
            <v>2454.4</v>
          </cell>
          <cell r="N44">
            <v>2601.3000000000002</v>
          </cell>
          <cell r="O44">
            <v>2906.8</v>
          </cell>
          <cell r="P44">
            <v>2382.9</v>
          </cell>
          <cell r="Q44">
            <v>2070.9</v>
          </cell>
          <cell r="R44">
            <v>1963</v>
          </cell>
          <cell r="S44">
            <v>1986.4</v>
          </cell>
          <cell r="T44">
            <v>2096.9</v>
          </cell>
          <cell r="U44">
            <v>2020.2</v>
          </cell>
          <cell r="V44">
            <v>2246.4</v>
          </cell>
          <cell r="W44">
            <v>2694.9</v>
          </cell>
          <cell r="X44">
            <v>3138.2000000000003</v>
          </cell>
          <cell r="Y44">
            <v>4468.1000000000004</v>
          </cell>
          <cell r="Z44">
            <v>4390.1000000000004</v>
          </cell>
          <cell r="AA44">
            <v>4347.2</v>
          </cell>
          <cell r="AB44">
            <v>3862.3</v>
          </cell>
          <cell r="AC44">
            <v>2616.9</v>
          </cell>
          <cell r="AD44">
            <v>1831.7</v>
          </cell>
          <cell r="AE44">
            <v>1666.6000000000001</v>
          </cell>
        </row>
        <row r="45">
          <cell r="G45">
            <v>474.93825094095956</v>
          </cell>
          <cell r="H45">
            <v>125.55342428746027</v>
          </cell>
          <cell r="I45">
            <v>239.38975865025668</v>
          </cell>
          <cell r="J45">
            <v>86.494038342320181</v>
          </cell>
          <cell r="K45">
            <v>253.07778115310504</v>
          </cell>
          <cell r="L45">
            <v>443.40968982992769</v>
          </cell>
          <cell r="M45">
            <v>238.40668933003624</v>
          </cell>
          <cell r="N45">
            <v>450.83862929341456</v>
          </cell>
          <cell r="O45">
            <v>732.37259269994001</v>
          </cell>
          <cell r="P45">
            <v>865.92745922778568</v>
          </cell>
          <cell r="Q45">
            <v>1098.5131099856153</v>
          </cell>
          <cell r="R45">
            <v>785.96545249482699</v>
          </cell>
          <cell r="S45">
            <v>745.40877474760293</v>
          </cell>
          <cell r="T45">
            <v>685.7461288484983</v>
          </cell>
          <cell r="U45">
            <v>667.72203160881213</v>
          </cell>
          <cell r="V45">
            <v>593.63332238391354</v>
          </cell>
          <cell r="W45">
            <v>1035.9518784735571</v>
          </cell>
          <cell r="X45">
            <v>903.3500469773611</v>
          </cell>
          <cell r="Y45">
            <v>893.8619142539435</v>
          </cell>
          <cell r="Z45">
            <v>928.12087639779793</v>
          </cell>
          <cell r="AA45">
            <v>772.11945727824411</v>
          </cell>
          <cell r="AB45">
            <v>709.88601514140555</v>
          </cell>
          <cell r="AC45">
            <v>356.68663359518177</v>
          </cell>
          <cell r="AD45">
            <v>136.66696241508441</v>
          </cell>
          <cell r="AE45">
            <v>367.84636582419688</v>
          </cell>
        </row>
        <row r="46">
          <cell r="G46">
            <v>26.061749059040462</v>
          </cell>
          <cell r="H46">
            <v>31.446575712539726</v>
          </cell>
          <cell r="I46">
            <v>24.610241349743323</v>
          </cell>
          <cell r="J46">
            <v>33.505961657679826</v>
          </cell>
          <cell r="K46">
            <v>42.922218846894957</v>
          </cell>
          <cell r="L46">
            <v>33.5903101700723</v>
          </cell>
          <cell r="M46">
            <v>45.593310669963749</v>
          </cell>
          <cell r="N46">
            <v>61.161370706585451</v>
          </cell>
          <cell r="O46">
            <v>69.627407300060014</v>
          </cell>
          <cell r="P46">
            <v>82.072540772214268</v>
          </cell>
          <cell r="Q46">
            <v>66.486890014384684</v>
          </cell>
          <cell r="R46">
            <v>65.034547505173009</v>
          </cell>
          <cell r="S46">
            <v>62.591225252397024</v>
          </cell>
          <cell r="T46">
            <v>62.253871151501713</v>
          </cell>
          <cell r="U46">
            <v>60.277968391187819</v>
          </cell>
          <cell r="V46">
            <v>85.366677616086406</v>
          </cell>
          <cell r="W46">
            <v>79.048121526442912</v>
          </cell>
          <cell r="X46">
            <v>79.649953022638883</v>
          </cell>
          <cell r="Y46">
            <v>82.138085746056518</v>
          </cell>
          <cell r="Z46">
            <v>73.879123602202057</v>
          </cell>
          <cell r="AA46">
            <v>69.880542721755916</v>
          </cell>
          <cell r="AB46">
            <v>49.113984858594421</v>
          </cell>
          <cell r="AC46">
            <v>37.313366404818197</v>
          </cell>
          <cell r="AD46">
            <v>52.333037584915587</v>
          </cell>
          <cell r="AE46">
            <v>68.15363417580312</v>
          </cell>
        </row>
        <row r="47">
          <cell r="G47">
            <v>667</v>
          </cell>
          <cell r="H47">
            <v>514</v>
          </cell>
          <cell r="I47">
            <v>441</v>
          </cell>
          <cell r="J47">
            <v>480</v>
          </cell>
          <cell r="K47">
            <v>505</v>
          </cell>
          <cell r="L47">
            <v>653</v>
          </cell>
          <cell r="M47">
            <v>1021</v>
          </cell>
          <cell r="N47">
            <v>1453</v>
          </cell>
          <cell r="O47">
            <v>1871</v>
          </cell>
          <cell r="P47">
            <v>1772</v>
          </cell>
          <cell r="Q47">
            <v>1749</v>
          </cell>
          <cell r="R47">
            <v>1681</v>
          </cell>
          <cell r="S47">
            <v>1919</v>
          </cell>
          <cell r="T47">
            <v>1736</v>
          </cell>
          <cell r="U47">
            <v>1195</v>
          </cell>
          <cell r="V47">
            <v>922</v>
          </cell>
          <cell r="W47">
            <v>972</v>
          </cell>
          <cell r="X47">
            <v>827</v>
          </cell>
          <cell r="Y47">
            <v>697</v>
          </cell>
          <cell r="Z47">
            <v>641</v>
          </cell>
          <cell r="AA47">
            <v>611</v>
          </cell>
          <cell r="AB47">
            <v>593</v>
          </cell>
          <cell r="AC47">
            <v>437</v>
          </cell>
          <cell r="AD47">
            <v>290</v>
          </cell>
          <cell r="AE47">
            <v>325</v>
          </cell>
        </row>
        <row r="54">
          <cell r="G54">
            <v>29614.268</v>
          </cell>
          <cell r="H54">
            <v>32248.535</v>
          </cell>
          <cell r="I54">
            <v>34559.442000000003</v>
          </cell>
          <cell r="J54">
            <v>42040.175999999999</v>
          </cell>
          <cell r="K54">
            <v>48415.591999999997</v>
          </cell>
          <cell r="L54">
            <v>44234.158000000003</v>
          </cell>
          <cell r="M54">
            <v>57584.008000000002</v>
          </cell>
          <cell r="N54">
            <v>61360.741000000002</v>
          </cell>
          <cell r="O54">
            <v>63637.875999999997</v>
          </cell>
          <cell r="P54">
            <v>54867.252999999997</v>
          </cell>
          <cell r="Q54">
            <v>57384.413</v>
          </cell>
          <cell r="R54">
            <v>56006.91</v>
          </cell>
          <cell r="S54">
            <v>58939.248</v>
          </cell>
          <cell r="T54">
            <v>56527.233</v>
          </cell>
          <cell r="U54">
            <v>51608.514000000003</v>
          </cell>
          <cell r="V54">
            <v>52738.447999999997</v>
          </cell>
          <cell r="W54">
            <v>59782.093000000001</v>
          </cell>
          <cell r="X54">
            <v>67688.774000000005</v>
          </cell>
          <cell r="Y54">
            <v>74522.816999999995</v>
          </cell>
          <cell r="Z54">
            <v>84872.357000000004</v>
          </cell>
          <cell r="AA54">
            <v>75289.903999999995</v>
          </cell>
          <cell r="AB54">
            <v>57664.510999999999</v>
          </cell>
          <cell r="AC54">
            <v>34509.633000000002</v>
          </cell>
          <cell r="AD54">
            <v>24099.069</v>
          </cell>
          <cell r="AE54">
            <v>24846.962</v>
          </cell>
        </row>
        <row r="55">
          <cell r="G55">
            <v>18929.763197074921</v>
          </cell>
          <cell r="H55">
            <v>19012.285997102455</v>
          </cell>
          <cell r="I55">
            <v>22080.053999678374</v>
          </cell>
          <cell r="J55">
            <v>28601.778161129085</v>
          </cell>
          <cell r="K55">
            <v>27202.893689869055</v>
          </cell>
          <cell r="L55">
            <v>12390.21093788289</v>
          </cell>
          <cell r="M55">
            <v>12173.152842775997</v>
          </cell>
          <cell r="N55">
            <v>12361.89700061282</v>
          </cell>
          <cell r="O55">
            <v>17122.743158401601</v>
          </cell>
          <cell r="P55">
            <v>18662.733640245107</v>
          </cell>
          <cell r="Q55">
            <v>21954.730458996564</v>
          </cell>
          <cell r="R55">
            <v>20000.57314201623</v>
          </cell>
          <cell r="S55">
            <v>20642.129902132972</v>
          </cell>
          <cell r="T55">
            <v>18328.494801049026</v>
          </cell>
          <cell r="U55">
            <v>14151.270582179823</v>
          </cell>
          <cell r="V55">
            <v>14626.267683576692</v>
          </cell>
          <cell r="W55">
            <v>12028.647109827847</v>
          </cell>
          <cell r="X55">
            <v>13046.576324182055</v>
          </cell>
          <cell r="Y55">
            <v>13957.232094298253</v>
          </cell>
          <cell r="Z55">
            <v>13931.004497270837</v>
          </cell>
          <cell r="AA55">
            <v>15900.995334173014</v>
          </cell>
          <cell r="AB55">
            <v>15570.247880584542</v>
          </cell>
          <cell r="AC55">
            <v>11944.723214001346</v>
          </cell>
          <cell r="AD55">
            <v>4141.9202192737603</v>
          </cell>
          <cell r="AE55">
            <v>4082.3550519108016</v>
          </cell>
        </row>
        <row r="56">
          <cell r="G56">
            <v>1541.8068029250769</v>
          </cell>
          <cell r="H56">
            <v>1789.2040028975434</v>
          </cell>
          <cell r="I56">
            <v>2697.4260003216255</v>
          </cell>
          <cell r="J56">
            <v>2452.621838870919</v>
          </cell>
          <cell r="K56">
            <v>1250.8263101309401</v>
          </cell>
          <cell r="L56">
            <v>1272.6790621171076</v>
          </cell>
          <cell r="M56">
            <v>1783.7271572240045</v>
          </cell>
          <cell r="N56">
            <v>2321.9429993871795</v>
          </cell>
          <cell r="O56">
            <v>2678.3968415983995</v>
          </cell>
          <cell r="P56">
            <v>3071.6263597548932</v>
          </cell>
          <cell r="Q56">
            <v>2881.3195410034373</v>
          </cell>
          <cell r="R56">
            <v>2811.49685798377</v>
          </cell>
          <cell r="S56">
            <v>2476.4300978670262</v>
          </cell>
          <cell r="T56">
            <v>2052.865198950974</v>
          </cell>
          <cell r="U56">
            <v>2155.6894178201746</v>
          </cell>
          <cell r="V56">
            <v>2035.7623164233071</v>
          </cell>
          <cell r="W56">
            <v>2249.9028901721549</v>
          </cell>
          <cell r="X56">
            <v>2341.7336758179449</v>
          </cell>
          <cell r="Y56">
            <v>2340.0879057017487</v>
          </cell>
          <cell r="Z56">
            <v>2581.1355027291629</v>
          </cell>
          <cell r="AA56">
            <v>2450.9446658269862</v>
          </cell>
          <cell r="AB56">
            <v>2125.3821194154557</v>
          </cell>
          <cell r="AC56">
            <v>1478.8567859986533</v>
          </cell>
          <cell r="AD56">
            <v>1471.80978072624</v>
          </cell>
          <cell r="AE56">
            <v>1909.1649480891979</v>
          </cell>
        </row>
        <row r="57">
          <cell r="G57">
            <v>8065.19</v>
          </cell>
          <cell r="H57">
            <v>7680.98</v>
          </cell>
          <cell r="I57">
            <v>8859.3700000000008</v>
          </cell>
          <cell r="J57">
            <v>9760.6</v>
          </cell>
          <cell r="K57">
            <v>11657.85</v>
          </cell>
          <cell r="L57">
            <v>11534.21</v>
          </cell>
          <cell r="M57">
            <v>13344.97</v>
          </cell>
          <cell r="N57">
            <v>16910.21</v>
          </cell>
          <cell r="O57">
            <v>19707.47</v>
          </cell>
          <cell r="P57">
            <v>18879.04</v>
          </cell>
          <cell r="Q57">
            <v>16372.93</v>
          </cell>
          <cell r="R57">
            <v>16578.169999999998</v>
          </cell>
          <cell r="S57">
            <v>17170.830000000002</v>
          </cell>
          <cell r="T57">
            <v>13873.52</v>
          </cell>
          <cell r="U57">
            <v>9050.15</v>
          </cell>
          <cell r="V57">
            <v>6886.54</v>
          </cell>
          <cell r="W57">
            <v>7046.04</v>
          </cell>
          <cell r="X57">
            <v>6539.39</v>
          </cell>
          <cell r="Y57">
            <v>6359.29</v>
          </cell>
          <cell r="Z57">
            <v>6381.37</v>
          </cell>
          <cell r="AA57">
            <v>6080.27</v>
          </cell>
          <cell r="AB57">
            <v>4894.01</v>
          </cell>
          <cell r="AC57">
            <v>3674.09</v>
          </cell>
          <cell r="AD57">
            <v>2014.3</v>
          </cell>
          <cell r="AE57">
            <v>1796.25</v>
          </cell>
        </row>
        <row r="63">
          <cell r="G63">
            <v>1986</v>
          </cell>
          <cell r="H63">
            <v>1987</v>
          </cell>
          <cell r="I63">
            <v>1988</v>
          </cell>
          <cell r="J63">
            <v>1989</v>
          </cell>
          <cell r="K63">
            <v>1990</v>
          </cell>
          <cell r="L63">
            <v>1991</v>
          </cell>
          <cell r="M63">
            <v>1992</v>
          </cell>
          <cell r="N63">
            <v>1993</v>
          </cell>
          <cell r="O63">
            <v>1994</v>
          </cell>
          <cell r="P63">
            <v>1995</v>
          </cell>
          <cell r="Q63">
            <v>1996</v>
          </cell>
          <cell r="R63">
            <v>1997</v>
          </cell>
          <cell r="S63">
            <v>1998</v>
          </cell>
          <cell r="T63">
            <v>1999</v>
          </cell>
          <cell r="U63">
            <v>2000</v>
          </cell>
          <cell r="V63">
            <v>2001</v>
          </cell>
          <cell r="W63">
            <v>2002</v>
          </cell>
          <cell r="X63">
            <v>2003</v>
          </cell>
          <cell r="Y63">
            <v>2004</v>
          </cell>
          <cell r="Z63">
            <v>2005</v>
          </cell>
          <cell r="AA63">
            <v>2006</v>
          </cell>
          <cell r="AB63">
            <v>2007</v>
          </cell>
          <cell r="AC63">
            <v>2008</v>
          </cell>
          <cell r="AD63">
            <v>2009</v>
          </cell>
          <cell r="AE63">
            <v>2010</v>
          </cell>
        </row>
        <row r="65">
          <cell r="G65">
            <v>1913.6278001779131</v>
          </cell>
          <cell r="H65">
            <v>1919.2670567662774</v>
          </cell>
          <cell r="I65">
            <v>1924.9063133546417</v>
          </cell>
          <cell r="J65">
            <v>1930.5455699430061</v>
          </cell>
          <cell r="K65">
            <v>1936.1848265313704</v>
          </cell>
          <cell r="L65">
            <v>1941.8240831197347</v>
          </cell>
          <cell r="M65">
            <v>1947.4633397080986</v>
          </cell>
          <cell r="N65">
            <v>1979.8855944438292</v>
          </cell>
          <cell r="O65">
            <v>2012.3078491795598</v>
          </cell>
          <cell r="P65">
            <v>2044.7301039152903</v>
          </cell>
          <cell r="Q65">
            <v>2077.1523586510211</v>
          </cell>
          <cell r="R65">
            <v>2109.5746133867519</v>
          </cell>
          <cell r="S65">
            <v>2141.9968681224827</v>
          </cell>
          <cell r="T65">
            <v>2174.4191228582135</v>
          </cell>
          <cell r="U65">
            <v>2206.8413775939443</v>
          </cell>
          <cell r="V65">
            <v>2239.2636323296751</v>
          </cell>
          <cell r="W65">
            <v>2271.685887065406</v>
          </cell>
          <cell r="X65">
            <v>2304.1081418011368</v>
          </cell>
          <cell r="Y65">
            <v>2336.5303965368676</v>
          </cell>
          <cell r="Z65">
            <v>2368.9526512725984</v>
          </cell>
          <cell r="AA65">
            <v>2206.8413775939434</v>
          </cell>
          <cell r="AB65">
            <v>2185.6308440789344</v>
          </cell>
          <cell r="AC65">
            <v>2164.4203105639253</v>
          </cell>
          <cell r="AD65">
            <v>2143.2097770489163</v>
          </cell>
          <cell r="AE65">
            <v>2121.9992435339072</v>
          </cell>
        </row>
        <row r="66">
          <cell r="G66">
            <v>698.06928427699506</v>
          </cell>
          <cell r="H66">
            <v>708.32070921300988</v>
          </cell>
          <cell r="I66">
            <v>718.57213414902469</v>
          </cell>
          <cell r="J66">
            <v>728.82355908503951</v>
          </cell>
          <cell r="K66">
            <v>739.07498402105432</v>
          </cell>
          <cell r="L66">
            <v>749.32640895706913</v>
          </cell>
          <cell r="M66">
            <v>759.57783389308383</v>
          </cell>
          <cell r="N66">
            <v>768.47360788626315</v>
          </cell>
          <cell r="O66">
            <v>777.36938187944247</v>
          </cell>
          <cell r="P66">
            <v>786.26515587262179</v>
          </cell>
          <cell r="Q66">
            <v>795.16092986580111</v>
          </cell>
          <cell r="R66">
            <v>804.05670385898043</v>
          </cell>
          <cell r="S66">
            <v>812.95247785215975</v>
          </cell>
          <cell r="T66">
            <v>821.84825184533906</v>
          </cell>
          <cell r="U66">
            <v>830.74402583851838</v>
          </cell>
          <cell r="V66">
            <v>839.6397998316977</v>
          </cell>
          <cell r="W66">
            <v>848.53557382487702</v>
          </cell>
          <cell r="X66">
            <v>857.43134781805634</v>
          </cell>
          <cell r="Y66">
            <v>866.32712181123566</v>
          </cell>
          <cell r="Z66">
            <v>875.22289580441497</v>
          </cell>
          <cell r="AA66">
            <v>830.74402583851884</v>
          </cell>
          <cell r="AB66">
            <v>841.39264921368215</v>
          </cell>
          <cell r="AC66">
            <v>852.04127258884546</v>
          </cell>
          <cell r="AD66">
            <v>862.68989596400877</v>
          </cell>
          <cell r="AE66">
            <v>873.33851933917208</v>
          </cell>
        </row>
        <row r="67">
          <cell r="G67">
            <v>1167</v>
          </cell>
          <cell r="H67">
            <v>1167</v>
          </cell>
          <cell r="I67">
            <v>1167</v>
          </cell>
          <cell r="J67">
            <v>1167</v>
          </cell>
          <cell r="K67">
            <v>1167</v>
          </cell>
          <cell r="L67">
            <v>1167</v>
          </cell>
          <cell r="M67">
            <v>1167</v>
          </cell>
          <cell r="N67">
            <v>1167</v>
          </cell>
          <cell r="O67">
            <v>1167</v>
          </cell>
          <cell r="P67">
            <v>1167</v>
          </cell>
          <cell r="Q67">
            <v>1167</v>
          </cell>
          <cell r="R67">
            <v>1167</v>
          </cell>
          <cell r="S67">
            <v>1167</v>
          </cell>
          <cell r="T67">
            <v>1167</v>
          </cell>
          <cell r="U67">
            <v>1167</v>
          </cell>
          <cell r="V67">
            <v>1167</v>
          </cell>
          <cell r="W67">
            <v>1167</v>
          </cell>
          <cell r="X67">
            <v>1167</v>
          </cell>
          <cell r="Y67">
            <v>1167</v>
          </cell>
          <cell r="Z67">
            <v>1167</v>
          </cell>
          <cell r="AA67">
            <v>1167</v>
          </cell>
          <cell r="AB67">
            <v>1167</v>
          </cell>
          <cell r="AC67">
            <v>1167</v>
          </cell>
          <cell r="AD67">
            <v>1167</v>
          </cell>
          <cell r="AE67">
            <v>1167</v>
          </cell>
        </row>
        <row r="68">
          <cell r="G68">
            <v>1029.0487523611168</v>
          </cell>
          <cell r="H68">
            <v>1097.2261598014015</v>
          </cell>
          <cell r="I68">
            <v>1165.4035672416862</v>
          </cell>
          <cell r="J68">
            <v>1233.5809746819709</v>
          </cell>
          <cell r="K68">
            <v>1301.7583821222556</v>
          </cell>
          <cell r="L68">
            <v>1369.9357895625403</v>
          </cell>
          <cell r="M68">
            <v>1438.1131970028248</v>
          </cell>
          <cell r="N68">
            <v>1454.5206034528924</v>
          </cell>
          <cell r="O68">
            <v>1470.9280099029602</v>
          </cell>
          <cell r="P68">
            <v>1487.335416353028</v>
          </cell>
          <cell r="Q68">
            <v>1503.7428228030958</v>
          </cell>
          <cell r="R68">
            <v>1520.1502292531636</v>
          </cell>
          <cell r="S68">
            <v>1536.5576357032314</v>
          </cell>
          <cell r="T68">
            <v>1552.9650421532992</v>
          </cell>
          <cell r="U68">
            <v>1569.372448603367</v>
          </cell>
          <cell r="V68">
            <v>1585.7798550534349</v>
          </cell>
          <cell r="W68">
            <v>1602.1872615035027</v>
          </cell>
          <cell r="X68">
            <v>1618.5946679535705</v>
          </cell>
          <cell r="Y68">
            <v>1635.0020744036383</v>
          </cell>
          <cell r="Z68">
            <v>1651.4094808537061</v>
          </cell>
          <cell r="AA68">
            <v>1569.3724486033664</v>
          </cell>
          <cell r="AB68">
            <v>1563.8258925279456</v>
          </cell>
          <cell r="AC68">
            <v>1558.2793364525248</v>
          </cell>
          <cell r="AD68">
            <v>1552.7327803771041</v>
          </cell>
          <cell r="AE68">
            <v>1547.1862243016833</v>
          </cell>
        </row>
        <row r="75">
          <cell r="G75">
            <v>2064.1078222566443</v>
          </cell>
          <cell r="H75">
            <v>2077.3226475548058</v>
          </cell>
          <cell r="I75">
            <v>2090.5374728529673</v>
          </cell>
          <cell r="J75">
            <v>2103.7522981511288</v>
          </cell>
          <cell r="K75">
            <v>2116.9671234492903</v>
          </cell>
          <cell r="L75">
            <v>2130.1819487474518</v>
          </cell>
          <cell r="M75">
            <v>2143.3967740456146</v>
          </cell>
          <cell r="N75">
            <v>2172.9935438846765</v>
          </cell>
          <cell r="O75">
            <v>2202.5903137237383</v>
          </cell>
          <cell r="P75">
            <v>2232.1870835628001</v>
          </cell>
          <cell r="Q75">
            <v>2261.783853401862</v>
          </cell>
          <cell r="R75">
            <v>2291.3806232409238</v>
          </cell>
          <cell r="S75">
            <v>2320.9773930799856</v>
          </cell>
          <cell r="T75">
            <v>2350.5741629190475</v>
          </cell>
          <cell r="U75">
            <v>2380.1709327581093</v>
          </cell>
          <cell r="V75">
            <v>2409.7677025971711</v>
          </cell>
          <cell r="W75">
            <v>2439.364472436233</v>
          </cell>
          <cell r="X75">
            <v>2468.9612422752948</v>
          </cell>
          <cell r="Y75">
            <v>2498.5580121143566</v>
          </cell>
          <cell r="Z75">
            <v>2528.1547819534185</v>
          </cell>
          <cell r="AA75">
            <v>2380.1709327581084</v>
          </cell>
          <cell r="AB75">
            <v>2386.7545055478154</v>
          </cell>
          <cell r="AC75">
            <v>2393.3380783375223</v>
          </cell>
          <cell r="AD75">
            <v>2399.9216511272293</v>
          </cell>
          <cell r="AE75">
            <v>2406.5052239169363</v>
          </cell>
        </row>
        <row r="76">
          <cell r="G76">
            <v>698.06928427699506</v>
          </cell>
          <cell r="H76">
            <v>708.32070921300988</v>
          </cell>
          <cell r="I76">
            <v>718.57213414902469</v>
          </cell>
          <cell r="J76">
            <v>728.82355908503951</v>
          </cell>
          <cell r="K76">
            <v>739.07498402105432</v>
          </cell>
          <cell r="L76">
            <v>749.32640895706913</v>
          </cell>
          <cell r="M76">
            <v>759.57783389308383</v>
          </cell>
          <cell r="N76">
            <v>768.01287342852402</v>
          </cell>
          <cell r="O76">
            <v>776.4479129639642</v>
          </cell>
          <cell r="P76">
            <v>784.88295249940438</v>
          </cell>
          <cell r="Q76">
            <v>793.31799203484456</v>
          </cell>
          <cell r="R76">
            <v>801.75303157028475</v>
          </cell>
          <cell r="S76">
            <v>810.18807110572493</v>
          </cell>
          <cell r="T76">
            <v>818.62311064116511</v>
          </cell>
          <cell r="U76">
            <v>827.0581501766053</v>
          </cell>
          <cell r="V76">
            <v>835.49318971204548</v>
          </cell>
          <cell r="W76">
            <v>843.92822924748566</v>
          </cell>
          <cell r="X76">
            <v>852.36326878292584</v>
          </cell>
          <cell r="Y76">
            <v>860.79830831836603</v>
          </cell>
          <cell r="Z76">
            <v>869.23334785380621</v>
          </cell>
          <cell r="AA76">
            <v>827.05815017660575</v>
          </cell>
          <cell r="AB76">
            <v>838.1675080095082</v>
          </cell>
          <cell r="AC76">
            <v>849.27686584241064</v>
          </cell>
          <cell r="AD76">
            <v>860.38622367531309</v>
          </cell>
          <cell r="AE76">
            <v>871.49558150821554</v>
          </cell>
        </row>
        <row r="77">
          <cell r="G77">
            <v>1167</v>
          </cell>
          <cell r="H77">
            <v>1167</v>
          </cell>
          <cell r="I77">
            <v>1167</v>
          </cell>
          <cell r="J77">
            <v>1167</v>
          </cell>
          <cell r="K77">
            <v>1167</v>
          </cell>
          <cell r="L77">
            <v>1167</v>
          </cell>
          <cell r="M77">
            <v>1167</v>
          </cell>
          <cell r="N77">
            <v>1167</v>
          </cell>
          <cell r="O77">
            <v>1167</v>
          </cell>
          <cell r="P77">
            <v>1167</v>
          </cell>
          <cell r="Q77">
            <v>1167</v>
          </cell>
          <cell r="R77">
            <v>1167</v>
          </cell>
          <cell r="S77">
            <v>1167</v>
          </cell>
          <cell r="T77">
            <v>1167</v>
          </cell>
          <cell r="U77">
            <v>1167</v>
          </cell>
          <cell r="V77">
            <v>1167</v>
          </cell>
          <cell r="W77">
            <v>1167</v>
          </cell>
          <cell r="X77">
            <v>1167</v>
          </cell>
          <cell r="Y77">
            <v>1167</v>
          </cell>
          <cell r="Z77">
            <v>1167</v>
          </cell>
          <cell r="AA77">
            <v>1167</v>
          </cell>
          <cell r="AB77">
            <v>1167</v>
          </cell>
          <cell r="AC77">
            <v>1167</v>
          </cell>
          <cell r="AD77">
            <v>1167</v>
          </cell>
          <cell r="AE77">
            <v>1167</v>
          </cell>
        </row>
        <row r="78">
          <cell r="G78">
            <v>1168.8738334833329</v>
          </cell>
          <cell r="H78">
            <v>1178.0613546668903</v>
          </cell>
          <cell r="I78">
            <v>1187.2488758504478</v>
          </cell>
          <cell r="J78">
            <v>1196.4363970340053</v>
          </cell>
          <cell r="K78">
            <v>1205.6239182175627</v>
          </cell>
          <cell r="L78">
            <v>1214.8114394011202</v>
          </cell>
          <cell r="M78">
            <v>1223.9989605846772</v>
          </cell>
          <cell r="N78">
            <v>1276.2228998482572</v>
          </cell>
          <cell r="O78">
            <v>1328.4468391118371</v>
          </cell>
          <cell r="P78">
            <v>1380.6707783754171</v>
          </cell>
          <cell r="Q78">
            <v>1432.894717638997</v>
          </cell>
          <cell r="R78">
            <v>1485.118656902577</v>
          </cell>
          <cell r="S78">
            <v>1537.3425961661569</v>
          </cell>
          <cell r="T78">
            <v>1589.5665354297369</v>
          </cell>
          <cell r="U78">
            <v>1641.7904746933168</v>
          </cell>
          <cell r="V78">
            <v>1694.0144139568968</v>
          </cell>
          <cell r="W78">
            <v>1746.2383532204767</v>
          </cell>
          <cell r="X78">
            <v>1798.4622924840567</v>
          </cell>
          <cell r="Y78">
            <v>1850.6862317476366</v>
          </cell>
          <cell r="Z78">
            <v>1902.9101710112166</v>
          </cell>
          <cell r="AA78">
            <v>1641.7904746933164</v>
          </cell>
          <cell r="AB78">
            <v>1579.0383181111101</v>
          </cell>
          <cell r="AC78">
            <v>1516.2861615289039</v>
          </cell>
          <cell r="AD78">
            <v>1453.5340049466977</v>
          </cell>
          <cell r="AE78">
            <v>1390.7818483644915</v>
          </cell>
        </row>
        <row r="85">
          <cell r="G85">
            <v>2155.8815029472858</v>
          </cell>
          <cell r="H85">
            <v>2184.9101777532496</v>
          </cell>
          <cell r="I85">
            <v>2213.9388525592135</v>
          </cell>
          <cell r="J85">
            <v>2242.9675273651774</v>
          </cell>
          <cell r="K85">
            <v>2271.9962021711412</v>
          </cell>
          <cell r="L85">
            <v>2301.0248769771051</v>
          </cell>
          <cell r="M85">
            <v>2330.0535517830704</v>
          </cell>
          <cell r="N85">
            <v>2314.0416857828459</v>
          </cell>
          <cell r="O85">
            <v>2298.0298197826214</v>
          </cell>
          <cell r="P85">
            <v>2282.0179537823969</v>
          </cell>
          <cell r="Q85">
            <v>2266.0060877821725</v>
          </cell>
          <cell r="R85">
            <v>2249.994221781948</v>
          </cell>
          <cell r="S85">
            <v>2233.9823557817235</v>
          </cell>
          <cell r="T85">
            <v>2217.9704897814991</v>
          </cell>
          <cell r="U85">
            <v>2201.9586237812746</v>
          </cell>
          <cell r="V85">
            <v>2185.9467577810501</v>
          </cell>
          <cell r="W85">
            <v>2169.9348917808256</v>
          </cell>
          <cell r="X85">
            <v>2153.9230257806012</v>
          </cell>
          <cell r="Y85">
            <v>2137.9111597803767</v>
          </cell>
          <cell r="Z85">
            <v>2121.8992937801522</v>
          </cell>
          <cell r="AA85">
            <v>2201.9586237812732</v>
          </cell>
          <cell r="AB85">
            <v>2240.9786175580202</v>
          </cell>
          <cell r="AC85">
            <v>2279.9986113347672</v>
          </cell>
          <cell r="AD85">
            <v>2319.0186051115143</v>
          </cell>
          <cell r="AE85">
            <v>2358.0385988882613</v>
          </cell>
        </row>
        <row r="86">
          <cell r="G86">
            <v>698.06928427699506</v>
          </cell>
          <cell r="H86">
            <v>708.32070921300988</v>
          </cell>
          <cell r="I86">
            <v>718.57213414902469</v>
          </cell>
          <cell r="J86">
            <v>728.82355908503951</v>
          </cell>
          <cell r="K86">
            <v>739.07498402105432</v>
          </cell>
          <cell r="L86">
            <v>749.32640895706913</v>
          </cell>
          <cell r="M86">
            <v>759.57783389308383</v>
          </cell>
          <cell r="N86">
            <v>768.01287342852402</v>
          </cell>
          <cell r="O86">
            <v>776.4479129639642</v>
          </cell>
          <cell r="P86">
            <v>784.88295249940438</v>
          </cell>
          <cell r="Q86">
            <v>793.31799203484456</v>
          </cell>
          <cell r="R86">
            <v>801.75303157028475</v>
          </cell>
          <cell r="S86">
            <v>810.18807110572493</v>
          </cell>
          <cell r="T86">
            <v>818.62311064116511</v>
          </cell>
          <cell r="U86">
            <v>827.0581501766053</v>
          </cell>
          <cell r="V86">
            <v>835.49318971204548</v>
          </cell>
          <cell r="W86">
            <v>843.92822924748566</v>
          </cell>
          <cell r="X86">
            <v>852.36326878292584</v>
          </cell>
          <cell r="Y86">
            <v>860.79830831836603</v>
          </cell>
          <cell r="Z86">
            <v>869.23334785380621</v>
          </cell>
          <cell r="AA86">
            <v>827.05815017660575</v>
          </cell>
          <cell r="AB86">
            <v>838.1675080095082</v>
          </cell>
          <cell r="AC86">
            <v>849.27686584241064</v>
          </cell>
          <cell r="AD86">
            <v>860.38622367531309</v>
          </cell>
          <cell r="AE86">
            <v>871.49558150821554</v>
          </cell>
        </row>
        <row r="87">
          <cell r="G87">
            <v>1167</v>
          </cell>
          <cell r="H87">
            <v>1167</v>
          </cell>
          <cell r="I87">
            <v>1167</v>
          </cell>
          <cell r="J87">
            <v>1167</v>
          </cell>
          <cell r="K87">
            <v>1167</v>
          </cell>
          <cell r="L87">
            <v>1167</v>
          </cell>
          <cell r="M87">
            <v>1167</v>
          </cell>
          <cell r="N87">
            <v>1167</v>
          </cell>
          <cell r="O87">
            <v>1167</v>
          </cell>
          <cell r="P87">
            <v>1167</v>
          </cell>
          <cell r="Q87">
            <v>1167</v>
          </cell>
          <cell r="R87">
            <v>1167</v>
          </cell>
          <cell r="S87">
            <v>1167</v>
          </cell>
          <cell r="T87">
            <v>1167</v>
          </cell>
          <cell r="U87">
            <v>1167</v>
          </cell>
          <cell r="V87">
            <v>1167</v>
          </cell>
          <cell r="W87">
            <v>1167</v>
          </cell>
          <cell r="X87">
            <v>1167</v>
          </cell>
          <cell r="Y87">
            <v>1167</v>
          </cell>
          <cell r="Z87">
            <v>1167</v>
          </cell>
          <cell r="AA87">
            <v>1167</v>
          </cell>
          <cell r="AB87">
            <v>1167</v>
          </cell>
          <cell r="AC87">
            <v>1167</v>
          </cell>
          <cell r="AD87">
            <v>1167</v>
          </cell>
          <cell r="AE87">
            <v>1167</v>
          </cell>
        </row>
        <row r="88">
          <cell r="G88">
            <v>1185.5891467799934</v>
          </cell>
          <cell r="H88">
            <v>1211.1874468780647</v>
          </cell>
          <cell r="I88">
            <v>1236.7857469761361</v>
          </cell>
          <cell r="J88">
            <v>1262.3840470742075</v>
          </cell>
          <cell r="K88">
            <v>1287.9823471722789</v>
          </cell>
          <cell r="L88">
            <v>1313.5806472703503</v>
          </cell>
          <cell r="M88">
            <v>1339.1789473684209</v>
          </cell>
          <cell r="N88">
            <v>1363.3137548732943</v>
          </cell>
          <cell r="O88">
            <v>1387.4485623781677</v>
          </cell>
          <cell r="P88">
            <v>1411.5833698830411</v>
          </cell>
          <cell r="Q88">
            <v>1435.7181773879145</v>
          </cell>
          <cell r="R88">
            <v>1459.8529848927878</v>
          </cell>
          <cell r="S88">
            <v>1483.9877923976612</v>
          </cell>
          <cell r="T88">
            <v>1508.1225999025346</v>
          </cell>
          <cell r="U88">
            <v>1532.257407407408</v>
          </cell>
          <cell r="V88">
            <v>1556.3922149122814</v>
          </cell>
          <cell r="W88">
            <v>1580.5270224171547</v>
          </cell>
          <cell r="X88">
            <v>1604.6618299220281</v>
          </cell>
          <cell r="Y88">
            <v>1628.7966374269015</v>
          </cell>
          <cell r="Z88">
            <v>1652.9314449317749</v>
          </cell>
          <cell r="AA88">
            <v>1532.2574074074075</v>
          </cell>
          <cell r="AB88">
            <v>1537.9043981481482</v>
          </cell>
          <cell r="AC88">
            <v>1543.5513888888888</v>
          </cell>
          <cell r="AD88">
            <v>1549.1983796296295</v>
          </cell>
          <cell r="AE88">
            <v>1554.8453703703701</v>
          </cell>
        </row>
        <row r="95">
          <cell r="G95">
            <v>2189.132116156165</v>
          </cell>
          <cell r="H95">
            <v>2153.2906631184565</v>
          </cell>
          <cell r="I95">
            <v>2117.4492100807479</v>
          </cell>
          <cell r="J95">
            <v>2081.6077570430393</v>
          </cell>
          <cell r="K95">
            <v>2045.7663040053308</v>
          </cell>
          <cell r="L95">
            <v>2009.9248509676222</v>
          </cell>
          <cell r="M95">
            <v>1974.083397929913</v>
          </cell>
          <cell r="N95">
            <v>2052.2554545152962</v>
          </cell>
          <cell r="O95">
            <v>2130.4275111006791</v>
          </cell>
          <cell r="P95">
            <v>2208.5995676860621</v>
          </cell>
          <cell r="Q95">
            <v>2286.771624271445</v>
          </cell>
          <cell r="R95">
            <v>2364.943680856828</v>
          </cell>
          <cell r="S95">
            <v>2443.115737442211</v>
          </cell>
          <cell r="T95">
            <v>2521.2877940275939</v>
          </cell>
          <cell r="U95">
            <v>2599.4598506129769</v>
          </cell>
          <cell r="V95">
            <v>2677.6319071983598</v>
          </cell>
          <cell r="W95">
            <v>2755.8039637837428</v>
          </cell>
          <cell r="X95">
            <v>2833.9760203691258</v>
          </cell>
          <cell r="Y95">
            <v>2912.1480769545087</v>
          </cell>
          <cell r="Z95">
            <v>2990.3201335398917</v>
          </cell>
          <cell r="AA95">
            <v>2599.4598506129778</v>
          </cell>
          <cell r="AB95">
            <v>2551.8698894298795</v>
          </cell>
          <cell r="AC95">
            <v>2504.2799282467813</v>
          </cell>
          <cell r="AD95">
            <v>2456.6899670636831</v>
          </cell>
          <cell r="AE95">
            <v>2409.1000058805848</v>
          </cell>
        </row>
        <row r="96">
          <cell r="G96">
            <v>698.06928427699506</v>
          </cell>
          <cell r="H96">
            <v>708.32070921300988</v>
          </cell>
          <cell r="I96">
            <v>718.57213414902469</v>
          </cell>
          <cell r="J96">
            <v>728.82355908503951</v>
          </cell>
          <cell r="K96">
            <v>739.07498402105432</v>
          </cell>
          <cell r="L96">
            <v>749.32640895706913</v>
          </cell>
          <cell r="M96">
            <v>759.57783389308383</v>
          </cell>
          <cell r="N96">
            <v>768.01287342852402</v>
          </cell>
          <cell r="O96">
            <v>776.4479129639642</v>
          </cell>
          <cell r="P96">
            <v>784.88295249940438</v>
          </cell>
          <cell r="Q96">
            <v>793.31799203484456</v>
          </cell>
          <cell r="R96">
            <v>801.75303157028475</v>
          </cell>
          <cell r="S96">
            <v>810.18807110572493</v>
          </cell>
          <cell r="T96">
            <v>818.62311064116511</v>
          </cell>
          <cell r="U96">
            <v>827.0581501766053</v>
          </cell>
          <cell r="V96">
            <v>835.49318971204548</v>
          </cell>
          <cell r="W96">
            <v>843.92822924748566</v>
          </cell>
          <cell r="X96">
            <v>852.36326878292584</v>
          </cell>
          <cell r="Y96">
            <v>860.79830831836603</v>
          </cell>
          <cell r="Z96">
            <v>869.23334785380621</v>
          </cell>
          <cell r="AA96">
            <v>827.05815017660575</v>
          </cell>
          <cell r="AB96">
            <v>838.1675080095082</v>
          </cell>
          <cell r="AC96">
            <v>849.27686584241064</v>
          </cell>
          <cell r="AD96">
            <v>860.38622367531309</v>
          </cell>
          <cell r="AE96">
            <v>871.49558150821554</v>
          </cell>
        </row>
        <row r="97">
          <cell r="G97">
            <v>1167</v>
          </cell>
          <cell r="H97">
            <v>1167</v>
          </cell>
          <cell r="I97">
            <v>1167</v>
          </cell>
          <cell r="J97">
            <v>1167</v>
          </cell>
          <cell r="K97">
            <v>1167</v>
          </cell>
          <cell r="L97">
            <v>1167</v>
          </cell>
          <cell r="M97">
            <v>1167</v>
          </cell>
          <cell r="N97">
            <v>1167</v>
          </cell>
          <cell r="O97">
            <v>1167</v>
          </cell>
          <cell r="P97">
            <v>1167</v>
          </cell>
          <cell r="Q97">
            <v>1167</v>
          </cell>
          <cell r="R97">
            <v>1167</v>
          </cell>
          <cell r="S97">
            <v>1167</v>
          </cell>
          <cell r="T97">
            <v>1167</v>
          </cell>
          <cell r="U97">
            <v>1167</v>
          </cell>
          <cell r="V97">
            <v>1167</v>
          </cell>
          <cell r="W97">
            <v>1167</v>
          </cell>
          <cell r="X97">
            <v>1167</v>
          </cell>
          <cell r="Y97">
            <v>1167</v>
          </cell>
          <cell r="Z97">
            <v>1167</v>
          </cell>
          <cell r="AA97">
            <v>1167</v>
          </cell>
          <cell r="AB97">
            <v>1167</v>
          </cell>
          <cell r="AC97">
            <v>1167</v>
          </cell>
          <cell r="AD97">
            <v>1167</v>
          </cell>
          <cell r="AE97">
            <v>1167</v>
          </cell>
        </row>
        <row r="98">
          <cell r="G98">
            <v>1352.0807344379759</v>
          </cell>
          <cell r="H98">
            <v>1364.8439453649801</v>
          </cell>
          <cell r="I98">
            <v>1377.6071562919842</v>
          </cell>
          <cell r="J98">
            <v>1390.3703672189883</v>
          </cell>
          <cell r="K98">
            <v>1403.1335781459925</v>
          </cell>
          <cell r="L98">
            <v>1415.8967890729966</v>
          </cell>
          <cell r="M98">
            <v>1428.66</v>
          </cell>
          <cell r="N98">
            <v>1488.9047619047619</v>
          </cell>
          <cell r="O98">
            <v>1549.1495238095238</v>
          </cell>
          <cell r="P98">
            <v>1609.3942857142856</v>
          </cell>
          <cell r="Q98">
            <v>1669.6390476190475</v>
          </cell>
          <cell r="R98">
            <v>1729.8838095238093</v>
          </cell>
          <cell r="S98">
            <v>1790.1285714285711</v>
          </cell>
          <cell r="T98">
            <v>1850.373333333333</v>
          </cell>
          <cell r="U98">
            <v>1910.6180952380948</v>
          </cell>
          <cell r="V98">
            <v>1970.8628571428567</v>
          </cell>
          <cell r="W98">
            <v>2031.1076190476185</v>
          </cell>
          <cell r="X98">
            <v>2091.3523809523804</v>
          </cell>
          <cell r="Y98">
            <v>2151.5971428571424</v>
          </cell>
          <cell r="Z98">
            <v>2211.8419047619045</v>
          </cell>
          <cell r="AA98">
            <v>1910.6180952380955</v>
          </cell>
          <cell r="AB98">
            <v>1897.2483333333337</v>
          </cell>
          <cell r="AC98">
            <v>1883.8785714285718</v>
          </cell>
          <cell r="AD98">
            <v>1870.50880952381</v>
          </cell>
          <cell r="AE98">
            <v>1857.1390476190481</v>
          </cell>
        </row>
      </sheetData>
      <sheetData sheetId="5">
        <row r="24">
          <cell r="G24">
            <v>19224</v>
          </cell>
          <cell r="H24">
            <v>20881</v>
          </cell>
          <cell r="I24">
            <v>22030</v>
          </cell>
          <cell r="J24">
            <v>26693</v>
          </cell>
          <cell r="K24">
            <v>29534</v>
          </cell>
          <cell r="L24">
            <v>25256</v>
          </cell>
          <cell r="M24">
            <v>32825</v>
          </cell>
          <cell r="N24">
            <v>33591</v>
          </cell>
          <cell r="O24">
            <v>34363</v>
          </cell>
          <cell r="P24">
            <v>28330</v>
          </cell>
          <cell r="Q24">
            <v>28658</v>
          </cell>
          <cell r="R24">
            <v>28846</v>
          </cell>
          <cell r="S24">
            <v>29714</v>
          </cell>
          <cell r="T24">
            <v>28101</v>
          </cell>
          <cell r="U24">
            <v>25350</v>
          </cell>
          <cell r="V24">
            <v>26054</v>
          </cell>
          <cell r="W24">
            <v>30098</v>
          </cell>
          <cell r="X24">
            <v>34243</v>
          </cell>
          <cell r="Y24">
            <v>36326</v>
          </cell>
          <cell r="Z24">
            <v>40247</v>
          </cell>
          <cell r="AA24">
            <v>36985</v>
          </cell>
          <cell r="AB24">
            <v>30373</v>
          </cell>
          <cell r="AC24">
            <v>18826</v>
          </cell>
          <cell r="AD24">
            <v>13391</v>
          </cell>
          <cell r="AE24">
            <v>14886</v>
          </cell>
        </row>
        <row r="25">
          <cell r="G25">
            <v>14869.183557824352</v>
          </cell>
          <cell r="H25">
            <v>15220.21190520253</v>
          </cell>
          <cell r="I25">
            <v>18940.327900324999</v>
          </cell>
          <cell r="J25">
            <v>18837.087988326672</v>
          </cell>
          <cell r="K25">
            <v>17883.866659845167</v>
          </cell>
          <cell r="L25">
            <v>8123.2235993523336</v>
          </cell>
          <cell r="M25">
            <v>7903.1488702815295</v>
          </cell>
          <cell r="N25">
            <v>7592.1801314599406</v>
          </cell>
          <cell r="O25">
            <v>9401.6361134168346</v>
          </cell>
          <cell r="P25">
            <v>9701.2779324751245</v>
          </cell>
          <cell r="Q25">
            <v>11104.526723200062</v>
          </cell>
          <cell r="R25">
            <v>10897.632074550364</v>
          </cell>
          <cell r="S25">
            <v>12645.60766842474</v>
          </cell>
          <cell r="T25">
            <v>11965.262831791384</v>
          </cell>
          <cell r="U25">
            <v>10483.919915783859</v>
          </cell>
          <cell r="V25">
            <v>9971.9026959155963</v>
          </cell>
          <cell r="W25">
            <v>7253.9578552287549</v>
          </cell>
          <cell r="X25">
            <v>7119.6062546632547</v>
          </cell>
          <cell r="Y25">
            <v>7985.0504417912043</v>
          </cell>
          <cell r="Z25">
            <v>8677.2745487052198</v>
          </cell>
          <cell r="AA25">
            <v>9569.5883473366248</v>
          </cell>
          <cell r="AB25">
            <v>10771.842399662728</v>
          </cell>
          <cell r="AC25">
            <v>8763.9200796845034</v>
          </cell>
          <cell r="AD25">
            <v>2981.3702838569475</v>
          </cell>
          <cell r="AE25">
            <v>3522.5521445353306</v>
          </cell>
        </row>
        <row r="26">
          <cell r="G26">
            <v>968.81644217564758</v>
          </cell>
          <cell r="H26">
            <v>1167.7880947974693</v>
          </cell>
          <cell r="I26">
            <v>1180.6720996750003</v>
          </cell>
          <cell r="J26">
            <v>1129.91201167333</v>
          </cell>
          <cell r="K26">
            <v>657.13334015483224</v>
          </cell>
          <cell r="L26">
            <v>654.77640064766615</v>
          </cell>
          <cell r="M26">
            <v>652.8511297184707</v>
          </cell>
          <cell r="N26">
            <v>756.81986854005959</v>
          </cell>
          <cell r="O26">
            <v>787.36388658316514</v>
          </cell>
          <cell r="P26">
            <v>872.72206752487591</v>
          </cell>
          <cell r="Q26">
            <v>879.4732767999385</v>
          </cell>
          <cell r="R26">
            <v>984.36792544963578</v>
          </cell>
          <cell r="S26">
            <v>957.39233157526019</v>
          </cell>
          <cell r="T26">
            <v>887.73716820861637</v>
          </cell>
          <cell r="U26">
            <v>863.08008421613988</v>
          </cell>
          <cell r="V26">
            <v>722.09730408440362</v>
          </cell>
          <cell r="W26">
            <v>726.04214477124526</v>
          </cell>
          <cell r="X26">
            <v>786.3937453367455</v>
          </cell>
          <cell r="Y26">
            <v>838.94955820879602</v>
          </cell>
          <cell r="Z26">
            <v>904.72545129478021</v>
          </cell>
          <cell r="AA26">
            <v>978.41165266337521</v>
          </cell>
          <cell r="AB26">
            <v>852.15760033727156</v>
          </cell>
          <cell r="AC26">
            <v>520.07992031549577</v>
          </cell>
          <cell r="AD26">
            <v>564.62971614305252</v>
          </cell>
          <cell r="AE26">
            <v>705.44785546466926</v>
          </cell>
        </row>
        <row r="27">
          <cell r="G27">
            <v>4550</v>
          </cell>
          <cell r="H27">
            <v>3873</v>
          </cell>
          <cell r="I27">
            <v>4184</v>
          </cell>
          <cell r="J27">
            <v>4397</v>
          </cell>
          <cell r="K27">
            <v>5645</v>
          </cell>
          <cell r="L27">
            <v>5353</v>
          </cell>
          <cell r="M27">
            <v>5964</v>
          </cell>
          <cell r="N27">
            <v>6849</v>
          </cell>
          <cell r="O27">
            <v>7332</v>
          </cell>
          <cell r="P27">
            <v>7252</v>
          </cell>
          <cell r="Q27">
            <v>6257</v>
          </cell>
          <cell r="R27">
            <v>6419</v>
          </cell>
          <cell r="S27">
            <v>6874</v>
          </cell>
          <cell r="T27">
            <v>5339</v>
          </cell>
          <cell r="U27">
            <v>3853</v>
          </cell>
          <cell r="V27">
            <v>2971</v>
          </cell>
          <cell r="W27">
            <v>2933</v>
          </cell>
          <cell r="X27">
            <v>2868</v>
          </cell>
          <cell r="Y27">
            <v>2705</v>
          </cell>
          <cell r="Z27">
            <v>2723</v>
          </cell>
          <cell r="AA27">
            <v>2653</v>
          </cell>
          <cell r="AB27">
            <v>2063</v>
          </cell>
          <cell r="AC27">
            <v>1621</v>
          </cell>
          <cell r="AD27">
            <v>859</v>
          </cell>
          <cell r="AE27">
            <v>681</v>
          </cell>
        </row>
        <row r="34">
          <cell r="G34">
            <v>2868</v>
          </cell>
          <cell r="H34">
            <v>2692</v>
          </cell>
          <cell r="I34">
            <v>2813</v>
          </cell>
          <cell r="J34">
            <v>3536</v>
          </cell>
          <cell r="K34">
            <v>4754</v>
          </cell>
          <cell r="L34">
            <v>5803</v>
          </cell>
          <cell r="M34">
            <v>8453</v>
          </cell>
          <cell r="N34">
            <v>9522</v>
          </cell>
          <cell r="O34">
            <v>10120</v>
          </cell>
          <cell r="P34">
            <v>8784</v>
          </cell>
          <cell r="Q34">
            <v>9538</v>
          </cell>
          <cell r="R34">
            <v>9107</v>
          </cell>
          <cell r="S34">
            <v>10575</v>
          </cell>
          <cell r="T34">
            <v>10544</v>
          </cell>
          <cell r="U34">
            <v>9631</v>
          </cell>
          <cell r="V34">
            <v>9441</v>
          </cell>
          <cell r="W34">
            <v>10730</v>
          </cell>
          <cell r="X34">
            <v>12976</v>
          </cell>
          <cell r="Y34">
            <v>15094</v>
          </cell>
          <cell r="Z34">
            <v>18771</v>
          </cell>
          <cell r="AA34">
            <v>15444</v>
          </cell>
          <cell r="AB34">
            <v>9693</v>
          </cell>
          <cell r="AC34">
            <v>6027</v>
          </cell>
          <cell r="AD34">
            <v>4336</v>
          </cell>
          <cell r="AE34">
            <v>3706</v>
          </cell>
        </row>
        <row r="35">
          <cell r="G35">
            <v>848.82991832591654</v>
          </cell>
          <cell r="H35">
            <v>518.17882714524762</v>
          </cell>
          <cell r="I35">
            <v>288.37484437276629</v>
          </cell>
          <cell r="J35">
            <v>818.68632809921849</v>
          </cell>
          <cell r="K35">
            <v>922.54881309467987</v>
          </cell>
          <cell r="L35">
            <v>713.12107820425172</v>
          </cell>
          <cell r="M35">
            <v>1322.6430437243826</v>
          </cell>
          <cell r="N35">
            <v>1874.8440142054371</v>
          </cell>
          <cell r="O35">
            <v>2484.0690897878753</v>
          </cell>
          <cell r="P35">
            <v>1754.5624245646084</v>
          </cell>
          <cell r="Q35">
            <v>1502.6818009503679</v>
          </cell>
          <cell r="R35">
            <v>1099.0598706051132</v>
          </cell>
          <cell r="S35">
            <v>998.51700550573537</v>
          </cell>
          <cell r="T35">
            <v>1279.6542411025091</v>
          </cell>
          <cell r="U35">
            <v>931.97705912690287</v>
          </cell>
          <cell r="V35">
            <v>1416.4873706075907</v>
          </cell>
          <cell r="W35">
            <v>1622.1096316302473</v>
          </cell>
          <cell r="X35">
            <v>1725.2037386728252</v>
          </cell>
          <cell r="Y35">
            <v>1627.7922787378966</v>
          </cell>
          <cell r="Z35">
            <v>1461.0310065714518</v>
          </cell>
          <cell r="AA35">
            <v>1503.1641209172849</v>
          </cell>
          <cell r="AB35">
            <v>1434.6085653222435</v>
          </cell>
          <cell r="AC35">
            <v>616.53672479350837</v>
          </cell>
          <cell r="AD35">
            <v>410.6655928821981</v>
          </cell>
          <cell r="AE35">
            <v>283.5340494616637</v>
          </cell>
        </row>
        <row r="36">
          <cell r="G36">
            <v>45.170081674083427</v>
          </cell>
          <cell r="H36">
            <v>35.82117285475239</v>
          </cell>
          <cell r="I36">
            <v>62.625155627233696</v>
          </cell>
          <cell r="J36">
            <v>68.313671900781529</v>
          </cell>
          <cell r="K36">
            <v>60.451186905320142</v>
          </cell>
          <cell r="L36">
            <v>93.878921795748312</v>
          </cell>
          <cell r="M36">
            <v>125.35695627561738</v>
          </cell>
          <cell r="N36">
            <v>157.15598579456281</v>
          </cell>
          <cell r="O36">
            <v>120.93091021212476</v>
          </cell>
          <cell r="P36">
            <v>108.43757543539168</v>
          </cell>
          <cell r="Q36">
            <v>88.318199049632</v>
          </cell>
          <cell r="R36">
            <v>84.940129394886824</v>
          </cell>
          <cell r="S36">
            <v>100.48299449426467</v>
          </cell>
          <cell r="T36">
            <v>84.345758897490967</v>
          </cell>
          <cell r="U36">
            <v>113.02294087309717</v>
          </cell>
          <cell r="V36">
            <v>126.51262939240925</v>
          </cell>
          <cell r="W36">
            <v>133.89036836975254</v>
          </cell>
          <cell r="X36">
            <v>129.79626132717482</v>
          </cell>
          <cell r="Y36">
            <v>122.20772126210333</v>
          </cell>
          <cell r="Z36">
            <v>125.96899342854817</v>
          </cell>
          <cell r="AA36">
            <v>120.8358790827151</v>
          </cell>
          <cell r="AB36">
            <v>73.391434677756436</v>
          </cell>
          <cell r="AC36">
            <v>61.463275206491645</v>
          </cell>
          <cell r="AD36">
            <v>55.334407117801909</v>
          </cell>
          <cell r="AE36">
            <v>72.465950538336273</v>
          </cell>
        </row>
        <row r="37">
          <cell r="G37">
            <v>838</v>
          </cell>
          <cell r="H37">
            <v>605</v>
          </cell>
          <cell r="I37">
            <v>572</v>
          </cell>
          <cell r="J37">
            <v>703</v>
          </cell>
          <cell r="K37">
            <v>820</v>
          </cell>
          <cell r="L37">
            <v>1089</v>
          </cell>
          <cell r="M37">
            <v>1696</v>
          </cell>
          <cell r="N37">
            <v>2779</v>
          </cell>
          <cell r="O37">
            <v>3712</v>
          </cell>
          <cell r="P37">
            <v>3167</v>
          </cell>
          <cell r="Q37">
            <v>2635</v>
          </cell>
          <cell r="R37">
            <v>2634</v>
          </cell>
          <cell r="S37">
            <v>2980</v>
          </cell>
          <cell r="T37">
            <v>2343</v>
          </cell>
          <cell r="U37">
            <v>1317</v>
          </cell>
          <cell r="V37">
            <v>998</v>
          </cell>
          <cell r="W37">
            <v>1042</v>
          </cell>
          <cell r="X37">
            <v>785</v>
          </cell>
          <cell r="Y37">
            <v>765</v>
          </cell>
          <cell r="Z37">
            <v>798</v>
          </cell>
          <cell r="AA37">
            <v>849</v>
          </cell>
          <cell r="AB37">
            <v>721</v>
          </cell>
          <cell r="AC37">
            <v>526</v>
          </cell>
          <cell r="AD37">
            <v>273</v>
          </cell>
          <cell r="AE37">
            <v>283</v>
          </cell>
        </row>
        <row r="44">
          <cell r="G44">
            <v>972.4</v>
          </cell>
          <cell r="H44">
            <v>825.5</v>
          </cell>
          <cell r="I44">
            <v>730.6</v>
          </cell>
          <cell r="J44">
            <v>696.80000000000007</v>
          </cell>
          <cell r="K44">
            <v>925.6</v>
          </cell>
          <cell r="L44">
            <v>1349.4</v>
          </cell>
          <cell r="M44">
            <v>2454.4</v>
          </cell>
          <cell r="N44">
            <v>2601.3000000000002</v>
          </cell>
          <cell r="O44">
            <v>2906.8</v>
          </cell>
          <cell r="P44">
            <v>2382.9</v>
          </cell>
          <cell r="Q44">
            <v>2070.9</v>
          </cell>
          <cell r="R44">
            <v>1963</v>
          </cell>
          <cell r="S44">
            <v>1986.4</v>
          </cell>
          <cell r="T44">
            <v>2096.9</v>
          </cell>
          <cell r="U44">
            <v>2020.2</v>
          </cell>
          <cell r="V44">
            <v>2246.4</v>
          </cell>
          <cell r="W44">
            <v>2694.9</v>
          </cell>
          <cell r="X44">
            <v>3138.2000000000003</v>
          </cell>
          <cell r="Y44">
            <v>4468.1000000000004</v>
          </cell>
          <cell r="Z44">
            <v>4390.1000000000004</v>
          </cell>
          <cell r="AA44">
            <v>4347.2</v>
          </cell>
          <cell r="AB44">
            <v>3862.3</v>
          </cell>
          <cell r="AC44">
            <v>2616.9</v>
          </cell>
          <cell r="AD44">
            <v>1831.7</v>
          </cell>
          <cell r="AE44">
            <v>1666.6000000000001</v>
          </cell>
        </row>
        <row r="45">
          <cell r="G45">
            <v>474.93825094095956</v>
          </cell>
          <cell r="H45">
            <v>125.55342428746027</v>
          </cell>
          <cell r="I45">
            <v>239.38975865025668</v>
          </cell>
          <cell r="J45">
            <v>86.494038342320181</v>
          </cell>
          <cell r="K45">
            <v>253.07778115310504</v>
          </cell>
          <cell r="L45">
            <v>443.40968982992769</v>
          </cell>
          <cell r="M45">
            <v>238.40668933003624</v>
          </cell>
          <cell r="N45">
            <v>450.83862929341456</v>
          </cell>
          <cell r="O45">
            <v>732.37259269994001</v>
          </cell>
          <cell r="P45">
            <v>865.92745922778568</v>
          </cell>
          <cell r="Q45">
            <v>1098.5131099856153</v>
          </cell>
          <cell r="R45">
            <v>785.96545249482699</v>
          </cell>
          <cell r="S45">
            <v>745.40877474760293</v>
          </cell>
          <cell r="T45">
            <v>685.7461288484983</v>
          </cell>
          <cell r="U45">
            <v>667.72203160881213</v>
          </cell>
          <cell r="V45">
            <v>593.63332238391354</v>
          </cell>
          <cell r="W45">
            <v>1035.9518784735571</v>
          </cell>
          <cell r="X45">
            <v>903.3500469773611</v>
          </cell>
          <cell r="Y45">
            <v>893.8619142539435</v>
          </cell>
          <cell r="Z45">
            <v>928.12087639779793</v>
          </cell>
          <cell r="AA45">
            <v>772.11945727824411</v>
          </cell>
          <cell r="AB45">
            <v>709.88601514140555</v>
          </cell>
          <cell r="AC45">
            <v>356.68663359518177</v>
          </cell>
          <cell r="AD45">
            <v>136.66696241508441</v>
          </cell>
          <cell r="AE45">
            <v>367.84636582419688</v>
          </cell>
        </row>
        <row r="46">
          <cell r="G46">
            <v>26.061749059040462</v>
          </cell>
          <cell r="H46">
            <v>31.446575712539726</v>
          </cell>
          <cell r="I46">
            <v>24.610241349743323</v>
          </cell>
          <cell r="J46">
            <v>33.505961657679826</v>
          </cell>
          <cell r="K46">
            <v>42.922218846894957</v>
          </cell>
          <cell r="L46">
            <v>33.5903101700723</v>
          </cell>
          <cell r="M46">
            <v>45.593310669963749</v>
          </cell>
          <cell r="N46">
            <v>61.161370706585451</v>
          </cell>
          <cell r="O46">
            <v>69.627407300060014</v>
          </cell>
          <cell r="P46">
            <v>82.072540772214268</v>
          </cell>
          <cell r="Q46">
            <v>66.486890014384684</v>
          </cell>
          <cell r="R46">
            <v>65.034547505173009</v>
          </cell>
          <cell r="S46">
            <v>62.591225252397024</v>
          </cell>
          <cell r="T46">
            <v>62.253871151501713</v>
          </cell>
          <cell r="U46">
            <v>60.277968391187819</v>
          </cell>
          <cell r="V46">
            <v>85.366677616086406</v>
          </cell>
          <cell r="W46">
            <v>79.048121526442912</v>
          </cell>
          <cell r="X46">
            <v>79.649953022638883</v>
          </cell>
          <cell r="Y46">
            <v>82.138085746056518</v>
          </cell>
          <cell r="Z46">
            <v>73.879123602202057</v>
          </cell>
          <cell r="AA46">
            <v>69.880542721755916</v>
          </cell>
          <cell r="AB46">
            <v>49.113984858594421</v>
          </cell>
          <cell r="AC46">
            <v>37.313366404818197</v>
          </cell>
          <cell r="AD46">
            <v>52.333037584915587</v>
          </cell>
          <cell r="AE46">
            <v>68.15363417580312</v>
          </cell>
        </row>
        <row r="47">
          <cell r="G47">
            <v>667</v>
          </cell>
          <cell r="H47">
            <v>514</v>
          </cell>
          <cell r="I47">
            <v>441</v>
          </cell>
          <cell r="J47">
            <v>480</v>
          </cell>
          <cell r="K47">
            <v>505</v>
          </cell>
          <cell r="L47">
            <v>653</v>
          </cell>
          <cell r="M47">
            <v>1021</v>
          </cell>
          <cell r="N47">
            <v>1453</v>
          </cell>
          <cell r="O47">
            <v>1871</v>
          </cell>
          <cell r="P47">
            <v>1772</v>
          </cell>
          <cell r="Q47">
            <v>1749</v>
          </cell>
          <cell r="R47">
            <v>1681</v>
          </cell>
          <cell r="S47">
            <v>1919</v>
          </cell>
          <cell r="T47">
            <v>1736</v>
          </cell>
          <cell r="U47">
            <v>1195</v>
          </cell>
          <cell r="V47">
            <v>922</v>
          </cell>
          <cell r="W47">
            <v>972</v>
          </cell>
          <cell r="X47">
            <v>827</v>
          </cell>
          <cell r="Y47">
            <v>697</v>
          </cell>
          <cell r="Z47">
            <v>641</v>
          </cell>
          <cell r="AA47">
            <v>611</v>
          </cell>
          <cell r="AB47">
            <v>593</v>
          </cell>
          <cell r="AC47">
            <v>437</v>
          </cell>
          <cell r="AD47">
            <v>290</v>
          </cell>
          <cell r="AE47">
            <v>325</v>
          </cell>
        </row>
        <row r="54">
          <cell r="G54">
            <v>29614.268</v>
          </cell>
          <cell r="H54">
            <v>32248.535</v>
          </cell>
          <cell r="I54">
            <v>34559.441999999995</v>
          </cell>
          <cell r="J54">
            <v>42040.175999999999</v>
          </cell>
          <cell r="K54">
            <v>48415.591999999997</v>
          </cell>
          <cell r="L54">
            <v>44234.157999999996</v>
          </cell>
          <cell r="M54">
            <v>57584.008000000002</v>
          </cell>
          <cell r="N54">
            <v>61360.741000000002</v>
          </cell>
          <cell r="O54">
            <v>63637.876000000004</v>
          </cell>
          <cell r="P54">
            <v>54867.252999999997</v>
          </cell>
          <cell r="Q54">
            <v>57384.413</v>
          </cell>
          <cell r="R54">
            <v>56006.91</v>
          </cell>
          <cell r="S54">
            <v>58939.248</v>
          </cell>
          <cell r="T54">
            <v>56527.233</v>
          </cell>
          <cell r="U54">
            <v>51608.513999999996</v>
          </cell>
          <cell r="V54">
            <v>52738.448000000004</v>
          </cell>
          <cell r="W54">
            <v>59782.093000000001</v>
          </cell>
          <cell r="X54">
            <v>67688.774000000005</v>
          </cell>
          <cell r="Y54">
            <v>74522.816999999995</v>
          </cell>
          <cell r="Z54">
            <v>84872.357000000004</v>
          </cell>
          <cell r="AA54">
            <v>75289.903999999995</v>
          </cell>
          <cell r="AB54">
            <v>57664.510999999999</v>
          </cell>
          <cell r="AC54">
            <v>34509.633000000002</v>
          </cell>
          <cell r="AD54">
            <v>24099.069</v>
          </cell>
          <cell r="AE54">
            <v>24846.962</v>
          </cell>
        </row>
        <row r="55">
          <cell r="G55">
            <v>18929.763197074921</v>
          </cell>
          <cell r="H55">
            <v>19012.285997102455</v>
          </cell>
          <cell r="I55">
            <v>22080.05399967837</v>
          </cell>
          <cell r="J55">
            <v>28601.778161129085</v>
          </cell>
          <cell r="K55">
            <v>27202.893689869059</v>
          </cell>
          <cell r="L55">
            <v>12390.210937882894</v>
          </cell>
          <cell r="M55">
            <v>12173.152842775997</v>
          </cell>
          <cell r="N55">
            <v>12361.89700061282</v>
          </cell>
          <cell r="O55">
            <v>17122.743158401601</v>
          </cell>
          <cell r="P55">
            <v>18662.733640245107</v>
          </cell>
          <cell r="Q55">
            <v>21954.730458996564</v>
          </cell>
          <cell r="R55">
            <v>20000.57314201623</v>
          </cell>
          <cell r="S55">
            <v>20642.129902132976</v>
          </cell>
          <cell r="T55">
            <v>18328.494801049026</v>
          </cell>
          <cell r="U55">
            <v>14151.270582179823</v>
          </cell>
          <cell r="V55">
            <v>14626.267683576692</v>
          </cell>
          <cell r="W55">
            <v>12028.647109827845</v>
          </cell>
          <cell r="X55">
            <v>13046.576324182057</v>
          </cell>
          <cell r="Y55">
            <v>13957.232094298251</v>
          </cell>
          <cell r="Z55">
            <v>13931.004497270837</v>
          </cell>
          <cell r="AA55">
            <v>15900.995334173014</v>
          </cell>
          <cell r="AB55">
            <v>15570.247880584542</v>
          </cell>
          <cell r="AC55">
            <v>11944.723214001346</v>
          </cell>
          <cell r="AD55">
            <v>4141.9202192737603</v>
          </cell>
          <cell r="AE55">
            <v>4082.3550519108021</v>
          </cell>
        </row>
        <row r="56">
          <cell r="G56">
            <v>1541.8068029250769</v>
          </cell>
          <cell r="H56">
            <v>1789.2040028975434</v>
          </cell>
          <cell r="I56">
            <v>2697.4260003216259</v>
          </cell>
          <cell r="J56">
            <v>2452.6218388709185</v>
          </cell>
          <cell r="K56">
            <v>1250.8263101309403</v>
          </cell>
          <cell r="L56">
            <v>1272.6790621171076</v>
          </cell>
          <cell r="M56">
            <v>1783.7271572240043</v>
          </cell>
          <cell r="N56">
            <v>2321.94299938718</v>
          </cell>
          <cell r="O56">
            <v>2678.3968415983995</v>
          </cell>
          <cell r="P56">
            <v>3071.6263597548932</v>
          </cell>
          <cell r="Q56">
            <v>2881.3195410034377</v>
          </cell>
          <cell r="R56">
            <v>2811.4968579837696</v>
          </cell>
          <cell r="S56">
            <v>2476.4300978670262</v>
          </cell>
          <cell r="T56">
            <v>2052.8651989509744</v>
          </cell>
          <cell r="U56">
            <v>2155.6894178201746</v>
          </cell>
          <cell r="V56">
            <v>2035.7623164233073</v>
          </cell>
          <cell r="W56">
            <v>2249.9028901721549</v>
          </cell>
          <cell r="X56">
            <v>2341.7336758179449</v>
          </cell>
          <cell r="Y56">
            <v>2340.0879057017487</v>
          </cell>
          <cell r="Z56">
            <v>2581.1355027291629</v>
          </cell>
          <cell r="AA56">
            <v>2450.9446658269858</v>
          </cell>
          <cell r="AB56">
            <v>2125.3821194154557</v>
          </cell>
          <cell r="AC56">
            <v>1478.8567859986533</v>
          </cell>
          <cell r="AD56">
            <v>1471.80978072624</v>
          </cell>
          <cell r="AE56">
            <v>1909.1649480891979</v>
          </cell>
        </row>
        <row r="57">
          <cell r="G57">
            <v>8065.1900000000005</v>
          </cell>
          <cell r="H57">
            <v>7680.98</v>
          </cell>
          <cell r="I57">
            <v>8859.369999999999</v>
          </cell>
          <cell r="J57">
            <v>9760.6</v>
          </cell>
          <cell r="K57">
            <v>11657.85</v>
          </cell>
          <cell r="L57">
            <v>11534.21</v>
          </cell>
          <cell r="M57">
            <v>13344.97</v>
          </cell>
          <cell r="N57">
            <v>16910.21</v>
          </cell>
          <cell r="O57">
            <v>19707.47</v>
          </cell>
          <cell r="P57">
            <v>18879.04</v>
          </cell>
          <cell r="Q57">
            <v>16372.93</v>
          </cell>
          <cell r="R57">
            <v>16578.169999999998</v>
          </cell>
          <cell r="S57">
            <v>17170.830000000002</v>
          </cell>
          <cell r="T57">
            <v>13873.52</v>
          </cell>
          <cell r="U57">
            <v>9050.15</v>
          </cell>
          <cell r="V57">
            <v>6886.54</v>
          </cell>
          <cell r="W57">
            <v>7046.04</v>
          </cell>
          <cell r="X57">
            <v>6539.3899999999994</v>
          </cell>
          <cell r="Y57">
            <v>6359.29</v>
          </cell>
          <cell r="Z57">
            <v>6381.37</v>
          </cell>
          <cell r="AA57">
            <v>6080.27</v>
          </cell>
          <cell r="AB57">
            <v>4894.01</v>
          </cell>
          <cell r="AC57">
            <v>3674.09</v>
          </cell>
          <cell r="AD57">
            <v>2014.3</v>
          </cell>
          <cell r="AE57">
            <v>1796.25</v>
          </cell>
        </row>
      </sheetData>
      <sheetData sheetId="6">
        <row r="20">
          <cell r="H20">
            <v>0.54056403834827815</v>
          </cell>
          <cell r="I20">
            <v>0.48200277076100684</v>
          </cell>
          <cell r="J20">
            <v>0.56609879065860214</v>
          </cell>
          <cell r="K20">
            <v>0.38751242004584513</v>
          </cell>
          <cell r="L20">
            <v>0.37711808922827855</v>
          </cell>
          <cell r="M20">
            <v>0.25636734424005708</v>
          </cell>
          <cell r="N20">
            <v>0.44466162759752242</v>
          </cell>
          <cell r="O20">
            <v>0.45536974953410997</v>
          </cell>
          <cell r="P20">
            <v>0.70573583862289258</v>
          </cell>
          <cell r="Q20">
            <v>0.32030228474056088</v>
          </cell>
          <cell r="R20">
            <v>0.45656607817537698</v>
          </cell>
          <cell r="S20">
            <v>0.54274096423648555</v>
          </cell>
          <cell r="T20">
            <v>0.5468986965635122</v>
          </cell>
          <cell r="U20">
            <v>0.68988938711233838</v>
          </cell>
          <cell r="V20">
            <v>0.53901469469811258</v>
          </cell>
          <cell r="W20">
            <v>0.3806850435515966</v>
          </cell>
          <cell r="X20">
            <v>0.49257182617893736</v>
          </cell>
          <cell r="Y20">
            <v>0.47062937090000179</v>
          </cell>
          <cell r="Z20">
            <v>0.56590400000000007</v>
          </cell>
          <cell r="AA20">
            <v>0.63572800000000007</v>
          </cell>
          <cell r="AB20">
            <v>0.55195677698180112</v>
          </cell>
          <cell r="AC20">
            <v>0.49509450059010646</v>
          </cell>
          <cell r="AD20">
            <v>0.48926806425812347</v>
          </cell>
          <cell r="AE20">
            <v>0.50707539425908554</v>
          </cell>
        </row>
        <row r="21">
          <cell r="H21">
            <v>0.40814400000000001</v>
          </cell>
          <cell r="I21">
            <v>0.39798</v>
          </cell>
          <cell r="J21">
            <v>0.425238</v>
          </cell>
          <cell r="K21">
            <v>0.88486200000000004</v>
          </cell>
          <cell r="L21">
            <v>0.683562</v>
          </cell>
          <cell r="M21">
            <v>0.85707600000000006</v>
          </cell>
          <cell r="N21">
            <v>0.88373999999999997</v>
          </cell>
          <cell r="O21">
            <v>1.075866</v>
          </cell>
          <cell r="P21">
            <v>1.041018</v>
          </cell>
          <cell r="Q21">
            <v>0.91416599999999992</v>
          </cell>
          <cell r="R21">
            <v>1.1944680000000001</v>
          </cell>
          <cell r="S21">
            <v>0.82579200000000008</v>
          </cell>
          <cell r="T21">
            <v>1.2765060000000001</v>
          </cell>
          <cell r="U21">
            <v>1.201794</v>
          </cell>
          <cell r="V21">
            <v>1.6133040000000001</v>
          </cell>
          <cell r="W21">
            <v>2.0698000000000003</v>
          </cell>
          <cell r="X21">
            <v>1.415</v>
          </cell>
          <cell r="Y21">
            <v>1.1031</v>
          </cell>
          <cell r="Z21">
            <v>1.0355000000000001</v>
          </cell>
          <cell r="AA21">
            <v>0.28970000000000001</v>
          </cell>
          <cell r="AB21">
            <v>0.96416996977002289</v>
          </cell>
          <cell r="AC21">
            <v>1.0474829794917409</v>
          </cell>
          <cell r="AD21">
            <v>1.0602062008599469</v>
          </cell>
          <cell r="AE21">
            <v>1.0741061198150028</v>
          </cell>
        </row>
        <row r="22">
          <cell r="H22">
            <v>0.210256</v>
          </cell>
          <cell r="I22">
            <v>0.20502000000000001</v>
          </cell>
          <cell r="J22">
            <v>0.21906200000000001</v>
          </cell>
          <cell r="K22">
            <v>0.45583800000000002</v>
          </cell>
          <cell r="L22">
            <v>0.35213800000000001</v>
          </cell>
          <cell r="M22">
            <v>0.44152400000000003</v>
          </cell>
          <cell r="N22">
            <v>0.45526000000000005</v>
          </cell>
          <cell r="O22">
            <v>0.554234</v>
          </cell>
          <cell r="P22">
            <v>0.53628200000000004</v>
          </cell>
          <cell r="Q22">
            <v>0.47093400000000002</v>
          </cell>
          <cell r="R22">
            <v>0.61533199999999999</v>
          </cell>
          <cell r="S22">
            <v>0.42540800000000006</v>
          </cell>
          <cell r="T22">
            <v>0.65759400000000001</v>
          </cell>
          <cell r="U22">
            <v>0.61910600000000016</v>
          </cell>
          <cell r="V22">
            <v>0.83109600000000017</v>
          </cell>
          <cell r="W22">
            <v>0.93820000000000003</v>
          </cell>
          <cell r="X22">
            <v>0.94359999999999999</v>
          </cell>
          <cell r="Y22">
            <v>0.53320000000000001</v>
          </cell>
          <cell r="Z22">
            <v>0.64049999999999996</v>
          </cell>
          <cell r="AA22">
            <v>0.29170000000000001</v>
          </cell>
          <cell r="AB22">
            <v>0.43694662123493522</v>
          </cell>
          <cell r="AC22">
            <v>0.58273476357135601</v>
          </cell>
          <cell r="AD22">
            <v>0.6086834810811409</v>
          </cell>
          <cell r="AE22">
            <v>0.64149366754371639</v>
          </cell>
        </row>
        <row r="23">
          <cell r="H23">
            <v>1.9095</v>
          </cell>
          <cell r="I23">
            <v>2.8365629999999999</v>
          </cell>
          <cell r="J23">
            <v>2.2281</v>
          </cell>
          <cell r="K23">
            <v>1.61</v>
          </cell>
          <cell r="L23">
            <v>1.4142000000000001</v>
          </cell>
          <cell r="M23">
            <v>1.5080250000000002</v>
          </cell>
          <cell r="N23">
            <v>0.83910000000000007</v>
          </cell>
          <cell r="O23">
            <v>1.2907</v>
          </cell>
          <cell r="P23">
            <v>3.8820000000000001</v>
          </cell>
          <cell r="Q23">
            <v>3.8363</v>
          </cell>
          <cell r="R23">
            <v>5.9918000000000005</v>
          </cell>
          <cell r="S23">
            <v>4.3921000000000001</v>
          </cell>
          <cell r="T23">
            <v>3.3323</v>
          </cell>
          <cell r="U23">
            <v>3.0750000000000002</v>
          </cell>
          <cell r="V23">
            <v>3.1429999999999998</v>
          </cell>
          <cell r="W23">
            <v>2.3030999999999997</v>
          </cell>
          <cell r="X23">
            <v>1.4487000000000001</v>
          </cell>
          <cell r="Y23">
            <v>2.0606</v>
          </cell>
          <cell r="Z23">
            <v>3.4781999999999997</v>
          </cell>
          <cell r="AA23">
            <v>2.6520000000000001</v>
          </cell>
          <cell r="AB23">
            <v>2.9438208100000005</v>
          </cell>
          <cell r="AC23">
            <v>2.7560084900000006</v>
          </cell>
          <cell r="AD23">
            <v>2.603018580000001</v>
          </cell>
          <cell r="AE23">
            <v>2.6672277900000001</v>
          </cell>
        </row>
        <row r="24">
          <cell r="H24">
            <v>0.14913168675370994</v>
          </cell>
          <cell r="I24">
            <v>0.1329757089339306</v>
          </cell>
          <cell r="J24">
            <v>0.15617625578296401</v>
          </cell>
          <cell r="K24">
            <v>0.1069075571805157</v>
          </cell>
          <cell r="L24">
            <v>0.10403995227613426</v>
          </cell>
          <cell r="M24">
            <v>7.0727040207687705E-2</v>
          </cell>
          <cell r="N24">
            <v>0.12267397357932248</v>
          </cell>
          <cell r="O24">
            <v>0.12562814768836453</v>
          </cell>
          <cell r="P24">
            <v>0.19469955185691878</v>
          </cell>
          <cell r="Q24">
            <v>8.8365515657279348E-2</v>
          </cell>
          <cell r="R24">
            <v>0.12595819278113293</v>
          </cell>
          <cell r="S24">
            <v>0.14973226061104264</v>
          </cell>
          <cell r="T24">
            <v>0.15087930257279522</v>
          </cell>
          <cell r="U24">
            <v>0.19032780702155982</v>
          </cell>
          <cell r="V24">
            <v>0.14870425130569837</v>
          </cell>
          <cell r="W24">
            <v>0.16880282991010148</v>
          </cell>
          <cell r="X24">
            <v>0.21751936506571806</v>
          </cell>
          <cell r="Y24">
            <v>0.19732937621560423</v>
          </cell>
          <cell r="Z24">
            <v>0.10970000000000001</v>
          </cell>
          <cell r="AA24">
            <v>9.4200000000000006E-2</v>
          </cell>
          <cell r="AB24">
            <v>9.8923323863743931E-2</v>
          </cell>
          <cell r="AC24">
            <v>0.10283212131183471</v>
          </cell>
          <cell r="AD24">
            <v>0.11325872838672849</v>
          </cell>
          <cell r="AE24">
            <v>0.12860505588071519</v>
          </cell>
        </row>
        <row r="25">
          <cell r="H25">
            <v>6.0347113246290073E-2</v>
          </cell>
          <cell r="I25">
            <v>5.3809491066069394E-2</v>
          </cell>
          <cell r="J25">
            <v>6.3197744217035973E-2</v>
          </cell>
          <cell r="K25">
            <v>4.326084281948428E-2</v>
          </cell>
          <cell r="L25">
            <v>4.2100447723865751E-2</v>
          </cell>
          <cell r="M25">
            <v>2.8620159792312291E-2</v>
          </cell>
          <cell r="N25">
            <v>4.9640826420677527E-2</v>
          </cell>
          <cell r="O25">
            <v>5.0836252311635494E-2</v>
          </cell>
          <cell r="P25">
            <v>7.8786448143081236E-2</v>
          </cell>
          <cell r="Q25">
            <v>3.5757684342720655E-2</v>
          </cell>
          <cell r="R25">
            <v>5.0969807218867055E-2</v>
          </cell>
          <cell r="S25">
            <v>6.059013938895734E-2</v>
          </cell>
          <cell r="T25">
            <v>6.1054297427204751E-2</v>
          </cell>
          <cell r="U25">
            <v>7.7017392978440125E-2</v>
          </cell>
          <cell r="V25">
            <v>6.0174148694301641E-2</v>
          </cell>
          <cell r="W25">
            <v>6.8307170089898533E-2</v>
          </cell>
          <cell r="X25">
            <v>8.8020634934281985E-2</v>
          </cell>
          <cell r="Y25">
            <v>7.9850623784395738E-2</v>
          </cell>
          <cell r="Z25">
            <v>0.10970000000000001</v>
          </cell>
          <cell r="AA25">
            <v>9.4200000000000006E-2</v>
          </cell>
          <cell r="AB25">
            <v>9.8923323863743931E-2</v>
          </cell>
          <cell r="AC25">
            <v>0.10283212131183471</v>
          </cell>
          <cell r="AD25">
            <v>0.11325872838672849</v>
          </cell>
          <cell r="AE25">
            <v>0.12860505588071519</v>
          </cell>
        </row>
        <row r="26">
          <cell r="H26">
            <v>6.7900000000000002E-2</v>
          </cell>
          <cell r="I26">
            <v>9.3099999999999988E-2</v>
          </cell>
          <cell r="J26">
            <v>0.17349999999999999</v>
          </cell>
          <cell r="K26">
            <v>0.1865</v>
          </cell>
          <cell r="L26">
            <v>9.8900000000000002E-2</v>
          </cell>
          <cell r="M26">
            <v>0.1036</v>
          </cell>
          <cell r="N26">
            <v>0.1033</v>
          </cell>
          <cell r="O26">
            <v>0.10299999999999999</v>
          </cell>
          <cell r="P26">
            <v>0.16839999999999999</v>
          </cell>
          <cell r="Q26">
            <v>9.3099999999999988E-2</v>
          </cell>
          <cell r="R26">
            <v>0.1729</v>
          </cell>
          <cell r="S26">
            <v>0.18819999999999998</v>
          </cell>
          <cell r="T26">
            <v>0.14849999999999999</v>
          </cell>
          <cell r="U26">
            <v>0.13639999999999999</v>
          </cell>
          <cell r="V26">
            <v>0.11509999999999999</v>
          </cell>
          <cell r="W26">
            <v>0.34855169999999996</v>
          </cell>
          <cell r="X26">
            <v>0.44914379999999998</v>
          </cell>
          <cell r="Y26">
            <v>0.4074546</v>
          </cell>
          <cell r="Z26">
            <v>3.5369000000000002</v>
          </cell>
          <cell r="AA26">
            <v>3.9733000000000001</v>
          </cell>
          <cell r="AB26">
            <v>3.449729856136257</v>
          </cell>
          <cell r="AC26">
            <v>3.0943406286881654</v>
          </cell>
          <cell r="AD26">
            <v>3.0579254016132715</v>
          </cell>
          <cell r="AE26">
            <v>3.1692212141192844</v>
          </cell>
        </row>
        <row r="27">
          <cell r="H27">
            <v>0.34329999999999999</v>
          </cell>
          <cell r="I27">
            <v>0.83960000000000001</v>
          </cell>
          <cell r="J27">
            <v>0.4824</v>
          </cell>
          <cell r="K27">
            <v>0.71140000000000003</v>
          </cell>
          <cell r="L27">
            <v>0.39800000000000002</v>
          </cell>
          <cell r="M27">
            <v>0.2858</v>
          </cell>
          <cell r="N27">
            <v>0.30269999999999997</v>
          </cell>
          <cell r="O27">
            <v>0.52510000000000001</v>
          </cell>
          <cell r="P27">
            <v>0.63970000000000005</v>
          </cell>
          <cell r="Q27">
            <v>0.7984</v>
          </cell>
          <cell r="R27">
            <v>2.4916999999999998</v>
          </cell>
          <cell r="S27">
            <v>1.8120000000000001</v>
          </cell>
          <cell r="T27">
            <v>1.2810999999999999</v>
          </cell>
          <cell r="U27">
            <v>1.1297999999999999</v>
          </cell>
          <cell r="V27">
            <v>0.46079999999999999</v>
          </cell>
          <cell r="W27">
            <v>0.1757</v>
          </cell>
          <cell r="X27">
            <v>0.44230000000000003</v>
          </cell>
          <cell r="Y27">
            <v>0.30010000000000003</v>
          </cell>
          <cell r="Z27">
            <v>0.32750000000000001</v>
          </cell>
          <cell r="AA27">
            <v>0.47720000000000001</v>
          </cell>
          <cell r="AB27">
            <v>0.55912742999999965</v>
          </cell>
          <cell r="AC27">
            <v>0.54529235000000031</v>
          </cell>
          <cell r="AD27">
            <v>0.40671768999999997</v>
          </cell>
          <cell r="AE27">
            <v>0.44228138999999994</v>
          </cell>
        </row>
        <row r="28">
          <cell r="H28">
            <v>0.20303249999999998</v>
          </cell>
          <cell r="I28">
            <v>0.28772999999999999</v>
          </cell>
          <cell r="J28">
            <v>0.3148125</v>
          </cell>
          <cell r="K28">
            <v>0.34934699999999996</v>
          </cell>
          <cell r="L28">
            <v>0.195408</v>
          </cell>
          <cell r="M28">
            <v>0.33637499999999998</v>
          </cell>
          <cell r="N28">
            <v>0.13727549999999999</v>
          </cell>
          <cell r="O28">
            <v>0.35469449999999997</v>
          </cell>
          <cell r="P28">
            <v>0.25029750000000001</v>
          </cell>
          <cell r="Q28">
            <v>0.1968915</v>
          </cell>
          <cell r="R28">
            <v>0.43252649999999998</v>
          </cell>
          <cell r="S28">
            <v>0.54820499999999994</v>
          </cell>
          <cell r="T28">
            <v>0.97724699999999987</v>
          </cell>
          <cell r="U28">
            <v>0.84756149999999986</v>
          </cell>
          <cell r="V28">
            <v>0.64639199999999997</v>
          </cell>
          <cell r="W28">
            <v>0.33719399999999999</v>
          </cell>
          <cell r="X28">
            <v>0.39087360000000004</v>
          </cell>
          <cell r="Y28">
            <v>0.30558060000000004</v>
          </cell>
          <cell r="Z28">
            <v>3.7835000000000001</v>
          </cell>
          <cell r="AA28">
            <v>1.3673</v>
          </cell>
          <cell r="AB28">
            <v>1.8872418900000005</v>
          </cell>
          <cell r="AC28">
            <v>1.84246679</v>
          </cell>
          <cell r="AD28">
            <v>1.9964261199999997</v>
          </cell>
          <cell r="AE28">
            <v>2.11022474</v>
          </cell>
        </row>
        <row r="29">
          <cell r="H29">
            <v>0.38546750000000002</v>
          </cell>
          <cell r="I29">
            <v>0.54627000000000003</v>
          </cell>
          <cell r="J29">
            <v>0.59768750000000004</v>
          </cell>
          <cell r="K29">
            <v>0.66325300000000009</v>
          </cell>
          <cell r="L29">
            <v>0.37099200000000004</v>
          </cell>
          <cell r="M29">
            <v>0.638625</v>
          </cell>
          <cell r="N29">
            <v>0.26062450000000004</v>
          </cell>
          <cell r="O29">
            <v>0.67340549999999999</v>
          </cell>
          <cell r="P29">
            <v>0.47520250000000003</v>
          </cell>
          <cell r="Q29">
            <v>0.37380850000000004</v>
          </cell>
          <cell r="R29">
            <v>0.82117350000000011</v>
          </cell>
          <cell r="S29">
            <v>1.0407950000000001</v>
          </cell>
          <cell r="T29">
            <v>1.855353</v>
          </cell>
          <cell r="U29">
            <v>1.6091385</v>
          </cell>
          <cell r="V29">
            <v>1.2272080000000001</v>
          </cell>
          <cell r="W29">
            <v>1.1038060000000001</v>
          </cell>
          <cell r="X29">
            <v>1.2795264000000002</v>
          </cell>
          <cell r="Y29">
            <v>1.0003194000000002</v>
          </cell>
          <cell r="Z29">
            <v>3.7835000000000001</v>
          </cell>
          <cell r="AA29">
            <v>1.3673</v>
          </cell>
          <cell r="AB29">
            <v>1.8872418900000005</v>
          </cell>
          <cell r="AC29">
            <v>1.84246679</v>
          </cell>
          <cell r="AD29">
            <v>1.9964261199999997</v>
          </cell>
          <cell r="AE29">
            <v>2.11022474</v>
          </cell>
        </row>
        <row r="30">
          <cell r="H30">
            <v>0.66609400000000007</v>
          </cell>
          <cell r="I30">
            <v>1.1484180000000002</v>
          </cell>
          <cell r="J30">
            <v>0.55253399999999997</v>
          </cell>
          <cell r="K30">
            <v>0.6476320000000001</v>
          </cell>
          <cell r="L30">
            <v>0.68836400000000009</v>
          </cell>
          <cell r="M30">
            <v>0.40613802400000004</v>
          </cell>
          <cell r="N30">
            <v>0.97611110000000012</v>
          </cell>
          <cell r="O30">
            <v>0.44944599999999996</v>
          </cell>
          <cell r="P30">
            <v>1.0394595600000001</v>
          </cell>
          <cell r="Q30">
            <v>1.9108285600000001</v>
          </cell>
          <cell r="R30">
            <v>2.0233162</v>
          </cell>
          <cell r="S30">
            <v>1.5876980000000001</v>
          </cell>
          <cell r="T30">
            <v>1.3800260000000002</v>
          </cell>
          <cell r="U30">
            <v>1.4298360000000001</v>
          </cell>
          <cell r="V30">
            <v>1.3088299999999999</v>
          </cell>
          <cell r="W30">
            <v>1.4430000000000001</v>
          </cell>
          <cell r="X30">
            <v>1.3551</v>
          </cell>
          <cell r="Y30">
            <v>1.248</v>
          </cell>
          <cell r="Z30">
            <v>1.1154000000000002</v>
          </cell>
          <cell r="AA30">
            <v>1.0509999999999999</v>
          </cell>
          <cell r="AB30">
            <v>1.2799544001277074</v>
          </cell>
          <cell r="AC30">
            <v>1.4046792195590034</v>
          </cell>
          <cell r="AD30">
            <v>1.4878548079657998</v>
          </cell>
          <cell r="AE30">
            <v>1.4917427808967407</v>
          </cell>
        </row>
        <row r="31">
          <cell r="H31">
            <v>1.2930060000000001</v>
          </cell>
          <cell r="I31">
            <v>2.229282</v>
          </cell>
          <cell r="J31">
            <v>1.0725660000000001</v>
          </cell>
          <cell r="K31">
            <v>1.2571680000000001</v>
          </cell>
          <cell r="L31">
            <v>1.3362360000000002</v>
          </cell>
          <cell r="M31">
            <v>0.78838557600000003</v>
          </cell>
          <cell r="N31">
            <v>1.8948039000000001</v>
          </cell>
          <cell r="O31">
            <v>0.87245399999999995</v>
          </cell>
          <cell r="P31">
            <v>2.0177744400000002</v>
          </cell>
          <cell r="Q31">
            <v>3.7092554399999997</v>
          </cell>
          <cell r="R31">
            <v>3.9276137999999996</v>
          </cell>
          <cell r="S31">
            <v>3.0820020000000001</v>
          </cell>
          <cell r="T31">
            <v>2.6788740000000009</v>
          </cell>
          <cell r="U31">
            <v>2.7755639999999997</v>
          </cell>
          <cell r="V31">
            <v>2.5406699999999995</v>
          </cell>
          <cell r="W31">
            <v>1.5496500000000002</v>
          </cell>
          <cell r="X31">
            <v>3.1783999999999999</v>
          </cell>
          <cell r="Y31">
            <v>3.2438500000000001</v>
          </cell>
          <cell r="Z31">
            <v>1.3588</v>
          </cell>
          <cell r="AA31">
            <v>0.66200000000000003</v>
          </cell>
          <cell r="AB31">
            <v>1.2854712808283151</v>
          </cell>
          <cell r="AC31">
            <v>1.5350817518422488</v>
          </cell>
          <cell r="AD31">
            <v>1.3825302212329729</v>
          </cell>
          <cell r="AE31">
            <v>1.2973344781524432</v>
          </cell>
        </row>
        <row r="53">
          <cell r="H53">
            <v>4.6720565328458212</v>
          </cell>
          <cell r="I53">
            <v>1.5093528080297529</v>
          </cell>
          <cell r="J53">
            <v>1.6326353993862486</v>
          </cell>
          <cell r="K53">
            <v>2.6697249363466713</v>
          </cell>
          <cell r="L53">
            <v>1.9057770751539596</v>
          </cell>
          <cell r="M53">
            <v>1.3124038157725313</v>
          </cell>
          <cell r="N53">
            <v>1.0072288765130091</v>
          </cell>
          <cell r="O53">
            <v>1.7837576251023464</v>
          </cell>
          <cell r="P53">
            <v>1.8651544507889506</v>
          </cell>
          <cell r="Q53">
            <v>2.2166108874593542</v>
          </cell>
          <cell r="R53">
            <v>2.5878733797903091</v>
          </cell>
          <cell r="S53">
            <v>4.1569475087148886</v>
          </cell>
          <cell r="T53">
            <v>5.6567509684797317</v>
          </cell>
          <cell r="U53">
            <v>5.4289813283833865</v>
          </cell>
          <cell r="V53">
            <v>3.5235074071425996</v>
          </cell>
          <cell r="W53">
            <v>2.4352050691170355</v>
          </cell>
          <cell r="X53">
            <v>2.1414388221232086</v>
          </cell>
          <cell r="Y53">
            <v>2.302555021843534</v>
          </cell>
          <cell r="Z53">
            <v>1.4488319999999999</v>
          </cell>
          <cell r="AA53">
            <v>4.2056000000000004</v>
          </cell>
          <cell r="AB53">
            <v>2.5994797107084047</v>
          </cell>
          <cell r="AC53">
            <v>2.6698126381317313</v>
          </cell>
          <cell r="AD53">
            <v>2.4533274635786939</v>
          </cell>
          <cell r="AE53">
            <v>2.3671787571438605</v>
          </cell>
        </row>
        <row r="54">
          <cell r="H54">
            <v>2.1049529227503614</v>
          </cell>
          <cell r="I54">
            <v>0.68002529130110145</v>
          </cell>
          <cell r="J54">
            <v>0.7355691506648977</v>
          </cell>
          <cell r="K54">
            <v>1.2028204856244402</v>
          </cell>
          <cell r="L54">
            <v>0.85863066858321024</v>
          </cell>
          <cell r="M54">
            <v>0.59129169957975791</v>
          </cell>
          <cell r="N54">
            <v>0.45379788377757357</v>
          </cell>
          <cell r="O54">
            <v>0.80365590613912508</v>
          </cell>
          <cell r="P54">
            <v>0.84032851164530364</v>
          </cell>
          <cell r="Q54">
            <v>0.99867403858570003</v>
          </cell>
          <cell r="R54">
            <v>1.1659430052271653</v>
          </cell>
          <cell r="S54">
            <v>1.8728751988922039</v>
          </cell>
          <cell r="T54">
            <v>2.5485981174802896</v>
          </cell>
          <cell r="U54">
            <v>2.4459785609179971</v>
          </cell>
          <cell r="V54">
            <v>1.587484475595518</v>
          </cell>
          <cell r="W54">
            <v>1.0971596751232116</v>
          </cell>
          <cell r="X54">
            <v>0.96480594269985731</v>
          </cell>
          <cell r="Y54">
            <v>1.0373953930028383</v>
          </cell>
          <cell r="Z54">
            <v>0.90551999999999988</v>
          </cell>
          <cell r="AA54">
            <v>2.6284999999999998</v>
          </cell>
          <cell r="AB54">
            <v>1.6246748191927527</v>
          </cell>
          <cell r="AC54">
            <v>1.668632898832332</v>
          </cell>
          <cell r="AD54">
            <v>1.5333296647366834</v>
          </cell>
          <cell r="AE54">
            <v>1.4794867232149127</v>
          </cell>
        </row>
        <row r="55">
          <cell r="H55">
            <v>2.4698905444038184</v>
          </cell>
          <cell r="I55">
            <v>0.79792190066914614</v>
          </cell>
          <cell r="J55">
            <v>0.86309544994885412</v>
          </cell>
          <cell r="K55">
            <v>1.4113545780288896</v>
          </cell>
          <cell r="L55">
            <v>1.0074922562628299</v>
          </cell>
          <cell r="M55">
            <v>0.69380448464771105</v>
          </cell>
          <cell r="N55">
            <v>0.53247323970941751</v>
          </cell>
          <cell r="O55">
            <v>0.94298646875852898</v>
          </cell>
          <cell r="P55">
            <v>0.98601703756574599</v>
          </cell>
          <cell r="Q55">
            <v>1.1718150739549462</v>
          </cell>
          <cell r="R55">
            <v>1.368083614982526</v>
          </cell>
          <cell r="S55">
            <v>2.1975772923929076</v>
          </cell>
          <cell r="T55">
            <v>2.9904509140399775</v>
          </cell>
          <cell r="U55">
            <v>2.8700401106986155</v>
          </cell>
          <cell r="V55">
            <v>1.8627081172618836</v>
          </cell>
          <cell r="W55">
            <v>1.2873752557597529</v>
          </cell>
          <cell r="X55">
            <v>1.1320752351769341</v>
          </cell>
          <cell r="Y55">
            <v>1.2172495851536278</v>
          </cell>
          <cell r="Z55">
            <v>0.23284799999999997</v>
          </cell>
          <cell r="AA55">
            <v>0.67589999999999995</v>
          </cell>
          <cell r="AB55">
            <v>0.41777352493527931</v>
          </cell>
          <cell r="AC55">
            <v>0.42907703112831391</v>
          </cell>
          <cell r="AD55">
            <v>0.39428477093229003</v>
          </cell>
          <cell r="AE55">
            <v>0.38043944311240613</v>
          </cell>
        </row>
        <row r="56">
          <cell r="H56">
            <v>1.1645465043915073</v>
          </cell>
          <cell r="I56">
            <v>1.1001820295846425</v>
          </cell>
          <cell r="J56">
            <v>0.77513011814390298</v>
          </cell>
          <cell r="K56">
            <v>0.68998963836582305</v>
          </cell>
          <cell r="L56">
            <v>0.47628477138962716</v>
          </cell>
          <cell r="M56">
            <v>0.72979317264235954</v>
          </cell>
          <cell r="N56">
            <v>1.1207523315363412</v>
          </cell>
          <cell r="O56">
            <v>1.7296949802124721</v>
          </cell>
          <cell r="P56">
            <v>1.2091017784188862</v>
          </cell>
          <cell r="Q56">
            <v>0.64730626181604856</v>
          </cell>
          <cell r="R56">
            <v>0.79226517966966792</v>
          </cell>
          <cell r="S56">
            <v>1.1545493376429821</v>
          </cell>
          <cell r="T56">
            <v>1.6151595389454148</v>
          </cell>
          <cell r="U56">
            <v>1.1894365697530624</v>
          </cell>
          <cell r="V56">
            <v>1.2257225823958589</v>
          </cell>
          <cell r="W56">
            <v>1.0573849449768578</v>
          </cell>
          <cell r="X56">
            <v>0.72875294390060763</v>
          </cell>
          <cell r="Y56">
            <v>0.92132453975849626</v>
          </cell>
          <cell r="Z56">
            <v>1.6346550000000002</v>
          </cell>
          <cell r="AA56">
            <v>2.0905169999999997</v>
          </cell>
          <cell r="AB56">
            <v>1.7691131441651935</v>
          </cell>
          <cell r="AC56">
            <v>1.7050112905317358</v>
          </cell>
          <cell r="AD56">
            <v>1.6258923167686812</v>
          </cell>
          <cell r="AE56">
            <v>1.7031142550524103</v>
          </cell>
        </row>
        <row r="57">
          <cell r="H57">
            <v>2.1508979819924536</v>
          </cell>
          <cell r="I57">
            <v>2.0320178699041631</v>
          </cell>
          <cell r="J57">
            <v>1.4316524077056443</v>
          </cell>
          <cell r="K57">
            <v>1.2743993607470525</v>
          </cell>
          <cell r="L57">
            <v>0.87969003365045617</v>
          </cell>
          <cell r="M57">
            <v>1.3479158250777785</v>
          </cell>
          <cell r="N57">
            <v>2.0700108747262438</v>
          </cell>
          <cell r="O57">
            <v>3.1947177964742988</v>
          </cell>
          <cell r="P57">
            <v>2.2331908304370804</v>
          </cell>
          <cell r="Q57">
            <v>1.195563875741235</v>
          </cell>
          <cell r="R57">
            <v>1.4633005807224375</v>
          </cell>
          <cell r="S57">
            <v>2.1324333816489229</v>
          </cell>
          <cell r="T57">
            <v>2.983172745624953</v>
          </cell>
          <cell r="U57">
            <v>2.1968695178271713</v>
          </cell>
          <cell r="V57">
            <v>2.2638891783333217</v>
          </cell>
          <cell r="W57">
            <v>1.9529723680105797</v>
          </cell>
          <cell r="X57">
            <v>1.3459945399311508</v>
          </cell>
          <cell r="Y57">
            <v>1.701671067538973</v>
          </cell>
          <cell r="Z57">
            <v>0.59441999999999995</v>
          </cell>
          <cell r="AA57">
            <v>0.76018799999999986</v>
          </cell>
          <cell r="AB57">
            <v>0.64331387060552492</v>
          </cell>
          <cell r="AC57">
            <v>0.62000410564790387</v>
          </cell>
          <cell r="AD57">
            <v>0.59123356973406582</v>
          </cell>
          <cell r="AE57">
            <v>0.61931427456451282</v>
          </cell>
        </row>
        <row r="58">
          <cell r="H58">
            <v>0.53772449549811341</v>
          </cell>
          <cell r="I58">
            <v>0.50800446747604078</v>
          </cell>
          <cell r="J58">
            <v>0.35791310192641107</v>
          </cell>
          <cell r="K58">
            <v>0.31859984018676313</v>
          </cell>
          <cell r="L58">
            <v>0.21992250841261404</v>
          </cell>
          <cell r="M58">
            <v>0.33697895626944463</v>
          </cell>
          <cell r="N58">
            <v>0.51750271868156095</v>
          </cell>
          <cell r="O58">
            <v>0.79867944911857469</v>
          </cell>
          <cell r="P58">
            <v>0.55829770760927011</v>
          </cell>
          <cell r="Q58">
            <v>0.29889096893530875</v>
          </cell>
          <cell r="R58">
            <v>0.36582514518060938</v>
          </cell>
          <cell r="S58">
            <v>0.53310834541223073</v>
          </cell>
          <cell r="T58">
            <v>0.74579318640623826</v>
          </cell>
          <cell r="U58">
            <v>0.54921737945679283</v>
          </cell>
          <cell r="V58">
            <v>0.56597229458333043</v>
          </cell>
          <cell r="W58">
            <v>0.48824309200264493</v>
          </cell>
          <cell r="X58">
            <v>0.3364986349827877</v>
          </cell>
          <cell r="Y58">
            <v>0.42541776688474325</v>
          </cell>
          <cell r="Z58">
            <v>2.1300050000000001</v>
          </cell>
          <cell r="AA58">
            <v>2.7240069999999998</v>
          </cell>
          <cell r="AB58">
            <v>2.305208036336464</v>
          </cell>
          <cell r="AC58">
            <v>2.2216813785716556</v>
          </cell>
          <cell r="AD58">
            <v>2.118586958213736</v>
          </cell>
          <cell r="AE58">
            <v>2.2192094838561709</v>
          </cell>
        </row>
        <row r="59">
          <cell r="H59">
            <v>1.0381942181179253</v>
          </cell>
          <cell r="I59">
            <v>0.980813233035153</v>
          </cell>
          <cell r="J59">
            <v>0.69102917222404159</v>
          </cell>
          <cell r="K59">
            <v>0.61512636070036175</v>
          </cell>
          <cell r="L59">
            <v>0.42460828654730265</v>
          </cell>
          <cell r="M59">
            <v>0.65061124601041742</v>
          </cell>
          <cell r="N59">
            <v>0.99915167505585367</v>
          </cell>
          <cell r="O59">
            <v>1.542024574194655</v>
          </cell>
          <cell r="P59">
            <v>1.077915283534763</v>
          </cell>
          <cell r="Q59">
            <v>0.57707409350740779</v>
          </cell>
          <cell r="R59">
            <v>0.70630509442728517</v>
          </cell>
          <cell r="S59">
            <v>1.029281735295865</v>
          </cell>
          <cell r="T59">
            <v>1.4399161290233935</v>
          </cell>
          <cell r="U59">
            <v>1.0603837329629731</v>
          </cell>
          <cell r="V59">
            <v>1.092732744687489</v>
          </cell>
          <cell r="W59">
            <v>0.94265959500991836</v>
          </cell>
          <cell r="X59">
            <v>0.64968388118545384</v>
          </cell>
          <cell r="Y59">
            <v>0.82136162581778727</v>
          </cell>
          <cell r="Z59">
            <v>0.59441999999999995</v>
          </cell>
          <cell r="AA59">
            <v>0.76018799999999986</v>
          </cell>
          <cell r="AB59">
            <v>0.64331387060552492</v>
          </cell>
          <cell r="AC59">
            <v>0.62000410564790387</v>
          </cell>
          <cell r="AD59">
            <v>0.59123356973406582</v>
          </cell>
          <cell r="AE59">
            <v>0.61931427456451282</v>
          </cell>
        </row>
        <row r="60">
          <cell r="H60">
            <v>1.6924380000000001</v>
          </cell>
          <cell r="I60">
            <v>1.484802</v>
          </cell>
          <cell r="J60">
            <v>2.0873819999999998</v>
          </cell>
          <cell r="K60">
            <v>2.0856660000000002</v>
          </cell>
          <cell r="L60">
            <v>2.3110560000000002</v>
          </cell>
          <cell r="M60">
            <v>3.1661519999999999</v>
          </cell>
          <cell r="N60">
            <v>2.39778</v>
          </cell>
          <cell r="O60">
            <v>1.4201721599999999</v>
          </cell>
          <cell r="P60">
            <v>2.9824739999999998</v>
          </cell>
          <cell r="Q60">
            <v>1.9324140000000003</v>
          </cell>
          <cell r="R60">
            <v>1.907796</v>
          </cell>
          <cell r="S60">
            <v>2.3078220000000003</v>
          </cell>
          <cell r="T60">
            <v>2.4817980000000004</v>
          </cell>
          <cell r="U60">
            <v>2.3626019999999999</v>
          </cell>
          <cell r="V60">
            <v>2.16249</v>
          </cell>
          <cell r="W60">
            <v>2.6243000000000003</v>
          </cell>
          <cell r="X60">
            <v>3.7761</v>
          </cell>
          <cell r="Y60">
            <v>2.5621999999999998</v>
          </cell>
          <cell r="Z60">
            <v>3.0191999999999997</v>
          </cell>
          <cell r="AA60">
            <v>2.9931000000000001</v>
          </cell>
          <cell r="AB60">
            <v>2.8918301090794269</v>
          </cell>
          <cell r="AC60">
            <v>3.782360064278282</v>
          </cell>
          <cell r="AD60">
            <v>3.4705377413257055</v>
          </cell>
          <cell r="AE60">
            <v>3.2160116321090824</v>
          </cell>
        </row>
        <row r="61">
          <cell r="H61">
            <v>0.87186200000000003</v>
          </cell>
          <cell r="I61">
            <v>0.76489800000000008</v>
          </cell>
          <cell r="J61">
            <v>1.075318</v>
          </cell>
          <cell r="K61">
            <v>1.0744339999999999</v>
          </cell>
          <cell r="L61">
            <v>1.190544</v>
          </cell>
          <cell r="M61">
            <v>1.6310480000000001</v>
          </cell>
          <cell r="N61">
            <v>1.23522</v>
          </cell>
          <cell r="O61">
            <v>0.73160384000000001</v>
          </cell>
          <cell r="P61">
            <v>1.5364259999999998</v>
          </cell>
          <cell r="Q61">
            <v>0.99548600000000009</v>
          </cell>
          <cell r="R61">
            <v>0.98280400000000012</v>
          </cell>
          <cell r="S61">
            <v>1.1888779999999999</v>
          </cell>
          <cell r="T61">
            <v>1.2785020000000002</v>
          </cell>
          <cell r="U61">
            <v>1.217098</v>
          </cell>
          <cell r="V61">
            <v>1.1140099999999999</v>
          </cell>
          <cell r="W61">
            <v>1.2012</v>
          </cell>
          <cell r="X61">
            <v>1.5534000000000001</v>
          </cell>
          <cell r="Y61">
            <v>0.81710000000000005</v>
          </cell>
          <cell r="Z61">
            <v>1.2970999999999999</v>
          </cell>
          <cell r="AA61">
            <v>1.4250999999999998</v>
          </cell>
          <cell r="AB61">
            <v>1.3376018689940781</v>
          </cell>
          <cell r="AC61">
            <v>1.4693053926132156</v>
          </cell>
          <cell r="AD61">
            <v>1.3354667382339562</v>
          </cell>
          <cell r="AE61">
            <v>1.249250206816515</v>
          </cell>
        </row>
        <row r="62">
          <cell r="H62">
            <v>5.2438000000000002</v>
          </cell>
          <cell r="I62">
            <v>3.0779999999999998</v>
          </cell>
          <cell r="J62">
            <v>3.5724999999999998</v>
          </cell>
          <cell r="K62">
            <v>4.5848000000000004</v>
          </cell>
          <cell r="L62">
            <v>3.4581999999999997</v>
          </cell>
          <cell r="M62">
            <v>3.2988000000000004</v>
          </cell>
          <cell r="N62">
            <v>3.1168</v>
          </cell>
          <cell r="O62">
            <v>3.8371</v>
          </cell>
          <cell r="P62">
            <v>5.0454999999999997</v>
          </cell>
          <cell r="Q62">
            <v>6.3580129999999997</v>
          </cell>
          <cell r="R62">
            <v>4.7816999999999998</v>
          </cell>
          <cell r="S62">
            <v>6.0843999999999996</v>
          </cell>
          <cell r="T62">
            <v>5.7608000000000006</v>
          </cell>
          <cell r="U62">
            <v>5.1916000000000002</v>
          </cell>
          <cell r="V62">
            <v>6.0718000000000005</v>
          </cell>
          <cell r="W62">
            <v>2.7429000000000001</v>
          </cell>
          <cell r="X62">
            <v>4.8205</v>
          </cell>
          <cell r="Y62">
            <v>3.1579999999999999</v>
          </cell>
          <cell r="Z62">
            <v>4.7521000000000004</v>
          </cell>
          <cell r="AA62">
            <v>4.5863000000000005</v>
          </cell>
          <cell r="AB62">
            <v>4.2521218800000069</v>
          </cell>
          <cell r="AC62">
            <v>4.1643903399999962</v>
          </cell>
          <cell r="AD62">
            <v>4.2213762000000035</v>
          </cell>
          <cell r="AE62">
            <v>4.5285378099999987</v>
          </cell>
        </row>
        <row r="63">
          <cell r="H63">
            <v>0.5481317139383739</v>
          </cell>
          <cell r="I63">
            <v>0.5178364790468617</v>
          </cell>
          <cell r="J63">
            <v>0.36484021769957081</v>
          </cell>
          <cell r="K63">
            <v>0.32476607988686124</v>
          </cell>
          <cell r="L63">
            <v>0.22417892894792907</v>
          </cell>
          <cell r="M63">
            <v>0.34350090875073974</v>
          </cell>
          <cell r="N63">
            <v>0.52751856114705731</v>
          </cell>
          <cell r="O63">
            <v>0.81413723755914813</v>
          </cell>
          <cell r="P63">
            <v>0.56910310376739748</v>
          </cell>
          <cell r="Q63">
            <v>0.30467575952895537</v>
          </cell>
          <cell r="R63">
            <v>0.37290539208903378</v>
          </cell>
          <cell r="S63">
            <v>0.54342622203767876</v>
          </cell>
          <cell r="T63">
            <v>0.76022740442525871</v>
          </cell>
          <cell r="U63">
            <v>0.55984703327961061</v>
          </cell>
          <cell r="V63">
            <v>0.57692622610435551</v>
          </cell>
          <cell r="W63">
            <v>0.37201976634398637</v>
          </cell>
          <cell r="X63">
            <v>0.26963174813441793</v>
          </cell>
          <cell r="Y63">
            <v>0.34990048025184839</v>
          </cell>
          <cell r="Z63">
            <v>0.25180000000000002</v>
          </cell>
          <cell r="AA63">
            <v>0.24840000000000001</v>
          </cell>
          <cell r="AB63">
            <v>0.2696633082872934</v>
          </cell>
          <cell r="AC63">
            <v>0.33187896960079466</v>
          </cell>
          <cell r="AD63">
            <v>0.24932755554944439</v>
          </cell>
          <cell r="AE63">
            <v>0.2462404319623952</v>
          </cell>
        </row>
        <row r="64">
          <cell r="H64">
            <v>0.22180508606162622</v>
          </cell>
          <cell r="I64">
            <v>0.20954592095313826</v>
          </cell>
          <cell r="J64">
            <v>0.14763498230042921</v>
          </cell>
          <cell r="K64">
            <v>0.13141872011313882</v>
          </cell>
          <cell r="L64">
            <v>9.0715471052070965E-2</v>
          </cell>
          <cell r="M64">
            <v>0.13899989124926035</v>
          </cell>
          <cell r="N64">
            <v>0.21346383885294262</v>
          </cell>
          <cell r="O64">
            <v>0.32944596244085222</v>
          </cell>
          <cell r="P64">
            <v>0.23029129623260253</v>
          </cell>
          <cell r="Q64">
            <v>0.12328904047104472</v>
          </cell>
          <cell r="R64">
            <v>0.15089860791096629</v>
          </cell>
          <cell r="S64">
            <v>0.2199009779623213</v>
          </cell>
          <cell r="T64">
            <v>0.30763099557474127</v>
          </cell>
          <cell r="U64">
            <v>0.22654576672038956</v>
          </cell>
          <cell r="V64">
            <v>0.23345697389564446</v>
          </cell>
          <cell r="W64">
            <v>0.15054023365601354</v>
          </cell>
          <cell r="X64">
            <v>0.1091082518655821</v>
          </cell>
          <cell r="Y64">
            <v>0.14158951974815162</v>
          </cell>
          <cell r="Z64">
            <v>0.25180000000000002</v>
          </cell>
          <cell r="AA64">
            <v>0.24840000000000001</v>
          </cell>
          <cell r="AB64">
            <v>0.2696633082872934</v>
          </cell>
          <cell r="AC64">
            <v>0.33187896960079466</v>
          </cell>
          <cell r="AD64">
            <v>0.24932755554944439</v>
          </cell>
          <cell r="AE64">
            <v>0.2462404319623952</v>
          </cell>
        </row>
        <row r="65">
          <cell r="H65">
            <v>0.23799999999999999</v>
          </cell>
          <cell r="I65">
            <v>0.17499999999999999</v>
          </cell>
          <cell r="J65">
            <v>0.22190000000000001</v>
          </cell>
          <cell r="K65">
            <v>0.18659999999999999</v>
          </cell>
          <cell r="L65">
            <v>0.33439999999999998</v>
          </cell>
          <cell r="M65">
            <v>0.22409999999999999</v>
          </cell>
          <cell r="N65">
            <v>0.1966</v>
          </cell>
          <cell r="O65">
            <v>0.28989999999999999</v>
          </cell>
          <cell r="P65">
            <v>0.19939999999999999</v>
          </cell>
          <cell r="Q65">
            <v>0.25030000000000002</v>
          </cell>
          <cell r="R65">
            <v>0.33189999999999997</v>
          </cell>
          <cell r="S65">
            <v>0.25900000000000001</v>
          </cell>
          <cell r="T65">
            <v>0.33539999999999998</v>
          </cell>
          <cell r="U65">
            <v>0.30019999999999997</v>
          </cell>
          <cell r="V65">
            <v>0.20430000000000001</v>
          </cell>
          <cell r="W65">
            <v>0.76816319999999993</v>
          </cell>
          <cell r="X65">
            <v>0.55674780000000001</v>
          </cell>
          <cell r="Y65">
            <v>0.72249029999999992</v>
          </cell>
          <cell r="Z65">
            <v>4.9535</v>
          </cell>
          <cell r="AA65">
            <v>6.3348999999999993</v>
          </cell>
          <cell r="AB65">
            <v>5.3609489217127075</v>
          </cell>
          <cell r="AC65">
            <v>5.1667008803991994</v>
          </cell>
          <cell r="AD65">
            <v>4.9269464144505486</v>
          </cell>
          <cell r="AE65">
            <v>5.1609522880376071</v>
          </cell>
        </row>
        <row r="66">
          <cell r="H66">
            <v>0.61850000000000005</v>
          </cell>
          <cell r="I66">
            <v>2.2084999999999999</v>
          </cell>
          <cell r="J66">
            <v>1.4847000000000001</v>
          </cell>
          <cell r="K66">
            <v>0.95320000000000005</v>
          </cell>
          <cell r="L66">
            <v>0.90810000000000002</v>
          </cell>
          <cell r="M66">
            <v>0.42230000000000001</v>
          </cell>
          <cell r="N66">
            <v>0.60639999999999994</v>
          </cell>
          <cell r="O66">
            <v>0.6167999999999999</v>
          </cell>
          <cell r="P66">
            <v>1.0635999999999999</v>
          </cell>
          <cell r="Q66">
            <v>1.0459000000000001</v>
          </cell>
          <cell r="R66">
            <v>2.0405000000000002</v>
          </cell>
          <cell r="S66">
            <v>2.3144</v>
          </cell>
          <cell r="T66">
            <v>1.7478</v>
          </cell>
          <cell r="U66">
            <v>1.9861</v>
          </cell>
          <cell r="V66">
            <v>1.1522000000000001</v>
          </cell>
          <cell r="W66">
            <v>0.38150000000000001</v>
          </cell>
          <cell r="X66">
            <v>0.92549999999999999</v>
          </cell>
          <cell r="Y66">
            <v>1.1422999999999999</v>
          </cell>
          <cell r="Z66">
            <v>1.5630999999999999</v>
          </cell>
          <cell r="AA66">
            <v>1.7925</v>
          </cell>
          <cell r="AB66">
            <v>1.7621433593581584</v>
          </cell>
          <cell r="AC66">
            <v>1.4336343163011998</v>
          </cell>
          <cell r="AD66">
            <v>1.3691762784064214</v>
          </cell>
          <cell r="AE66">
            <v>1.5800612145564872</v>
          </cell>
        </row>
        <row r="67">
          <cell r="H67">
            <v>0.43003140000000001</v>
          </cell>
          <cell r="I67">
            <v>0.38538420000000001</v>
          </cell>
          <cell r="J67">
            <v>0.66239400000000004</v>
          </cell>
          <cell r="K67">
            <v>0.43521479999999996</v>
          </cell>
          <cell r="L67">
            <v>0.36477779999999993</v>
          </cell>
          <cell r="M67">
            <v>0.67629059999999996</v>
          </cell>
          <cell r="N67">
            <v>0.52988339999999989</v>
          </cell>
          <cell r="O67">
            <v>0.50167679999999992</v>
          </cell>
          <cell r="P67">
            <v>0.38506620000000003</v>
          </cell>
          <cell r="Q67">
            <v>0.32744460000000003</v>
          </cell>
          <cell r="R67">
            <v>0.54336660000000003</v>
          </cell>
          <cell r="S67">
            <v>0.64827480000000004</v>
          </cell>
          <cell r="T67">
            <v>0.97781820000000008</v>
          </cell>
          <cell r="U67">
            <v>0.78724080000000007</v>
          </cell>
          <cell r="V67">
            <v>0.68166479999999996</v>
          </cell>
          <cell r="W67">
            <v>0.47345219999999999</v>
          </cell>
          <cell r="X67">
            <v>0.48302279999999997</v>
          </cell>
          <cell r="Y67">
            <v>0.4790682</v>
          </cell>
          <cell r="Z67">
            <v>3.056</v>
          </cell>
          <cell r="AA67">
            <v>2.3259000000000003</v>
          </cell>
          <cell r="AB67">
            <v>2.0441822700000003</v>
          </cell>
          <cell r="AC67">
            <v>2.0585218499999991</v>
          </cell>
          <cell r="AD67">
            <v>2.2333007499999997</v>
          </cell>
          <cell r="AE67">
            <v>2.33822785</v>
          </cell>
        </row>
        <row r="68">
          <cell r="H68">
            <v>0.92226859999999999</v>
          </cell>
          <cell r="I68">
            <v>0.82651580000000013</v>
          </cell>
          <cell r="J68">
            <v>1.420606</v>
          </cell>
          <cell r="K68">
            <v>0.93338520000000003</v>
          </cell>
          <cell r="L68">
            <v>0.78232219999999997</v>
          </cell>
          <cell r="M68">
            <v>1.4504094000000001</v>
          </cell>
          <cell r="N68">
            <v>1.1364166</v>
          </cell>
          <cell r="O68">
            <v>1.0759231999999999</v>
          </cell>
          <cell r="P68">
            <v>0.82583380000000006</v>
          </cell>
          <cell r="Q68">
            <v>0.70225540000000009</v>
          </cell>
          <cell r="R68">
            <v>1.1653334000000002</v>
          </cell>
          <cell r="S68">
            <v>1.3903251999999999</v>
          </cell>
          <cell r="T68">
            <v>2.0970818000000002</v>
          </cell>
          <cell r="U68">
            <v>1.6883592000000001</v>
          </cell>
          <cell r="V68">
            <v>1.4619352000000001</v>
          </cell>
          <cell r="W68">
            <v>1.5498478</v>
          </cell>
          <cell r="X68">
            <v>1.5811771999999999</v>
          </cell>
          <cell r="Y68">
            <v>1.5682318</v>
          </cell>
          <cell r="Z68">
            <v>3.056</v>
          </cell>
          <cell r="AA68">
            <v>2.3259000000000003</v>
          </cell>
          <cell r="AB68">
            <v>2.0441822700000003</v>
          </cell>
          <cell r="AC68">
            <v>2.0585218499999991</v>
          </cell>
          <cell r="AD68">
            <v>2.2333007499999997</v>
          </cell>
          <cell r="AE68">
            <v>2.33822785</v>
          </cell>
        </row>
        <row r="69">
          <cell r="H69">
            <v>1.112582</v>
          </cell>
          <cell r="I69">
            <v>0.80331799999999998</v>
          </cell>
          <cell r="J69">
            <v>0.79209799999999997</v>
          </cell>
          <cell r="K69">
            <v>1.4170180000000003</v>
          </cell>
          <cell r="L69">
            <v>2.0118140000000002</v>
          </cell>
          <cell r="M69">
            <v>1.9682630600000002</v>
          </cell>
          <cell r="N69">
            <v>1.356931568</v>
          </cell>
          <cell r="O69">
            <v>1.6115660000000003</v>
          </cell>
          <cell r="P69">
            <v>2.0560044800000004</v>
          </cell>
          <cell r="Q69">
            <v>2.2904100000000001</v>
          </cell>
          <cell r="R69">
            <v>2.4596072599999999</v>
          </cell>
          <cell r="S69">
            <v>3.8090502600000002</v>
          </cell>
          <cell r="T69">
            <v>4.7729200000000009</v>
          </cell>
          <cell r="U69">
            <v>4.5525319999999994</v>
          </cell>
          <cell r="V69">
            <v>3.3850400000000009</v>
          </cell>
          <cell r="W69">
            <v>2.8653000000000004</v>
          </cell>
          <cell r="X69">
            <v>1.9470999999999998</v>
          </cell>
          <cell r="Y69">
            <v>3.2425000000000002</v>
          </cell>
          <cell r="Z69">
            <v>1.5354000000000001</v>
          </cell>
          <cell r="AA69">
            <v>1.9370000000000001</v>
          </cell>
          <cell r="AB69">
            <v>2.3703669220352253</v>
          </cell>
          <cell r="AC69">
            <v>1.9890497993605087</v>
          </cell>
          <cell r="AD69">
            <v>2.1600621794832904</v>
          </cell>
          <cell r="AE69">
            <v>2.2621435716444833</v>
          </cell>
        </row>
        <row r="70">
          <cell r="H70">
            <v>2.1597179999999998</v>
          </cell>
          <cell r="I70">
            <v>1.559382</v>
          </cell>
          <cell r="J70">
            <v>1.5376019999999999</v>
          </cell>
          <cell r="K70">
            <v>2.7506820000000007</v>
          </cell>
          <cell r="L70">
            <v>3.9052860000000007</v>
          </cell>
          <cell r="M70">
            <v>3.8207459400000001</v>
          </cell>
          <cell r="N70">
            <v>2.634043632</v>
          </cell>
          <cell r="O70">
            <v>3.1283340000000002</v>
          </cell>
          <cell r="P70">
            <v>3.991067520000001</v>
          </cell>
          <cell r="Q70">
            <v>4.446089999999999</v>
          </cell>
          <cell r="R70">
            <v>4.7745317399999996</v>
          </cell>
          <cell r="S70">
            <v>7.3940387400000001</v>
          </cell>
          <cell r="T70">
            <v>9.2650800000000011</v>
          </cell>
          <cell r="U70">
            <v>8.8372679999999981</v>
          </cell>
          <cell r="V70">
            <v>6.5709600000000021</v>
          </cell>
          <cell r="W70">
            <v>4.5552000000000001</v>
          </cell>
          <cell r="X70">
            <v>5.4093999999999998</v>
          </cell>
          <cell r="Y70">
            <v>5.1186000000000007</v>
          </cell>
          <cell r="Z70">
            <v>1.7812999999999999</v>
          </cell>
          <cell r="AA70">
            <v>2.95</v>
          </cell>
          <cell r="AB70">
            <v>2.2861592609503698</v>
          </cell>
          <cell r="AC70">
            <v>2.5053125556405771</v>
          </cell>
          <cell r="AD70">
            <v>2.4712945670254456</v>
          </cell>
          <cell r="AE70">
            <v>2.4438312461536253</v>
          </cell>
        </row>
        <row r="92">
          <cell r="H92">
            <v>0.41436087365353341</v>
          </cell>
          <cell r="I92">
            <v>0.17461665398690543</v>
          </cell>
          <cell r="J92">
            <v>0.26404705837256015</v>
          </cell>
          <cell r="K92">
            <v>0.26172287837157698</v>
          </cell>
          <cell r="L92">
            <v>0.20771095617481719</v>
          </cell>
          <cell r="M92">
            <v>0.24565572097347629</v>
          </cell>
          <cell r="N92">
            <v>0.38202445624855086</v>
          </cell>
          <cell r="O92">
            <v>0.43265115974822654</v>
          </cell>
          <cell r="P92">
            <v>0.44386785453557986</v>
          </cell>
          <cell r="Q92">
            <v>0.36903936363436263</v>
          </cell>
          <cell r="R92">
            <v>0.5218289358729048</v>
          </cell>
          <cell r="S92">
            <v>0.56649361241353691</v>
          </cell>
          <cell r="T92">
            <v>0.68866463942173628</v>
          </cell>
          <cell r="U92">
            <v>1.031127510001379</v>
          </cell>
          <cell r="V92">
            <v>0.57467876806917317</v>
          </cell>
          <cell r="W92">
            <v>0.49454508368745087</v>
          </cell>
          <cell r="X92">
            <v>0.57525981306941887</v>
          </cell>
          <cell r="Y92">
            <v>0.81019904321227521</v>
          </cell>
          <cell r="Z92">
            <v>0.6358950000000001</v>
          </cell>
          <cell r="AA92">
            <v>0.73733399999999993</v>
          </cell>
          <cell r="AB92">
            <v>0.6518964294875611</v>
          </cell>
          <cell r="AC92">
            <v>0.67716166468748484</v>
          </cell>
          <cell r="AD92">
            <v>0.61357820737900048</v>
          </cell>
          <cell r="AE92">
            <v>0.62155831420158214</v>
          </cell>
        </row>
        <row r="93">
          <cell r="H93">
            <v>0.18668655354200558</v>
          </cell>
          <cell r="I93">
            <v>7.8671958180852486E-2</v>
          </cell>
          <cell r="J93">
            <v>0.11896402009639327</v>
          </cell>
          <cell r="K93">
            <v>0.11791688176412496</v>
          </cell>
          <cell r="L93">
            <v>9.3582297477281418E-2</v>
          </cell>
          <cell r="M93">
            <v>0.11067796894540068</v>
          </cell>
          <cell r="N93">
            <v>0.17211767239740325</v>
          </cell>
          <cell r="O93">
            <v>0.19492707693942124</v>
          </cell>
          <cell r="P93">
            <v>0.19998065758645517</v>
          </cell>
          <cell r="Q93">
            <v>0.1662673560627739</v>
          </cell>
          <cell r="R93">
            <v>0.23510531947101979</v>
          </cell>
          <cell r="S93">
            <v>0.25522858655200176</v>
          </cell>
          <cell r="T93">
            <v>0.31027164062645235</v>
          </cell>
          <cell r="U93">
            <v>0.46456519749850622</v>
          </cell>
          <cell r="V93">
            <v>0.25891633459172925</v>
          </cell>
          <cell r="W93">
            <v>0.22281282600526162</v>
          </cell>
          <cell r="X93">
            <v>0.25917811917479627</v>
          </cell>
          <cell r="Y93">
            <v>0.3650278698533686</v>
          </cell>
          <cell r="Z93">
            <v>0.79894500000000002</v>
          </cell>
          <cell r="AA93">
            <v>0.92639399999999994</v>
          </cell>
          <cell r="AB93">
            <v>0.81904936012539731</v>
          </cell>
          <cell r="AC93">
            <v>0.85079286076119875</v>
          </cell>
          <cell r="AD93">
            <v>0.77090595286079544</v>
          </cell>
          <cell r="AE93">
            <v>0.78093224091993652</v>
          </cell>
        </row>
        <row r="94">
          <cell r="H94">
            <v>0.21905257280446114</v>
          </cell>
          <cell r="I94">
            <v>9.2311387832242131E-2</v>
          </cell>
          <cell r="J94">
            <v>0.13958892153104671</v>
          </cell>
          <cell r="K94">
            <v>0.1383602398642981</v>
          </cell>
          <cell r="L94">
            <v>0.10980674634790144</v>
          </cell>
          <cell r="M94">
            <v>0.12986631008112301</v>
          </cell>
          <cell r="N94">
            <v>0.20195787135404591</v>
          </cell>
          <cell r="O94">
            <v>0.22872176331235222</v>
          </cell>
          <cell r="P94">
            <v>0.234651487877965</v>
          </cell>
          <cell r="Q94">
            <v>0.19509328030286358</v>
          </cell>
          <cell r="R94">
            <v>0.27586574465607538</v>
          </cell>
          <cell r="S94">
            <v>0.29947780103446142</v>
          </cell>
          <cell r="T94">
            <v>0.36406371995181136</v>
          </cell>
          <cell r="U94">
            <v>0.54510729250011491</v>
          </cell>
          <cell r="V94">
            <v>0.30380489733909782</v>
          </cell>
          <cell r="W94">
            <v>0.2614420903072876</v>
          </cell>
          <cell r="X94">
            <v>0.30411206775578492</v>
          </cell>
          <cell r="Y94">
            <v>0.42831308693435627</v>
          </cell>
          <cell r="Z94">
            <v>0.19566</v>
          </cell>
          <cell r="AA94">
            <v>0.22687199999999996</v>
          </cell>
          <cell r="AB94">
            <v>0.20058351676540342</v>
          </cell>
          <cell r="AC94">
            <v>0.20835743528845685</v>
          </cell>
          <cell r="AD94">
            <v>0.188793294578154</v>
          </cell>
          <cell r="AE94">
            <v>0.19124871206202526</v>
          </cell>
        </row>
        <row r="95">
          <cell r="H95">
            <v>0.16229015911096059</v>
          </cell>
          <cell r="I95">
            <v>0.13689095496788101</v>
          </cell>
          <cell r="J95">
            <v>0.1464880483900218</v>
          </cell>
          <cell r="K95">
            <v>0.12630105877793252</v>
          </cell>
          <cell r="L95">
            <v>5.3578256036020636E-2</v>
          </cell>
          <cell r="M95">
            <v>0.14473409683356164</v>
          </cell>
          <cell r="N95">
            <v>0.20832311411164292</v>
          </cell>
          <cell r="O95">
            <v>0.18181528021117813</v>
          </cell>
          <cell r="P95">
            <v>0.25346254662129836</v>
          </cell>
          <cell r="Q95">
            <v>0.21457777154883126</v>
          </cell>
          <cell r="R95">
            <v>0.21891301030159141</v>
          </cell>
          <cell r="S95">
            <v>0.34506514866435284</v>
          </cell>
          <cell r="T95">
            <v>0.4237613147259075</v>
          </cell>
          <cell r="U95">
            <v>0.29486242203887825</v>
          </cell>
          <cell r="V95">
            <v>0.25132802067051191</v>
          </cell>
          <cell r="W95">
            <v>0.19929265632196788</v>
          </cell>
          <cell r="X95">
            <v>0.28278808334118855</v>
          </cell>
          <cell r="Y95">
            <v>0.28374874501219671</v>
          </cell>
          <cell r="Z95">
            <v>0.38990000000000008</v>
          </cell>
          <cell r="AA95">
            <v>0.61124000000000001</v>
          </cell>
          <cell r="AB95">
            <v>0.48311013099802608</v>
          </cell>
          <cell r="AC95">
            <v>0.44265568341819511</v>
          </cell>
          <cell r="AD95">
            <v>0.44279982054836869</v>
          </cell>
          <cell r="AE95">
            <v>0.46242683685728003</v>
          </cell>
        </row>
        <row r="96">
          <cell r="H96">
            <v>0.29974721869213228</v>
          </cell>
          <cell r="I96">
            <v>0.25283531201468296</v>
          </cell>
          <cell r="J96">
            <v>0.27056098359313285</v>
          </cell>
          <cell r="K96">
            <v>0.23327595027294512</v>
          </cell>
          <cell r="L96">
            <v>9.8958145812104853E-2</v>
          </cell>
          <cell r="M96">
            <v>0.26732146430465759</v>
          </cell>
          <cell r="N96">
            <v>0.38476931926324892</v>
          </cell>
          <cell r="O96">
            <v>0.33580979190346144</v>
          </cell>
          <cell r="P96">
            <v>0.46814109868740644</v>
          </cell>
          <cell r="Q96">
            <v>0.39632156729196283</v>
          </cell>
          <cell r="R96">
            <v>0.40432868100498676</v>
          </cell>
          <cell r="S96">
            <v>0.63732957775343879</v>
          </cell>
          <cell r="T96">
            <v>0.78268008469672801</v>
          </cell>
          <cell r="U96">
            <v>0.54460597849651282</v>
          </cell>
          <cell r="V96">
            <v>0.46419866483633754</v>
          </cell>
          <cell r="W96">
            <v>0.36809021425281468</v>
          </cell>
          <cell r="X96">
            <v>0.52230487618688526</v>
          </cell>
          <cell r="Y96">
            <v>0.52407920228013871</v>
          </cell>
          <cell r="Z96">
            <v>0.18102500000000002</v>
          </cell>
          <cell r="AA96">
            <v>0.28378999999999999</v>
          </cell>
          <cell r="AB96">
            <v>0.22430113224908352</v>
          </cell>
          <cell r="AC96">
            <v>0.20551871015844772</v>
          </cell>
          <cell r="AD96">
            <v>0.20558563096888544</v>
          </cell>
          <cell r="AE96">
            <v>0.21469817425516571</v>
          </cell>
        </row>
        <row r="97">
          <cell r="H97">
            <v>7.4936804673033069E-2</v>
          </cell>
          <cell r="I97">
            <v>6.3208828003670739E-2</v>
          </cell>
          <cell r="J97">
            <v>6.7640245898283213E-2</v>
          </cell>
          <cell r="K97">
            <v>5.831898756823628E-2</v>
          </cell>
          <cell r="L97">
            <v>2.4739536453026213E-2</v>
          </cell>
          <cell r="M97">
            <v>6.6830366076164396E-2</v>
          </cell>
          <cell r="N97">
            <v>9.619232981581223E-2</v>
          </cell>
          <cell r="O97">
            <v>8.395244797586536E-2</v>
          </cell>
          <cell r="P97">
            <v>0.11703527467185161</v>
          </cell>
          <cell r="Q97">
            <v>9.9080391822990707E-2</v>
          </cell>
          <cell r="R97">
            <v>0.10108217025124669</v>
          </cell>
          <cell r="S97">
            <v>0.1593323944383597</v>
          </cell>
          <cell r="T97">
            <v>0.195670021174182</v>
          </cell>
          <cell r="U97">
            <v>0.13615149462412821</v>
          </cell>
          <cell r="V97">
            <v>0.11604966620908438</v>
          </cell>
          <cell r="W97">
            <v>9.2022553563203671E-2</v>
          </cell>
          <cell r="X97">
            <v>0.13057621904672131</v>
          </cell>
          <cell r="Y97">
            <v>0.13101980057003468</v>
          </cell>
          <cell r="Z97">
            <v>0.6266250000000001</v>
          </cell>
          <cell r="AA97">
            <v>0.98234999999999995</v>
          </cell>
          <cell r="AB97">
            <v>0.77642699624682754</v>
          </cell>
          <cell r="AC97">
            <v>0.71141091977924209</v>
          </cell>
          <cell r="AD97">
            <v>0.71164256873844955</v>
          </cell>
          <cell r="AE97">
            <v>0.74318598780634293</v>
          </cell>
        </row>
        <row r="98">
          <cell r="H98">
            <v>0.14468181752387402</v>
          </cell>
          <cell r="I98">
            <v>0.12203840501376527</v>
          </cell>
          <cell r="J98">
            <v>0.13059422211856206</v>
          </cell>
          <cell r="K98">
            <v>0.11259750338088605</v>
          </cell>
          <cell r="L98">
            <v>4.7765061698848296E-2</v>
          </cell>
          <cell r="M98">
            <v>0.12903057278561647</v>
          </cell>
          <cell r="N98">
            <v>0.18572023680929586</v>
          </cell>
          <cell r="O98">
            <v>0.1620884799094951</v>
          </cell>
          <cell r="P98">
            <v>0.22596208001944354</v>
          </cell>
          <cell r="Q98">
            <v>0.19129626933621519</v>
          </cell>
          <cell r="R98">
            <v>0.19516113844217509</v>
          </cell>
          <cell r="S98">
            <v>0.30762587914384881</v>
          </cell>
          <cell r="T98">
            <v>0.37778357940318252</v>
          </cell>
          <cell r="U98">
            <v>0.26287010484048079</v>
          </cell>
          <cell r="V98">
            <v>0.2240591482840664</v>
          </cell>
          <cell r="W98">
            <v>0.17766957586201376</v>
          </cell>
          <cell r="X98">
            <v>0.25210582142520493</v>
          </cell>
          <cell r="Y98">
            <v>0.25296225213763002</v>
          </cell>
          <cell r="Z98">
            <v>0.19495000000000004</v>
          </cell>
          <cell r="AA98">
            <v>0.30562</v>
          </cell>
          <cell r="AB98">
            <v>0.24155506549901304</v>
          </cell>
          <cell r="AC98">
            <v>0.22132784170909756</v>
          </cell>
          <cell r="AD98">
            <v>0.22139991027418435</v>
          </cell>
          <cell r="AE98">
            <v>0.23121341842864002</v>
          </cell>
        </row>
        <row r="99">
          <cell r="H99">
            <v>0.18433800000000003</v>
          </cell>
          <cell r="I99">
            <v>0.206844</v>
          </cell>
          <cell r="J99">
            <v>0.137214</v>
          </cell>
          <cell r="K99">
            <v>0.61676999999999993</v>
          </cell>
          <cell r="L99">
            <v>0.68554199999999998</v>
          </cell>
          <cell r="M99">
            <v>0.40642800000000001</v>
          </cell>
          <cell r="N99">
            <v>0.53598599999999996</v>
          </cell>
          <cell r="O99">
            <v>1.033296</v>
          </cell>
          <cell r="P99">
            <v>0.77985599999999999</v>
          </cell>
          <cell r="Q99">
            <v>0.64818600000000004</v>
          </cell>
          <cell r="R99">
            <v>0.78117599999999998</v>
          </cell>
          <cell r="S99">
            <v>0.39857400000000004</v>
          </cell>
          <cell r="T99">
            <v>0.61709999999999998</v>
          </cell>
          <cell r="U99">
            <v>0.37732200000000005</v>
          </cell>
          <cell r="V99">
            <v>0.84011400000000014</v>
          </cell>
          <cell r="W99">
            <v>0.93320000000000003</v>
          </cell>
          <cell r="X99">
            <v>1.1757</v>
          </cell>
          <cell r="Y99">
            <v>0.60420000000000007</v>
          </cell>
          <cell r="Z99">
            <v>0.75339999999999996</v>
          </cell>
          <cell r="AA99">
            <v>1.5335999999999999</v>
          </cell>
          <cell r="AB99">
            <v>1.2076663465344608</v>
          </cell>
          <cell r="AC99">
            <v>0.88413198109065294</v>
          </cell>
          <cell r="AD99">
            <v>0.97240838928959727</v>
          </cell>
          <cell r="AE99">
            <v>1.0165069098294888</v>
          </cell>
        </row>
        <row r="100">
          <cell r="H100">
            <v>9.4962000000000019E-2</v>
          </cell>
          <cell r="I100">
            <v>0.106556</v>
          </cell>
          <cell r="J100">
            <v>7.0686000000000013E-2</v>
          </cell>
          <cell r="K100">
            <v>0.31773000000000001</v>
          </cell>
          <cell r="L100">
            <v>0.35315800000000003</v>
          </cell>
          <cell r="M100">
            <v>0.20937199999999997</v>
          </cell>
          <cell r="N100">
            <v>0.27611400000000003</v>
          </cell>
          <cell r="O100">
            <v>0.532304</v>
          </cell>
          <cell r="P100">
            <v>0.40174399999999999</v>
          </cell>
          <cell r="Q100">
            <v>0.33391400000000004</v>
          </cell>
          <cell r="R100">
            <v>0.402424</v>
          </cell>
          <cell r="S100">
            <v>0.20532599999999998</v>
          </cell>
          <cell r="T100">
            <v>0.31790000000000002</v>
          </cell>
          <cell r="U100">
            <v>0.19437800000000005</v>
          </cell>
          <cell r="V100">
            <v>0.43278600000000006</v>
          </cell>
          <cell r="W100">
            <v>0.53679999999999994</v>
          </cell>
          <cell r="X100">
            <v>0.58729999999999993</v>
          </cell>
          <cell r="Y100">
            <v>0.3029</v>
          </cell>
          <cell r="Z100">
            <v>0.19550000000000001</v>
          </cell>
          <cell r="AA100">
            <v>0.11359999999999999</v>
          </cell>
          <cell r="AB100">
            <v>0.23634605624237559</v>
          </cell>
          <cell r="AC100">
            <v>0.27313452288332429</v>
          </cell>
          <cell r="AD100">
            <v>0.28219361090513184</v>
          </cell>
          <cell r="AE100">
            <v>0.26393138211722167</v>
          </cell>
        </row>
        <row r="101">
          <cell r="H101">
            <v>0.51962010000000003</v>
          </cell>
          <cell r="I101">
            <v>0.2356029</v>
          </cell>
          <cell r="J101">
            <v>0.29530000000000001</v>
          </cell>
          <cell r="K101">
            <v>0.39574090000000001</v>
          </cell>
          <cell r="L101">
            <v>0.68245239999999996</v>
          </cell>
          <cell r="M101">
            <v>0.37956290000000004</v>
          </cell>
          <cell r="N101">
            <v>0.31980000000000003</v>
          </cell>
          <cell r="O101">
            <v>0.7399</v>
          </cell>
          <cell r="P101">
            <v>0.63590000000000002</v>
          </cell>
          <cell r="Q101">
            <v>0.7046</v>
          </cell>
          <cell r="R101">
            <v>0.49339999999999995</v>
          </cell>
          <cell r="S101">
            <v>1.1999000000000002</v>
          </cell>
          <cell r="T101">
            <v>1.5182</v>
          </cell>
          <cell r="U101">
            <v>1.0499000000000001</v>
          </cell>
          <cell r="V101">
            <v>1.0911</v>
          </cell>
          <cell r="W101">
            <v>0.79139999999999999</v>
          </cell>
          <cell r="X101">
            <v>0.41299999999999998</v>
          </cell>
          <cell r="Y101">
            <v>0.74629999999999996</v>
          </cell>
          <cell r="Z101">
            <v>0.95779999999999998</v>
          </cell>
          <cell r="AA101">
            <v>1.0682</v>
          </cell>
          <cell r="AB101">
            <v>0.76954163000000042</v>
          </cell>
          <cell r="AC101">
            <v>0.65636095000000005</v>
          </cell>
          <cell r="AD101">
            <v>0.53005643999999963</v>
          </cell>
          <cell r="AE101">
            <v>0.52549197000000003</v>
          </cell>
        </row>
        <row r="102">
          <cell r="H102">
            <v>0.21296593880742018</v>
          </cell>
          <cell r="I102">
            <v>0.17963572713639753</v>
          </cell>
          <cell r="J102">
            <v>0.19222955304466666</v>
          </cell>
          <cell r="K102">
            <v>0.16573909165141087</v>
          </cell>
          <cell r="L102">
            <v>7.0308290156854247E-2</v>
          </cell>
          <cell r="M102">
            <v>0.18992792279246576</v>
          </cell>
          <cell r="N102">
            <v>0.27337287618122147</v>
          </cell>
          <cell r="O102">
            <v>0.23858786048286421</v>
          </cell>
          <cell r="P102">
            <v>0.33260728493597691</v>
          </cell>
          <cell r="Q102">
            <v>0.28158057651454166</v>
          </cell>
          <cell r="R102">
            <v>0.28726951166620807</v>
          </cell>
          <cell r="S102">
            <v>0.45281318188111136</v>
          </cell>
          <cell r="T102">
            <v>0.55608255432891829</v>
          </cell>
          <cell r="U102">
            <v>0.38693444428509655</v>
          </cell>
          <cell r="V102">
            <v>0.32980624434603434</v>
          </cell>
          <cell r="W102">
            <v>7.7976356796648869E-2</v>
          </cell>
          <cell r="X102">
            <v>0.10613982502339432</v>
          </cell>
          <cell r="Y102">
            <v>0.10925090581588365</v>
          </cell>
          <cell r="Z102">
            <v>0.1041</v>
          </cell>
          <cell r="AA102">
            <v>0.14449999999999999</v>
          </cell>
          <cell r="AB102">
            <v>0.12252214500704957</v>
          </cell>
          <cell r="AC102">
            <v>0.11151282493501802</v>
          </cell>
          <cell r="AD102">
            <v>0.10818632947011167</v>
          </cell>
          <cell r="AE102">
            <v>0.10758392265257145</v>
          </cell>
        </row>
        <row r="103">
          <cell r="H103">
            <v>8.6178061192579855E-2</v>
          </cell>
          <cell r="I103">
            <v>7.2690772863602482E-2</v>
          </cell>
          <cell r="J103">
            <v>7.7786946955333336E-2</v>
          </cell>
          <cell r="K103">
            <v>6.7067408348589097E-2</v>
          </cell>
          <cell r="L103">
            <v>2.8450709843145752E-2</v>
          </cell>
          <cell r="M103">
            <v>7.6855577207534248E-2</v>
          </cell>
          <cell r="N103">
            <v>0.11062212381877858</v>
          </cell>
          <cell r="O103">
            <v>9.6546139517135726E-2</v>
          </cell>
          <cell r="P103">
            <v>0.13459171506402304</v>
          </cell>
          <cell r="Q103">
            <v>0.11394342348545834</v>
          </cell>
          <cell r="R103">
            <v>0.11624548833379195</v>
          </cell>
          <cell r="S103">
            <v>0.18323381811888867</v>
          </cell>
          <cell r="T103">
            <v>0.22502244567108176</v>
          </cell>
          <cell r="U103">
            <v>0.15657555571490342</v>
          </cell>
          <cell r="V103">
            <v>0.13345825565396569</v>
          </cell>
          <cell r="W103">
            <v>3.1553643203351134E-2</v>
          </cell>
          <cell r="X103">
            <v>4.2950174976605679E-2</v>
          </cell>
          <cell r="Y103">
            <v>4.4209094184116358E-2</v>
          </cell>
          <cell r="Z103">
            <v>0.1041</v>
          </cell>
          <cell r="AA103">
            <v>0.14449999999999999</v>
          </cell>
          <cell r="AB103">
            <v>0.12252214500704957</v>
          </cell>
          <cell r="AC103">
            <v>0.11151282493501802</v>
          </cell>
          <cell r="AD103">
            <v>0.10818632947011167</v>
          </cell>
          <cell r="AE103">
            <v>0.10758392265257145</v>
          </cell>
        </row>
        <row r="104">
          <cell r="H104">
            <v>8.6474074074074148E-2</v>
          </cell>
          <cell r="I104">
            <v>8.6474074074074037E-2</v>
          </cell>
          <cell r="J104">
            <v>8.6474074074074148E-2</v>
          </cell>
          <cell r="K104">
            <v>8.6474074074074148E-2</v>
          </cell>
          <cell r="L104">
            <v>8.6474074074073926E-2</v>
          </cell>
          <cell r="M104">
            <v>8.6474074074074148E-2</v>
          </cell>
          <cell r="N104">
            <v>8.6474074074074148E-2</v>
          </cell>
          <cell r="O104">
            <v>8.6474074074073926E-2</v>
          </cell>
          <cell r="P104">
            <v>8.6474074074074148E-2</v>
          </cell>
          <cell r="Q104">
            <v>8.6474074074074148E-2</v>
          </cell>
          <cell r="R104">
            <v>8.6474074074073926E-2</v>
          </cell>
          <cell r="S104">
            <v>8.6474074074074148E-2</v>
          </cell>
          <cell r="T104">
            <v>8.6474074074074148E-2</v>
          </cell>
          <cell r="U104">
            <v>8.6474074074073926E-2</v>
          </cell>
          <cell r="V104">
            <v>8.6474074074073926E-2</v>
          </cell>
          <cell r="W104">
            <v>8.647407407407437E-2</v>
          </cell>
          <cell r="X104">
            <v>8.6474074074073926E-2</v>
          </cell>
          <cell r="Y104">
            <v>8.647407407407437E-2</v>
          </cell>
          <cell r="Z104">
            <v>8.6474074074073926E-2</v>
          </cell>
          <cell r="AA104">
            <v>8.6474074074073926E-2</v>
          </cell>
          <cell r="AB104">
            <v>8.6474074074073926E-2</v>
          </cell>
          <cell r="AC104">
            <v>8.647407407407437E-2</v>
          </cell>
          <cell r="AD104">
            <v>8.6474074074073926E-2</v>
          </cell>
          <cell r="AE104">
            <v>8.647407407407437E-2</v>
          </cell>
        </row>
        <row r="105">
          <cell r="H105">
            <v>0.29699999999999999</v>
          </cell>
          <cell r="I105">
            <v>0.18059999999999998</v>
          </cell>
          <cell r="J105">
            <v>9.4500000000000001E-2</v>
          </cell>
          <cell r="K105">
            <v>0.46850000000000003</v>
          </cell>
          <cell r="L105">
            <v>0.1009</v>
          </cell>
          <cell r="M105">
            <v>0.13689999999999999</v>
          </cell>
          <cell r="N105">
            <v>0.37169999999999997</v>
          </cell>
          <cell r="O105">
            <v>0.29910000000000003</v>
          </cell>
          <cell r="P105">
            <v>0.4612</v>
          </cell>
          <cell r="Q105">
            <v>0.78410000000000002</v>
          </cell>
          <cell r="R105">
            <v>0.1585</v>
          </cell>
          <cell r="S105">
            <v>0.14169999999999999</v>
          </cell>
          <cell r="T105">
            <v>0.24959999999999999</v>
          </cell>
          <cell r="U105">
            <v>0.2296</v>
          </cell>
          <cell r="V105">
            <v>0.22839999999999999</v>
          </cell>
          <cell r="W105">
            <v>0.24010000000000001</v>
          </cell>
          <cell r="X105">
            <v>0.247</v>
          </cell>
          <cell r="Y105">
            <v>0.36219999999999997</v>
          </cell>
          <cell r="Z105">
            <v>0.39089999999999997</v>
          </cell>
          <cell r="AA105">
            <v>0.62470000000000003</v>
          </cell>
          <cell r="AB105">
            <v>0.54312269999999974</v>
          </cell>
          <cell r="AC105">
            <v>0.43204304999999998</v>
          </cell>
          <cell r="AD105">
            <v>0.39338529000000044</v>
          </cell>
          <cell r="AE105">
            <v>0.43886131999999956</v>
          </cell>
        </row>
        <row r="106">
          <cell r="H106">
            <v>9.4114999999999976E-2</v>
          </cell>
          <cell r="I106">
            <v>3.5979999999999998E-2</v>
          </cell>
          <cell r="J106">
            <v>4.9454999999999999E-2</v>
          </cell>
          <cell r="K106">
            <v>1.6729999999999998E-2</v>
          </cell>
          <cell r="L106">
            <v>8.9494999999999991E-2</v>
          </cell>
          <cell r="M106">
            <v>0.18592000000000003</v>
          </cell>
          <cell r="N106">
            <v>0.22197</v>
          </cell>
          <cell r="O106">
            <v>6.1249999999999999E-2</v>
          </cell>
          <cell r="P106">
            <v>0.23075499999999996</v>
          </cell>
          <cell r="Q106">
            <v>0.19785499999999995</v>
          </cell>
          <cell r="R106">
            <v>0.15771000000000002</v>
          </cell>
          <cell r="S106">
            <v>0.15168999999999996</v>
          </cell>
          <cell r="T106">
            <v>0.16621499999999997</v>
          </cell>
          <cell r="U106">
            <v>0.24384500000000001</v>
          </cell>
          <cell r="V106">
            <v>0.190085</v>
          </cell>
          <cell r="W106">
            <v>0.16197999999999999</v>
          </cell>
          <cell r="X106">
            <v>0.14038499999999998</v>
          </cell>
          <cell r="Y106">
            <v>0.31633</v>
          </cell>
          <cell r="Z106">
            <v>0.6502</v>
          </cell>
          <cell r="AA106">
            <v>0.64700000000000002</v>
          </cell>
          <cell r="AB106">
            <v>0.45748749999999927</v>
          </cell>
          <cell r="AC106">
            <v>0.5602725700000003</v>
          </cell>
          <cell r="AD106">
            <v>0.47068721000000047</v>
          </cell>
          <cell r="AE106">
            <v>0.54478340999999997</v>
          </cell>
        </row>
        <row r="107">
          <cell r="H107">
            <v>0.174785</v>
          </cell>
          <cell r="I107">
            <v>6.6820000000000004E-2</v>
          </cell>
          <cell r="J107">
            <v>9.184500000000001E-2</v>
          </cell>
          <cell r="K107">
            <v>3.107E-2</v>
          </cell>
          <cell r="L107">
            <v>0.16620499999999999</v>
          </cell>
          <cell r="M107">
            <v>0.34528000000000003</v>
          </cell>
          <cell r="N107">
            <v>0.41223000000000004</v>
          </cell>
          <cell r="O107">
            <v>0.11375</v>
          </cell>
          <cell r="P107">
            <v>0.42854499999999995</v>
          </cell>
          <cell r="Q107">
            <v>0.36744499999999997</v>
          </cell>
          <cell r="R107">
            <v>0.29289000000000004</v>
          </cell>
          <cell r="S107">
            <v>0.28170999999999996</v>
          </cell>
          <cell r="T107">
            <v>0.30868499999999999</v>
          </cell>
          <cell r="U107">
            <v>0.45285500000000001</v>
          </cell>
          <cell r="V107">
            <v>0.35301500000000002</v>
          </cell>
          <cell r="W107">
            <v>0.35450480000000001</v>
          </cell>
          <cell r="X107">
            <v>0.30724260000000003</v>
          </cell>
          <cell r="Y107">
            <v>0.6923108</v>
          </cell>
          <cell r="Z107">
            <v>0.6502</v>
          </cell>
          <cell r="AA107">
            <v>0.64700000000000002</v>
          </cell>
          <cell r="AB107">
            <v>0.45748749999999927</v>
          </cell>
          <cell r="AC107">
            <v>0.5602725700000003</v>
          </cell>
          <cell r="AD107">
            <v>0.47068721000000047</v>
          </cell>
          <cell r="AE107">
            <v>0.54478340999999997</v>
          </cell>
        </row>
        <row r="108">
          <cell r="H108">
            <v>0.16187400000000002</v>
          </cell>
          <cell r="I108">
            <v>0.40232200000000001</v>
          </cell>
          <cell r="J108">
            <v>0.21423400000000004</v>
          </cell>
          <cell r="K108">
            <v>0.16636200000000001</v>
          </cell>
          <cell r="L108">
            <v>0.14161000000000001</v>
          </cell>
          <cell r="M108">
            <v>0.21616506400000002</v>
          </cell>
          <cell r="N108">
            <v>0.43234400000000001</v>
          </cell>
          <cell r="O108">
            <v>0.29482056200000006</v>
          </cell>
          <cell r="P108">
            <v>0.20296021200000003</v>
          </cell>
          <cell r="Q108">
            <v>0.39565800000000001</v>
          </cell>
          <cell r="R108">
            <v>0.36665600000000004</v>
          </cell>
          <cell r="S108">
            <v>0.54201909199999998</v>
          </cell>
          <cell r="T108">
            <v>0.55654331400000001</v>
          </cell>
          <cell r="U108">
            <v>0.70082122600000007</v>
          </cell>
          <cell r="V108">
            <v>0.47504799999999997</v>
          </cell>
          <cell r="W108">
            <v>0.35580000000000001</v>
          </cell>
          <cell r="X108">
            <v>0.66449999999999998</v>
          </cell>
          <cell r="Y108">
            <v>1.038</v>
          </cell>
          <cell r="Z108">
            <v>0.46650000000000003</v>
          </cell>
          <cell r="AA108">
            <v>0.95889999999999997</v>
          </cell>
          <cell r="AB108">
            <v>0.46645769387703823</v>
          </cell>
          <cell r="AC108">
            <v>0.49047162329837557</v>
          </cell>
          <cell r="AD108">
            <v>0.51237945405876495</v>
          </cell>
          <cell r="AE108">
            <v>0.52849590625857834</v>
          </cell>
        </row>
        <row r="109">
          <cell r="H109">
            <v>0.31422600000000006</v>
          </cell>
          <cell r="I109">
            <v>1.1833</v>
          </cell>
          <cell r="J109">
            <v>0.63009999999999999</v>
          </cell>
          <cell r="K109">
            <v>0.48930000000000001</v>
          </cell>
          <cell r="L109">
            <v>0.41649999999999998</v>
          </cell>
          <cell r="M109">
            <v>0.63577960000000011</v>
          </cell>
          <cell r="N109">
            <v>1.2715999999999998</v>
          </cell>
          <cell r="O109">
            <v>0.86711930000000004</v>
          </cell>
          <cell r="P109">
            <v>0.59694180000000008</v>
          </cell>
          <cell r="Q109">
            <v>1.1637</v>
          </cell>
          <cell r="R109">
            <v>1.0784</v>
          </cell>
          <cell r="S109">
            <v>1.5941737999999999</v>
          </cell>
          <cell r="T109">
            <v>1.6368920999999999</v>
          </cell>
          <cell r="U109">
            <v>2.0612388999999998</v>
          </cell>
          <cell r="V109">
            <v>1.3971999999999998</v>
          </cell>
          <cell r="W109">
            <v>1.0427</v>
          </cell>
          <cell r="X109">
            <v>0.80215000000000003</v>
          </cell>
          <cell r="Y109">
            <v>0.2843</v>
          </cell>
          <cell r="Z109">
            <v>0.34749999999999998</v>
          </cell>
          <cell r="AA109">
            <v>0.2964</v>
          </cell>
          <cell r="AB109">
            <v>0.53927991626881955</v>
          </cell>
          <cell r="AC109">
            <v>0.4102555079683779</v>
          </cell>
          <cell r="AD109">
            <v>0.42249327104785911</v>
          </cell>
          <cell r="AE109">
            <v>0.42234898958167211</v>
          </cell>
        </row>
        <row r="131">
          <cell r="H131">
            <v>2.7637531750820971E-2</v>
          </cell>
          <cell r="I131">
            <v>6.7805425246072637E-2</v>
          </cell>
          <cell r="J131">
            <v>4.9110933933817151E-2</v>
          </cell>
          <cell r="K131">
            <v>3.8348970016221416E-2</v>
          </cell>
          <cell r="L131">
            <v>6.6037027419237657E-2</v>
          </cell>
          <cell r="M131">
            <v>2.9153301316679522E-2</v>
          </cell>
          <cell r="N131">
            <v>7.9577902207574089E-2</v>
          </cell>
          <cell r="O131">
            <v>0.19129011921134953</v>
          </cell>
          <cell r="P131">
            <v>0.14137077484240779</v>
          </cell>
          <cell r="Q131">
            <v>0.21059091834994842</v>
          </cell>
          <cell r="R131">
            <v>0.10413336917448265</v>
          </cell>
          <cell r="S131">
            <v>0.21539085530850052</v>
          </cell>
          <cell r="T131">
            <v>0.19139117051574009</v>
          </cell>
          <cell r="U131">
            <v>0.25454823575984653</v>
          </cell>
          <cell r="V131">
            <v>0.21195511095922112</v>
          </cell>
          <cell r="W131">
            <v>0.19125980382003235</v>
          </cell>
          <cell r="X131">
            <v>0.26220792463265175</v>
          </cell>
          <cell r="Y131">
            <v>0.21725019930928702</v>
          </cell>
          <cell r="Z131">
            <v>2.7993000000000001E-2</v>
          </cell>
          <cell r="AA131">
            <v>4.1474999999999998E-2</v>
          </cell>
          <cell r="AB131">
            <v>4.0846333382852616E-2</v>
          </cell>
          <cell r="AC131">
            <v>5.0886648139373152E-2</v>
          </cell>
          <cell r="AD131">
            <v>5.2535476840249826E-2</v>
          </cell>
          <cell r="AE131">
            <v>5.8530607733513491E-2</v>
          </cell>
        </row>
        <row r="132">
          <cell r="H132">
            <v>1.245184060327729E-2</v>
          </cell>
          <cell r="I132">
            <v>3.0549122650087968E-2</v>
          </cell>
          <cell r="J132">
            <v>2.2126488238364762E-2</v>
          </cell>
          <cell r="K132">
            <v>1.7277782482426805E-2</v>
          </cell>
          <cell r="L132">
            <v>2.9752386962492529E-2</v>
          </cell>
          <cell r="M132">
            <v>1.3134756906930521E-2</v>
          </cell>
          <cell r="N132">
            <v>3.585310594179475E-2</v>
          </cell>
          <cell r="O132">
            <v>8.6184037521038065E-2</v>
          </cell>
          <cell r="P132">
            <v>6.3693327254058227E-2</v>
          </cell>
          <cell r="Q132">
            <v>9.4879838454222556E-2</v>
          </cell>
          <cell r="R132">
            <v>4.6916350060977136E-2</v>
          </cell>
          <cell r="S132">
            <v>9.7042406749124469E-2</v>
          </cell>
          <cell r="T132">
            <v>8.6229565274614936E-2</v>
          </cell>
          <cell r="U132">
            <v>0.11468441126016633</v>
          </cell>
          <cell r="V132">
            <v>9.5494463127510462E-2</v>
          </cell>
          <cell r="W132">
            <v>8.6170379194964994E-2</v>
          </cell>
          <cell r="X132">
            <v>0.11813541498129401</v>
          </cell>
          <cell r="Y132">
            <v>9.78801174149391E-2</v>
          </cell>
          <cell r="Z132">
            <v>8.2645999999999997E-2</v>
          </cell>
          <cell r="AA132">
            <v>0.12245</v>
          </cell>
          <cell r="AB132">
            <v>0.12059393665413629</v>
          </cell>
          <cell r="AC132">
            <v>0.15023677069719693</v>
          </cell>
          <cell r="AD132">
            <v>0.15510474114740425</v>
          </cell>
          <cell r="AE132">
            <v>0.17280465140370652</v>
          </cell>
        </row>
        <row r="133">
          <cell r="H133">
            <v>1.461062764590175E-2</v>
          </cell>
          <cell r="I133">
            <v>3.5845452103839388E-2</v>
          </cell>
          <cell r="J133">
            <v>2.5962577827818099E-2</v>
          </cell>
          <cell r="K133">
            <v>2.0273247501351788E-2</v>
          </cell>
          <cell r="L133">
            <v>3.4910585618269804E-2</v>
          </cell>
          <cell r="M133">
            <v>1.5411941776389961E-2</v>
          </cell>
          <cell r="N133">
            <v>4.2068991850631177E-2</v>
          </cell>
          <cell r="O133">
            <v>0.10112584326761248</v>
          </cell>
          <cell r="P133">
            <v>7.4735897903533979E-2</v>
          </cell>
          <cell r="Q133">
            <v>0.11132924319582904</v>
          </cell>
          <cell r="R133">
            <v>5.5050280764540223E-2</v>
          </cell>
          <cell r="S133">
            <v>0.11386673794237505</v>
          </cell>
          <cell r="T133">
            <v>0.10117926420964501</v>
          </cell>
          <cell r="U133">
            <v>0.13456735297998723</v>
          </cell>
          <cell r="V133">
            <v>0.11205042591326843</v>
          </cell>
          <cell r="W133">
            <v>0.10110981698500271</v>
          </cell>
          <cell r="X133">
            <v>0.13861666038605433</v>
          </cell>
          <cell r="Y133">
            <v>0.11484968327577393</v>
          </cell>
          <cell r="Z133">
            <v>2.2661000000000001E-2</v>
          </cell>
          <cell r="AA133">
            <v>3.3575000000000001E-2</v>
          </cell>
          <cell r="AB133">
            <v>3.3066079405166406E-2</v>
          </cell>
          <cell r="AC133">
            <v>4.1193953255683029E-2</v>
          </cell>
          <cell r="AD133">
            <v>4.2528719346868915E-2</v>
          </cell>
          <cell r="AE133">
            <v>4.7381920546177597E-2</v>
          </cell>
        </row>
        <row r="134">
          <cell r="H134">
            <v>4.7323598598832305E-2</v>
          </cell>
          <cell r="I134">
            <v>6.3539377139690933E-2</v>
          </cell>
          <cell r="J134">
            <v>7.4493301011168897E-2</v>
          </cell>
          <cell r="K134">
            <v>5.6242276796304551E-2</v>
          </cell>
          <cell r="L134">
            <v>4.7356692024425905E-2</v>
          </cell>
          <cell r="M134">
            <v>0.13958806915375851</v>
          </cell>
          <cell r="N134">
            <v>9.9958692005435654E-2</v>
          </cell>
          <cell r="O134">
            <v>0.13430966777158107</v>
          </cell>
          <cell r="P134">
            <v>6.0114207590754469E-2</v>
          </cell>
          <cell r="Q134">
            <v>5.8310615895903861E-2</v>
          </cell>
          <cell r="R134">
            <v>7.3368124540986873E-2</v>
          </cell>
          <cell r="S134">
            <v>0.10579968162270412</v>
          </cell>
          <cell r="T134">
            <v>0.13090104493544141</v>
          </cell>
          <cell r="U134">
            <v>0.18562102415444087</v>
          </cell>
          <cell r="V134">
            <v>6.9612020736114513E-2</v>
          </cell>
          <cell r="W134">
            <v>8.6866670950193486E-2</v>
          </cell>
          <cell r="X134">
            <v>0.15042390425477303</v>
          </cell>
          <cell r="Y134">
            <v>6.9917599237908579E-2</v>
          </cell>
          <cell r="Z134">
            <v>6.0696E-2</v>
          </cell>
          <cell r="AA134">
            <v>0.20314799999999997</v>
          </cell>
          <cell r="AB134">
            <v>0.13470040401937183</v>
          </cell>
          <cell r="AC134">
            <v>0.11643600922484103</v>
          </cell>
          <cell r="AD134">
            <v>0.11439186666203939</v>
          </cell>
          <cell r="AE134">
            <v>0.11940706859733403</v>
          </cell>
        </row>
        <row r="135">
          <cell r="H135">
            <v>8.7405897783390932E-2</v>
          </cell>
          <cell r="I135">
            <v>0.11735617045042701</v>
          </cell>
          <cell r="J135">
            <v>0.13758788525203705</v>
          </cell>
          <cell r="K135">
            <v>0.10387854775026077</v>
          </cell>
          <cell r="L135">
            <v>8.746702078883388E-2</v>
          </cell>
          <cell r="M135">
            <v>0.25781683695828184</v>
          </cell>
          <cell r="N135">
            <v>0.18462203794037227</v>
          </cell>
          <cell r="O135">
            <v>0.24806771759013438</v>
          </cell>
          <cell r="P135">
            <v>0.11102993938708366</v>
          </cell>
          <cell r="Q135">
            <v>0.10769873559044393</v>
          </cell>
          <cell r="R135">
            <v>0.1355097030669774</v>
          </cell>
          <cell r="S135">
            <v>0.19541024840104954</v>
          </cell>
          <cell r="T135">
            <v>0.24177204802951249</v>
          </cell>
          <cell r="U135">
            <v>0.34283893752939848</v>
          </cell>
          <cell r="V135">
            <v>0.12857224194920477</v>
          </cell>
          <cell r="W135">
            <v>0.16044129327991158</v>
          </cell>
          <cell r="X135">
            <v>0.27783044376924665</v>
          </cell>
          <cell r="Y135">
            <v>0.12913664034838468</v>
          </cell>
          <cell r="Z135">
            <v>3.0348E-2</v>
          </cell>
          <cell r="AA135">
            <v>0.10157399999999998</v>
          </cell>
          <cell r="AB135">
            <v>6.7350202009685917E-2</v>
          </cell>
          <cell r="AC135">
            <v>5.8218004612420514E-2</v>
          </cell>
          <cell r="AD135">
            <v>5.7195933331019695E-2</v>
          </cell>
          <cell r="AE135">
            <v>5.9703534298667017E-2</v>
          </cell>
        </row>
        <row r="136">
          <cell r="H136">
            <v>2.1851474445847733E-2</v>
          </cell>
          <cell r="I136">
            <v>2.9339042612606753E-2</v>
          </cell>
          <cell r="J136">
            <v>3.4396971313009263E-2</v>
          </cell>
          <cell r="K136">
            <v>2.5969636937565193E-2</v>
          </cell>
          <cell r="L136">
            <v>2.186675519720847E-2</v>
          </cell>
          <cell r="M136">
            <v>6.4454209239570459E-2</v>
          </cell>
          <cell r="N136">
            <v>4.6155509485093067E-2</v>
          </cell>
          <cell r="O136">
            <v>6.2016929397533595E-2</v>
          </cell>
          <cell r="P136">
            <v>2.7757484846770916E-2</v>
          </cell>
          <cell r="Q136">
            <v>2.6924683897610983E-2</v>
          </cell>
          <cell r="R136">
            <v>3.3877425766744351E-2</v>
          </cell>
          <cell r="S136">
            <v>4.8852562100262384E-2</v>
          </cell>
          <cell r="T136">
            <v>6.0443012007378123E-2</v>
          </cell>
          <cell r="U136">
            <v>8.570973438234962E-2</v>
          </cell>
          <cell r="V136">
            <v>3.2143060487301194E-2</v>
          </cell>
          <cell r="W136">
            <v>4.0110323319977895E-2</v>
          </cell>
          <cell r="X136">
            <v>6.9457610942311662E-2</v>
          </cell>
          <cell r="Y136">
            <v>3.228416008709617E-2</v>
          </cell>
          <cell r="Z136">
            <v>0.18546000000000001</v>
          </cell>
          <cell r="AA136">
            <v>0.62073</v>
          </cell>
          <cell r="AB136">
            <v>0.41158456783696956</v>
          </cell>
          <cell r="AC136">
            <v>0.35577669485368096</v>
          </cell>
          <cell r="AD136">
            <v>0.34953070368956485</v>
          </cell>
          <cell r="AE136">
            <v>0.36485493182518736</v>
          </cell>
        </row>
        <row r="137">
          <cell r="H137">
            <v>4.2189029171929009E-2</v>
          </cell>
          <cell r="I137">
            <v>5.6645409797275316E-2</v>
          </cell>
          <cell r="J137">
            <v>6.6410842423784755E-2</v>
          </cell>
          <cell r="K137">
            <v>5.0140038515869477E-2</v>
          </cell>
          <cell r="L137">
            <v>4.2218531989531759E-2</v>
          </cell>
          <cell r="M137">
            <v>0.12444288464838921</v>
          </cell>
          <cell r="N137">
            <v>8.9113260569099004E-2</v>
          </cell>
          <cell r="O137">
            <v>0.11973718524075097</v>
          </cell>
          <cell r="P137">
            <v>5.3591868175390939E-2</v>
          </cell>
          <cell r="Q137">
            <v>5.1983964616041198E-2</v>
          </cell>
          <cell r="R137">
            <v>6.5407746625291335E-2</v>
          </cell>
          <cell r="S137">
            <v>9.432050787598395E-2</v>
          </cell>
          <cell r="T137">
            <v>0.11669839502766798</v>
          </cell>
          <cell r="U137">
            <v>0.16548130393381105</v>
          </cell>
          <cell r="V137">
            <v>6.2059176827379478E-2</v>
          </cell>
          <cell r="W137">
            <v>7.7441712449917086E-2</v>
          </cell>
          <cell r="X137">
            <v>0.13410304103366871</v>
          </cell>
          <cell r="Y137">
            <v>6.2331600326610628E-2</v>
          </cell>
          <cell r="Z137">
            <v>6.0696E-2</v>
          </cell>
          <cell r="AA137">
            <v>0.20314799999999997</v>
          </cell>
          <cell r="AB137">
            <v>0.13470040401937183</v>
          </cell>
          <cell r="AC137">
            <v>0.11643600922484103</v>
          </cell>
          <cell r="AD137">
            <v>0.11439186666203939</v>
          </cell>
          <cell r="AE137">
            <v>0.11940706859733403</v>
          </cell>
        </row>
        <row r="138">
          <cell r="H138">
            <v>8.3687999999999999E-2</v>
          </cell>
          <cell r="I138">
            <v>7.8474000000000002E-2</v>
          </cell>
          <cell r="J138">
            <v>0.23700600000000002</v>
          </cell>
          <cell r="K138">
            <v>0.23515800000000001</v>
          </cell>
          <cell r="L138">
            <v>0.27984000000000003</v>
          </cell>
          <cell r="M138">
            <v>0.176814</v>
          </cell>
          <cell r="N138">
            <v>8.4347999999999992E-2</v>
          </cell>
          <cell r="O138">
            <v>0.40854000000000001</v>
          </cell>
          <cell r="P138">
            <v>0.225324</v>
          </cell>
          <cell r="Q138">
            <v>5.4120000000000001E-2</v>
          </cell>
          <cell r="R138">
            <v>0.40906799999999999</v>
          </cell>
          <cell r="S138">
            <v>0.27079799999999998</v>
          </cell>
          <cell r="T138">
            <v>0.207372</v>
          </cell>
          <cell r="U138">
            <v>0.19912200000000002</v>
          </cell>
          <cell r="V138">
            <v>0.15206400000000003</v>
          </cell>
          <cell r="W138">
            <v>0.27260000000000001</v>
          </cell>
          <cell r="X138">
            <v>0.189</v>
          </cell>
          <cell r="Y138">
            <v>0.1072</v>
          </cell>
          <cell r="Z138">
            <v>0.44969999999999999</v>
          </cell>
          <cell r="AA138">
            <v>0.112</v>
          </cell>
          <cell r="AB138">
            <v>0.4401652614761517</v>
          </cell>
          <cell r="AC138">
            <v>0.21984801303614007</v>
          </cell>
          <cell r="AD138">
            <v>0.15364627260124672</v>
          </cell>
          <cell r="AE138">
            <v>0.15855763042086438</v>
          </cell>
        </row>
        <row r="139">
          <cell r="H139">
            <v>4.3112000000000004E-2</v>
          </cell>
          <cell r="I139">
            <v>4.0426000000000004E-2</v>
          </cell>
          <cell r="J139">
            <v>0.12209400000000002</v>
          </cell>
          <cell r="K139">
            <v>0.12114200000000001</v>
          </cell>
          <cell r="L139">
            <v>0.14416000000000001</v>
          </cell>
          <cell r="M139">
            <v>9.1086E-2</v>
          </cell>
          <cell r="N139">
            <v>4.3452000000000005E-2</v>
          </cell>
          <cell r="O139">
            <v>0.21046000000000001</v>
          </cell>
          <cell r="P139">
            <v>0.11607600000000001</v>
          </cell>
          <cell r="Q139">
            <v>2.7880000000000002E-2</v>
          </cell>
          <cell r="R139">
            <v>0.210732</v>
          </cell>
          <cell r="S139">
            <v>0.13950200000000001</v>
          </cell>
          <cell r="T139">
            <v>0.10682800000000001</v>
          </cell>
          <cell r="U139">
            <v>0.102578</v>
          </cell>
          <cell r="V139">
            <v>7.8336000000000017E-2</v>
          </cell>
          <cell r="W139">
            <v>0.14680000000000001</v>
          </cell>
          <cell r="X139">
            <v>0.24359999999999998</v>
          </cell>
          <cell r="Y139">
            <v>0.1031</v>
          </cell>
          <cell r="Z139">
            <v>0.1915</v>
          </cell>
          <cell r="AA139">
            <v>0.29419999999999996</v>
          </cell>
          <cell r="AB139">
            <v>0.35744725178671727</v>
          </cell>
          <cell r="AC139">
            <v>0.22417923952580085</v>
          </cell>
          <cell r="AD139">
            <v>0.17356368464901417</v>
          </cell>
          <cell r="AE139">
            <v>0.17526384939785247</v>
          </cell>
        </row>
        <row r="140">
          <cell r="H140">
            <v>0.1671</v>
          </cell>
          <cell r="I140">
            <v>7.1599999999999997E-2</v>
          </cell>
          <cell r="J140">
            <v>0.26939999999999997</v>
          </cell>
          <cell r="K140">
            <v>4.3299999999999998E-2</v>
          </cell>
          <cell r="L140">
            <v>4.5899999999999996E-2</v>
          </cell>
          <cell r="M140">
            <v>9.9299999999999999E-2</v>
          </cell>
          <cell r="N140">
            <v>0.22140000000000001</v>
          </cell>
          <cell r="O140">
            <v>0.3105</v>
          </cell>
          <cell r="P140">
            <v>0.33019999999999999</v>
          </cell>
          <cell r="Q140">
            <v>0.38160000000000005</v>
          </cell>
          <cell r="R140">
            <v>0.1825</v>
          </cell>
          <cell r="S140">
            <v>0.3387</v>
          </cell>
          <cell r="T140">
            <v>0.48710000000000003</v>
          </cell>
          <cell r="U140">
            <v>0.3115</v>
          </cell>
          <cell r="V140">
            <v>0.2233</v>
          </cell>
          <cell r="W140">
            <v>0.1108</v>
          </cell>
          <cell r="X140">
            <v>0.22839999999999999</v>
          </cell>
          <cell r="Y140">
            <v>0.25869999999999999</v>
          </cell>
          <cell r="Z140">
            <v>7.1999999999999995E-2</v>
          </cell>
          <cell r="AA140">
            <v>0.26689999999999997</v>
          </cell>
          <cell r="AB140">
            <v>0.13994319</v>
          </cell>
          <cell r="AC140">
            <v>0.13183231000000001</v>
          </cell>
          <cell r="AD140">
            <v>0.11379148000000006</v>
          </cell>
          <cell r="AE140">
            <v>0.11830017999999998</v>
          </cell>
        </row>
        <row r="141">
          <cell r="H141">
            <v>6.2100589823534016E-2</v>
          </cell>
          <cell r="I141">
            <v>8.3379812909919804E-2</v>
          </cell>
          <cell r="J141">
            <v>9.7754145239702855E-2</v>
          </cell>
          <cell r="K141">
            <v>7.3804162521046185E-2</v>
          </cell>
          <cell r="L141">
            <v>6.2144016809424593E-2</v>
          </cell>
          <cell r="M141">
            <v>0.18317502648648007</v>
          </cell>
          <cell r="N141">
            <v>0.13117121088250666</v>
          </cell>
          <cell r="O141">
            <v>0.17624842223693205</v>
          </cell>
          <cell r="P141">
            <v>7.8885119870244436E-2</v>
          </cell>
          <cell r="Q141">
            <v>7.6518349139207631E-2</v>
          </cell>
          <cell r="R141">
            <v>9.6277627719423012E-2</v>
          </cell>
          <cell r="S141">
            <v>0.13883607389219457</v>
          </cell>
          <cell r="T141">
            <v>0.17177544269020198</v>
          </cell>
          <cell r="U141">
            <v>0.24358196386028133</v>
          </cell>
          <cell r="V141">
            <v>9.1348664820841821E-2</v>
          </cell>
          <cell r="W141">
            <v>3.3659473654209432E-2</v>
          </cell>
          <cell r="X141">
            <v>5.7814844658594489E-2</v>
          </cell>
          <cell r="Y141">
            <v>2.6639964131567617E-2</v>
          </cell>
          <cell r="Z141">
            <v>4.7600000000000003E-2</v>
          </cell>
          <cell r="AA141">
            <v>2.12E-2</v>
          </cell>
          <cell r="AB141">
            <v>3.7391982114600208E-2</v>
          </cell>
          <cell r="AC141">
            <v>3.8556202084216395E-2</v>
          </cell>
          <cell r="AD141">
            <v>3.9254739655337212E-2</v>
          </cell>
          <cell r="AE141">
            <v>3.9612886681477867E-2</v>
          </cell>
        </row>
        <row r="142">
          <cell r="H142">
            <v>2.5129410176465982E-2</v>
          </cell>
          <cell r="I142">
            <v>3.3740187090080198E-2</v>
          </cell>
          <cell r="J142">
            <v>3.9556854760297154E-2</v>
          </cell>
          <cell r="K142">
            <v>2.9865337478953799E-2</v>
          </cell>
          <cell r="L142">
            <v>2.5146983190575397E-2</v>
          </cell>
          <cell r="M142">
            <v>7.4122973513519944E-2</v>
          </cell>
          <cell r="N142">
            <v>5.3079289117493357E-2</v>
          </cell>
          <cell r="O142">
            <v>7.1320077763067966E-2</v>
          </cell>
          <cell r="P142">
            <v>3.1921380129755567E-2</v>
          </cell>
          <cell r="Q142">
            <v>3.0963650860792346E-2</v>
          </cell>
          <cell r="R142">
            <v>3.8959372280576977E-2</v>
          </cell>
          <cell r="S142">
            <v>5.6180926107805416E-2</v>
          </cell>
          <cell r="T142">
            <v>6.9510057309798035E-2</v>
          </cell>
          <cell r="U142">
            <v>9.8567036139718664E-2</v>
          </cell>
          <cell r="V142">
            <v>3.6964835179158176E-2</v>
          </cell>
          <cell r="W142">
            <v>1.3620526345790574E-2</v>
          </cell>
          <cell r="X142">
            <v>2.3395155341405505E-2</v>
          </cell>
          <cell r="Y142">
            <v>1.0780035868432387E-2</v>
          </cell>
          <cell r="Z142">
            <v>4.7600000000000003E-2</v>
          </cell>
          <cell r="AA142">
            <v>2.12E-2</v>
          </cell>
          <cell r="AB142">
            <v>3.7391982114600208E-2</v>
          </cell>
          <cell r="AC142">
            <v>3.8556202084216395E-2</v>
          </cell>
          <cell r="AD142">
            <v>3.9254739655337212E-2</v>
          </cell>
          <cell r="AE142">
            <v>3.9612886681477867E-2</v>
          </cell>
        </row>
        <row r="143">
          <cell r="H143">
            <v>1.8200000000000001E-2</v>
          </cell>
          <cell r="I143">
            <v>2.7699999999999999E-2</v>
          </cell>
          <cell r="J143">
            <v>1.0199999999999999E-2</v>
          </cell>
          <cell r="K143">
            <v>7.4000000000000003E-3</v>
          </cell>
          <cell r="L143">
            <v>3.2199999999999999E-2</v>
          </cell>
          <cell r="M143">
            <v>1.3099999999999999E-2</v>
          </cell>
          <cell r="N143">
            <v>7.7200000000000005E-2</v>
          </cell>
          <cell r="O143">
            <v>4.1299999999999996E-2</v>
          </cell>
          <cell r="P143">
            <v>4.8000000000000001E-2</v>
          </cell>
          <cell r="Q143">
            <v>4.5499999999999999E-2</v>
          </cell>
          <cell r="R143">
            <v>5.1299999999999998E-2</v>
          </cell>
          <cell r="S143">
            <v>5.0299999999999997E-2</v>
          </cell>
          <cell r="T143">
            <v>2.52E-2</v>
          </cell>
          <cell r="U143">
            <v>3.0499999999999999E-2</v>
          </cell>
          <cell r="V143">
            <v>2.5999999999999999E-2</v>
          </cell>
          <cell r="W143">
            <v>6.9501599999999997E-2</v>
          </cell>
          <cell r="X143">
            <v>0.11937869999999999</v>
          </cell>
          <cell r="Y143">
            <v>5.5007399999999998E-2</v>
          </cell>
          <cell r="Z143">
            <v>0.3372</v>
          </cell>
          <cell r="AA143">
            <v>1.1285999999999998</v>
          </cell>
          <cell r="AB143">
            <v>0.74833557788539917</v>
          </cell>
          <cell r="AC143">
            <v>0.64686671791578354</v>
          </cell>
          <cell r="AD143">
            <v>0.63551037034466329</v>
          </cell>
          <cell r="AE143">
            <v>0.66337260331852244</v>
          </cell>
        </row>
        <row r="144">
          <cell r="H144">
            <v>1.6199999999999999E-2</v>
          </cell>
          <cell r="I144">
            <v>7.2800000000000004E-2</v>
          </cell>
          <cell r="J144">
            <v>0.23139999999999999</v>
          </cell>
          <cell r="K144">
            <v>6.2899999999999998E-2</v>
          </cell>
          <cell r="L144">
            <v>8.0299999999999996E-2</v>
          </cell>
          <cell r="M144">
            <v>0.1036</v>
          </cell>
          <cell r="N144">
            <v>0.13750000000000001</v>
          </cell>
          <cell r="O144">
            <v>0.12790000000000001</v>
          </cell>
          <cell r="P144">
            <v>0.24299999999999999</v>
          </cell>
          <cell r="Q144">
            <v>0.21619999999999998</v>
          </cell>
          <cell r="R144">
            <v>0.15919999999999998</v>
          </cell>
          <cell r="S144">
            <v>0.2424</v>
          </cell>
          <cell r="T144">
            <v>0.153</v>
          </cell>
          <cell r="U144">
            <v>0.15630000000000002</v>
          </cell>
          <cell r="V144">
            <v>0.32839999999999997</v>
          </cell>
          <cell r="W144">
            <v>0.2853</v>
          </cell>
          <cell r="X144">
            <v>8.43E-2</v>
          </cell>
          <cell r="Y144">
            <v>0.13190000000000002</v>
          </cell>
          <cell r="Z144">
            <v>0.14849999999999999</v>
          </cell>
          <cell r="AA144">
            <v>0.33030000000000004</v>
          </cell>
          <cell r="AB144">
            <v>0.26767490999999999</v>
          </cell>
          <cell r="AC144">
            <v>0.22668945999999998</v>
          </cell>
          <cell r="AD144">
            <v>0.21574797999999998</v>
          </cell>
          <cell r="AE144">
            <v>0.248752</v>
          </cell>
        </row>
        <row r="145">
          <cell r="H145">
            <v>5.5926000000000003E-2</v>
          </cell>
          <cell r="I145">
            <v>7.7945400000000012E-2</v>
          </cell>
          <cell r="J145">
            <v>3.9616200000000004E-2</v>
          </cell>
          <cell r="K145">
            <v>3.7861200000000005E-2</v>
          </cell>
          <cell r="L145">
            <v>4.8601800000000001E-2</v>
          </cell>
          <cell r="M145">
            <v>4.8461400000000002E-2</v>
          </cell>
          <cell r="N145">
            <v>0.1010412</v>
          </cell>
          <cell r="O145">
            <v>5.0918399999999996E-2</v>
          </cell>
          <cell r="P145">
            <v>5.8921200000000007E-2</v>
          </cell>
          <cell r="Q145">
            <v>8.45442E-2</v>
          </cell>
          <cell r="R145">
            <v>9.3974400000000013E-2</v>
          </cell>
          <cell r="S145">
            <v>5.9202000000000005E-2</v>
          </cell>
          <cell r="T145">
            <v>7.4201400000000001E-2</v>
          </cell>
          <cell r="U145">
            <v>0.1071486</v>
          </cell>
          <cell r="V145">
            <v>0.11398140000000001</v>
          </cell>
          <cell r="W145">
            <v>9.4021200000000013E-2</v>
          </cell>
          <cell r="X145">
            <v>5.4498600000000001E-2</v>
          </cell>
          <cell r="Y145">
            <v>5.9061600000000006E-2</v>
          </cell>
          <cell r="Z145">
            <v>0.3604</v>
          </cell>
          <cell r="AA145">
            <v>0.33529999999999999</v>
          </cell>
          <cell r="AB145">
            <v>0.18800158000000008</v>
          </cell>
          <cell r="AC145">
            <v>0.1901061300000001</v>
          </cell>
          <cell r="AD145">
            <v>0.24725164000000002</v>
          </cell>
          <cell r="AE145">
            <v>0.28489977000000005</v>
          </cell>
        </row>
        <row r="146">
          <cell r="H146">
            <v>0.18307400000000001</v>
          </cell>
          <cell r="I146">
            <v>0.25515460000000001</v>
          </cell>
          <cell r="J146">
            <v>0.12968380000000002</v>
          </cell>
          <cell r="K146">
            <v>0.12393880000000002</v>
          </cell>
          <cell r="L146">
            <v>0.1590982</v>
          </cell>
          <cell r="M146">
            <v>0.15863859999999999</v>
          </cell>
          <cell r="N146">
            <v>0.33075880000000002</v>
          </cell>
          <cell r="O146">
            <v>0.16668160000000001</v>
          </cell>
          <cell r="P146">
            <v>0.19287880000000002</v>
          </cell>
          <cell r="Q146">
            <v>0.2767558</v>
          </cell>
          <cell r="R146">
            <v>0.3076256</v>
          </cell>
          <cell r="S146">
            <v>0.193798</v>
          </cell>
          <cell r="T146">
            <v>0.24289860000000002</v>
          </cell>
          <cell r="U146">
            <v>0.35075139999999999</v>
          </cell>
          <cell r="V146">
            <v>0.37311860000000002</v>
          </cell>
          <cell r="W146">
            <v>0.30777879999999996</v>
          </cell>
          <cell r="X146">
            <v>0.17840139999999999</v>
          </cell>
          <cell r="Y146">
            <v>0.19333839999999999</v>
          </cell>
          <cell r="Z146">
            <v>0.3604</v>
          </cell>
          <cell r="AA146">
            <v>0.33529999999999999</v>
          </cell>
          <cell r="AB146">
            <v>0.18800158000000008</v>
          </cell>
          <cell r="AC146">
            <v>0.1901061300000001</v>
          </cell>
          <cell r="AD146">
            <v>0.24725164000000002</v>
          </cell>
          <cell r="AE146">
            <v>0.28489977000000005</v>
          </cell>
        </row>
        <row r="147">
          <cell r="H147">
            <v>0.13889000000000001</v>
          </cell>
          <cell r="I147">
            <v>8.6394000000000026E-2</v>
          </cell>
          <cell r="J147">
            <v>8.9862000000000011E-2</v>
          </cell>
          <cell r="K147">
            <v>0.10047000000000002</v>
          </cell>
          <cell r="L147">
            <v>9.1595999999999997E-2</v>
          </cell>
          <cell r="M147">
            <v>5.3102692600000008E-2</v>
          </cell>
          <cell r="N147">
            <v>7.5077616799999997E-2</v>
          </cell>
          <cell r="O147">
            <v>0.14943000000000001</v>
          </cell>
          <cell r="P147">
            <v>0.19896800000000001</v>
          </cell>
          <cell r="Q147">
            <v>0.17751400000000001</v>
          </cell>
          <cell r="R147">
            <v>0.29961847200000008</v>
          </cell>
          <cell r="S147">
            <v>0.32215000000000005</v>
          </cell>
          <cell r="T147">
            <v>0.23167600000000005</v>
          </cell>
          <cell r="U147">
            <v>0.13569400000000001</v>
          </cell>
          <cell r="V147">
            <v>0.19543199999999999</v>
          </cell>
          <cell r="W147">
            <v>7.3900000000000007E-2</v>
          </cell>
          <cell r="X147">
            <v>0.19789999999999999</v>
          </cell>
          <cell r="Y147">
            <v>0.19040000000000001</v>
          </cell>
          <cell r="Z147">
            <v>0.27250000000000002</v>
          </cell>
          <cell r="AA147">
            <v>0.30969999999999998</v>
          </cell>
          <cell r="AB147">
            <v>0.14437921709174992</v>
          </cell>
          <cell r="AC147">
            <v>0.12593667786924057</v>
          </cell>
          <cell r="AD147">
            <v>0.11274781687252457</v>
          </cell>
          <cell r="AE147">
            <v>0.11357810546743598</v>
          </cell>
        </row>
        <row r="148">
          <cell r="H148">
            <v>0.26961000000000002</v>
          </cell>
          <cell r="I148">
            <v>0.16770600000000002</v>
          </cell>
          <cell r="J148">
            <v>0.17443800000000001</v>
          </cell>
          <cell r="K148">
            <v>0.19503000000000001</v>
          </cell>
          <cell r="L148">
            <v>0.17780399999999999</v>
          </cell>
          <cell r="M148">
            <v>0.10308169740000001</v>
          </cell>
          <cell r="N148">
            <v>0.14573890320000002</v>
          </cell>
          <cell r="O148">
            <v>0.29006999999999999</v>
          </cell>
          <cell r="P148">
            <v>0.38623200000000002</v>
          </cell>
          <cell r="Q148">
            <v>0.344586</v>
          </cell>
          <cell r="R148">
            <v>0.58161232800000007</v>
          </cell>
          <cell r="S148">
            <v>0.62535000000000007</v>
          </cell>
          <cell r="T148">
            <v>0.44972400000000012</v>
          </cell>
          <cell r="U148">
            <v>0.26340600000000003</v>
          </cell>
          <cell r="V148">
            <v>0.37936799999999998</v>
          </cell>
          <cell r="W148">
            <v>0.15509999999999999</v>
          </cell>
          <cell r="X148">
            <v>0.2155</v>
          </cell>
          <cell r="Y148">
            <v>0.21199999999999999</v>
          </cell>
          <cell r="Z148">
            <v>0.20980000000000001</v>
          </cell>
          <cell r="AA148">
            <v>0.19269999999999998</v>
          </cell>
          <cell r="AB148">
            <v>0.28119913349861531</v>
          </cell>
          <cell r="AC148">
            <v>0.25254892801661488</v>
          </cell>
          <cell r="AD148">
            <v>0.26806078039084402</v>
          </cell>
          <cell r="AE148">
            <v>0.28886737875496393</v>
          </cell>
        </row>
        <row r="168">
          <cell r="G168" t="str">
            <v>Western MT portion of state</v>
          </cell>
        </row>
        <row r="169">
          <cell r="H169">
            <v>5.8452515664333813</v>
          </cell>
          <cell r="I169">
            <v>2.3942560490388454</v>
          </cell>
          <cell r="J169">
            <v>3.2535508684892789</v>
          </cell>
          <cell r="K169">
            <v>3.8808061249763441</v>
          </cell>
          <cell r="L169">
            <v>2.6785158945721284</v>
          </cell>
          <cell r="M169">
            <v>2.1289433230787926</v>
          </cell>
          <cell r="N169">
            <v>1.9047034050448099</v>
          </cell>
          <cell r="O169">
            <v>2.9945048391710078</v>
          </cell>
          <cell r="P169">
            <v>3.7348996623363648</v>
          </cell>
          <cell r="Q169">
            <v>4.3096744291447084</v>
          </cell>
          <cell r="R169">
            <v>4.6932151602156393</v>
          </cell>
          <cell r="S169">
            <v>6.7040926655271003</v>
          </cell>
          <cell r="T169">
            <v>8.0155996509731651</v>
          </cell>
          <cell r="U169">
            <v>8.5121404979223296</v>
          </cell>
          <cell r="V169">
            <v>5.7106188925677364</v>
          </cell>
          <cell r="W169">
            <v>3.9531865469773946</v>
          </cell>
          <cell r="X169">
            <v>3.613957014984337</v>
          </cell>
          <cell r="Y169">
            <v>4.2577960031375479</v>
          </cell>
          <cell r="Z169">
            <v>2.9053730099999999</v>
          </cell>
          <cell r="AA169">
            <v>5.76397475</v>
          </cell>
          <cell r="AB169">
            <v>4.1477159651255757</v>
          </cell>
          <cell r="AC169">
            <v>4.3042855770003277</v>
          </cell>
          <cell r="AD169">
            <v>3.9757692712668407</v>
          </cell>
          <cell r="AE169">
            <v>3.9080659306945158</v>
          </cell>
        </row>
        <row r="170">
          <cell r="H170">
            <v>2.6335253613638385</v>
          </cell>
          <cell r="I170">
            <v>1.0787104635412517</v>
          </cell>
          <cell r="J170">
            <v>1.4658579924699486</v>
          </cell>
          <cell r="K170">
            <v>1.7484621896089618</v>
          </cell>
          <cell r="L170">
            <v>1.2067811725468609</v>
          </cell>
          <cell r="M170">
            <v>0.95917620833130801</v>
          </cell>
          <cell r="N170">
            <v>0.85814693620145599</v>
          </cell>
          <cell r="O170">
            <v>1.3491471408980753</v>
          </cell>
          <cell r="P170">
            <v>1.6827253491356049</v>
          </cell>
          <cell r="Q170">
            <v>1.9416849350932321</v>
          </cell>
          <cell r="R170">
            <v>2.1144857514330568</v>
          </cell>
          <cell r="S170">
            <v>3.0204684706789751</v>
          </cell>
          <cell r="T170">
            <v>3.6113561114457378</v>
          </cell>
          <cell r="U170">
            <v>3.8350681105841429</v>
          </cell>
          <cell r="V170">
            <v>2.5728678247182866</v>
          </cell>
          <cell r="W170">
            <v>1.7810725357744892</v>
          </cell>
          <cell r="X170">
            <v>1.628235730433635</v>
          </cell>
          <cell r="Y170">
            <v>1.9183115782676574</v>
          </cell>
          <cell r="Z170">
            <v>2.52049922</v>
          </cell>
          <cell r="AA170">
            <v>4.3866505</v>
          </cell>
          <cell r="AB170">
            <v>3.3467175863389964</v>
          </cell>
          <cell r="AC170">
            <v>3.4921085643107492</v>
          </cell>
          <cell r="AD170">
            <v>3.2325006595168051</v>
          </cell>
          <cell r="AE170">
            <v>3.2055077433563333</v>
          </cell>
        </row>
        <row r="171">
          <cell r="H171">
            <v>3.0901020722027819</v>
          </cell>
          <cell r="I171">
            <v>1.2657274874199036</v>
          </cell>
          <cell r="J171">
            <v>1.7199951390407733</v>
          </cell>
          <cell r="K171">
            <v>2.0515946854146958</v>
          </cell>
          <cell r="L171">
            <v>1.4160019328810107</v>
          </cell>
          <cell r="M171">
            <v>1.1254694685898994</v>
          </cell>
          <cell r="N171">
            <v>1.0069246587537342</v>
          </cell>
          <cell r="O171">
            <v>1.5830500199309174</v>
          </cell>
          <cell r="P171">
            <v>1.9744609885280306</v>
          </cell>
          <cell r="Q171">
            <v>2.2783166357620592</v>
          </cell>
          <cell r="R171">
            <v>2.4810760883513034</v>
          </cell>
          <cell r="S171">
            <v>3.5441298637939256</v>
          </cell>
          <cell r="T171">
            <v>4.2374602375810966</v>
          </cell>
          <cell r="U171">
            <v>4.4999573914935276</v>
          </cell>
          <cell r="V171">
            <v>3.0189282827139783</v>
          </cell>
          <cell r="W171">
            <v>2.0898587172481164</v>
          </cell>
          <cell r="X171">
            <v>1.9105244545820284</v>
          </cell>
          <cell r="Y171">
            <v>2.2508910185947957</v>
          </cell>
          <cell r="Z171">
            <v>0.65600877000000002</v>
          </cell>
          <cell r="AA171">
            <v>1.1345497499999999</v>
          </cell>
          <cell r="AB171">
            <v>0.87002001760199665</v>
          </cell>
          <cell r="AC171">
            <v>0.90846325570362163</v>
          </cell>
          <cell r="AD171">
            <v>0.8416976698075469</v>
          </cell>
          <cell r="AE171">
            <v>0.83495356000334453</v>
          </cell>
        </row>
        <row r="172">
          <cell r="H172">
            <v>1.9601639052244866</v>
          </cell>
          <cell r="I172">
            <v>1.8139548177464644</v>
          </cell>
          <cell r="J172">
            <v>1.5990745699068862</v>
          </cell>
          <cell r="K172">
            <v>1.2830229881440107</v>
          </cell>
          <cell r="L172">
            <v>0.979871173680254</v>
          </cell>
          <cell r="M172">
            <v>1.241660719000097</v>
          </cell>
          <cell r="N172">
            <v>1.8848305823635303</v>
          </cell>
          <cell r="O172">
            <v>2.4988567954738619</v>
          </cell>
          <cell r="P172">
            <v>2.288456066580165</v>
          </cell>
          <cell r="Q172">
            <v>1.2544054066975698</v>
          </cell>
          <cell r="R172">
            <v>1.5651299718837426</v>
          </cell>
          <cell r="S172">
            <v>2.1687149616138099</v>
          </cell>
          <cell r="T172">
            <v>2.726992850636329</v>
          </cell>
          <cell r="U172">
            <v>2.3639545922978495</v>
          </cell>
          <cell r="V172">
            <v>2.12134434059036</v>
          </cell>
          <cell r="W172">
            <v>1.7332075021200439</v>
          </cell>
          <cell r="X172">
            <v>1.6498023915828299</v>
          </cell>
          <cell r="Y172">
            <v>1.7728331175696301</v>
          </cell>
          <cell r="Z172">
            <v>3.0494837200000005</v>
          </cell>
          <cell r="AA172">
            <v>3.9300753599999996</v>
          </cell>
          <cell r="AB172">
            <v>3.2949268651724135</v>
          </cell>
          <cell r="AC172">
            <v>3.0804508752407767</v>
          </cell>
          <cell r="AD172">
            <v>2.9901146137661283</v>
          </cell>
          <cell r="AE172">
            <v>3.1209850609635708</v>
          </cell>
        </row>
        <row r="173">
          <cell r="H173">
            <v>3.620390059325949</v>
          </cell>
          <cell r="I173">
            <v>3.3503443118873304</v>
          </cell>
          <cell r="J173">
            <v>2.9534640759282804</v>
          </cell>
          <cell r="K173">
            <v>2.3697220726198811</v>
          </cell>
          <cell r="L173">
            <v>1.8098057244890269</v>
          </cell>
          <cell r="M173">
            <v>2.2933266509713843</v>
          </cell>
          <cell r="N173">
            <v>3.4812506677195292</v>
          </cell>
          <cell r="O173">
            <v>4.6153468482405211</v>
          </cell>
          <cell r="P173">
            <v>4.2267402091062101</v>
          </cell>
          <cell r="Q173">
            <v>2.3168658767096826</v>
          </cell>
          <cell r="R173">
            <v>2.8907689691960035</v>
          </cell>
          <cell r="S173">
            <v>4.0055803841765441</v>
          </cell>
          <cell r="T173">
            <v>5.0367103393662491</v>
          </cell>
          <cell r="U173">
            <v>4.366184727635269</v>
          </cell>
          <cell r="V173">
            <v>3.9180876367586932</v>
          </cell>
          <cell r="W173">
            <v>3.2012053658879802</v>
          </cell>
          <cell r="X173">
            <v>3.0471575169907066</v>
          </cell>
          <cell r="Y173">
            <v>3.2743932171110264</v>
          </cell>
          <cell r="Z173">
            <v>1.21717136</v>
          </cell>
          <cell r="AA173">
            <v>1.5786711799999997</v>
          </cell>
          <cell r="AB173">
            <v>1.3199722007364803</v>
          </cell>
          <cell r="AC173">
            <v>1.2300279538780112</v>
          </cell>
          <cell r="AD173">
            <v>1.196371930895225</v>
          </cell>
          <cell r="AE173">
            <v>1.248350009064233</v>
          </cell>
        </row>
        <row r="174">
          <cell r="H174">
            <v>0.90509751483148726</v>
          </cell>
          <cell r="I174">
            <v>0.8375860779718326</v>
          </cell>
          <cell r="J174">
            <v>0.7383660189820701</v>
          </cell>
          <cell r="K174">
            <v>0.59243051815497028</v>
          </cell>
          <cell r="L174">
            <v>0.45245143112225672</v>
          </cell>
          <cell r="M174">
            <v>0.57333166274284608</v>
          </cell>
          <cell r="N174">
            <v>0.87031266692988229</v>
          </cell>
          <cell r="O174">
            <v>1.1538367120601303</v>
          </cell>
          <cell r="P174">
            <v>1.0566850522765525</v>
          </cell>
          <cell r="Q174">
            <v>0.57921646917742065</v>
          </cell>
          <cell r="R174">
            <v>0.72269224229900086</v>
          </cell>
          <cell r="S174">
            <v>1.001395096044136</v>
          </cell>
          <cell r="T174">
            <v>1.2591775848415623</v>
          </cell>
          <cell r="U174">
            <v>1.0915461819088172</v>
          </cell>
          <cell r="V174">
            <v>0.9795219091896733</v>
          </cell>
          <cell r="W174">
            <v>0.80030134147199505</v>
          </cell>
          <cell r="X174">
            <v>0.76178937924767665</v>
          </cell>
          <cell r="Y174">
            <v>0.81859830427775659</v>
          </cell>
          <cell r="Z174">
            <v>4.4185782000000007</v>
          </cell>
          <cell r="AA174">
            <v>5.8084251000000009</v>
          </cell>
          <cell r="AB174">
            <v>4.8341193729503171</v>
          </cell>
          <cell r="AC174">
            <v>4.4973948910402894</v>
          </cell>
          <cell r="AD174">
            <v>4.3749492047650769</v>
          </cell>
          <cell r="AE174">
            <v>4.5648201170153557</v>
          </cell>
        </row>
        <row r="175">
          <cell r="H175">
            <v>1.7474878206180771</v>
          </cell>
          <cell r="I175">
            <v>1.6171422923943721</v>
          </cell>
          <cell r="J175">
            <v>1.4255763651827631</v>
          </cell>
          <cell r="K175">
            <v>1.1438161060811387</v>
          </cell>
          <cell r="L175">
            <v>0.87355600070846262</v>
          </cell>
          <cell r="M175">
            <v>1.1069416072856728</v>
          </cell>
          <cell r="N175">
            <v>1.6803280979870585</v>
          </cell>
          <cell r="O175">
            <v>2.2277329992254882</v>
          </cell>
          <cell r="P175">
            <v>2.0401605670370717</v>
          </cell>
          <cell r="Q175">
            <v>1.1183035074153274</v>
          </cell>
          <cell r="R175">
            <v>1.3953147266212531</v>
          </cell>
          <cell r="S175">
            <v>1.9334112681655102</v>
          </cell>
          <cell r="T175">
            <v>2.4311164901558593</v>
          </cell>
          <cell r="U175">
            <v>2.1074675681580644</v>
          </cell>
          <cell r="V175">
            <v>1.8911803184612741</v>
          </cell>
          <cell r="W175">
            <v>1.5451559905199812</v>
          </cell>
          <cell r="X175">
            <v>1.4708002621787872</v>
          </cell>
          <cell r="Y175">
            <v>1.580482261041587</v>
          </cell>
          <cell r="Z175">
            <v>1.38987072</v>
          </cell>
          <cell r="AA175">
            <v>1.8173303599999999</v>
          </cell>
          <cell r="AB175">
            <v>1.5136049433773811</v>
          </cell>
          <cell r="AC175">
            <v>1.4027949732052674</v>
          </cell>
          <cell r="AD175">
            <v>1.3671049082637361</v>
          </cell>
          <cell r="AE175">
            <v>1.4256651163527188</v>
          </cell>
        </row>
        <row r="176">
          <cell r="H176">
            <v>2.3326221600000001</v>
          </cell>
          <cell r="I176">
            <v>2.1343561800000002</v>
          </cell>
          <cell r="J176">
            <v>2.7849274200000003</v>
          </cell>
          <cell r="K176">
            <v>3.7213380599999999</v>
          </cell>
          <cell r="L176">
            <v>3.8396688000000001</v>
          </cell>
          <cell r="M176">
            <v>4.5304399799999997</v>
          </cell>
          <cell r="N176">
            <v>3.8655843599999997</v>
          </cell>
          <cell r="O176">
            <v>3.7622019600000001</v>
          </cell>
          <cell r="P176">
            <v>4.9317826799999995</v>
          </cell>
          <cell r="Q176">
            <v>3.5256144000000003</v>
          </cell>
          <cell r="R176">
            <v>4.1166087600000001</v>
          </cell>
          <cell r="S176">
            <v>3.6865428600000003</v>
          </cell>
          <cell r="T176">
            <v>4.4936060400000004</v>
          </cell>
          <cell r="U176">
            <v>4.0552175400000001</v>
          </cell>
          <cell r="V176">
            <v>4.7025844800000005</v>
          </cell>
          <cell r="W176">
            <v>5.7826820000000012</v>
          </cell>
          <cell r="X176">
            <v>6.4745300000000006</v>
          </cell>
          <cell r="Y176">
            <v>4.3306040000000001</v>
          </cell>
          <cell r="Z176">
            <v>5.0644289999999996</v>
          </cell>
          <cell r="AA176">
            <v>4.8802399999999997</v>
          </cell>
          <cell r="AB176">
            <v>5.314560624425317</v>
          </cell>
          <cell r="AC176">
            <v>5.8392883922912757</v>
          </cell>
          <cell r="AD176">
            <v>5.5907307068579604</v>
          </cell>
          <cell r="AE176">
            <v>5.3970025110934667</v>
          </cell>
        </row>
        <row r="177">
          <cell r="H177">
            <v>1.2016538399999999</v>
          </cell>
          <cell r="I177">
            <v>1.0995168200000001</v>
          </cell>
          <cell r="J177">
            <v>1.4346595800000002</v>
          </cell>
          <cell r="K177">
            <v>1.91705294</v>
          </cell>
          <cell r="L177">
            <v>1.9780112000000001</v>
          </cell>
          <cell r="M177">
            <v>2.3338630200000003</v>
          </cell>
          <cell r="N177">
            <v>1.99136164</v>
          </cell>
          <cell r="O177">
            <v>1.93810404</v>
          </cell>
          <cell r="P177">
            <v>2.5406153199999997</v>
          </cell>
          <cell r="Q177">
            <v>1.8162256000000001</v>
          </cell>
          <cell r="R177">
            <v>2.12067724</v>
          </cell>
          <cell r="S177">
            <v>1.8991281399999997</v>
          </cell>
          <cell r="T177">
            <v>2.3148879600000005</v>
          </cell>
          <cell r="U177">
            <v>2.0890514600000003</v>
          </cell>
          <cell r="V177">
            <v>2.4225435200000001</v>
          </cell>
          <cell r="W177">
            <v>2.7598760000000002</v>
          </cell>
          <cell r="X177">
            <v>3.2231519999999998</v>
          </cell>
          <cell r="Y177">
            <v>1.711967</v>
          </cell>
          <cell r="Z177">
            <v>2.2422549999999997</v>
          </cell>
          <cell r="AA177">
            <v>1.9980939999999998</v>
          </cell>
          <cell r="AB177">
            <v>2.2146394799898173</v>
          </cell>
          <cell r="AC177">
            <v>2.4529568455976025</v>
          </cell>
          <cell r="AD177">
            <v>2.3252751304701671</v>
          </cell>
          <cell r="AE177">
            <v>2.2545756506342292</v>
          </cell>
        </row>
        <row r="178">
          <cell r="H178">
            <v>7.7681670999999994</v>
          </cell>
          <cell r="I178">
            <v>6.1909778999999991</v>
          </cell>
          <cell r="J178">
            <v>6.2494579999999997</v>
          </cell>
          <cell r="K178">
            <v>6.6152219000000008</v>
          </cell>
          <cell r="L178">
            <v>5.5810154000000001</v>
          </cell>
          <cell r="M178">
            <v>5.2429889000000003</v>
          </cell>
          <cell r="N178">
            <v>4.4018980000000001</v>
          </cell>
          <cell r="O178">
            <v>6.0446849999999994</v>
          </cell>
          <cell r="P178">
            <v>9.751614</v>
          </cell>
          <cell r="Q178">
            <v>11.116424999999998</v>
          </cell>
          <cell r="R178">
            <v>11.370925</v>
          </cell>
          <cell r="S178">
            <v>11.869458999999999</v>
          </cell>
          <cell r="T178">
            <v>10.888947</v>
          </cell>
          <cell r="U178">
            <v>9.4940550000000012</v>
          </cell>
          <cell r="V178">
            <v>10.433181000000001</v>
          </cell>
          <cell r="W178">
            <v>5.9005559999999999</v>
          </cell>
          <cell r="X178">
            <v>6.8123880000000003</v>
          </cell>
          <cell r="Y178">
            <v>6.1123589999999997</v>
          </cell>
          <cell r="Z178">
            <v>9.229140000000001</v>
          </cell>
          <cell r="AA178">
            <v>8.458632999999999</v>
          </cell>
          <cell r="AB178">
            <v>8.0452519383000087</v>
          </cell>
          <cell r="AC178">
            <v>7.6519041966999959</v>
          </cell>
          <cell r="AD178">
            <v>7.4193123636000031</v>
          </cell>
          <cell r="AE178">
            <v>7.7886886725999984</v>
          </cell>
        </row>
        <row r="179">
          <cell r="H179">
            <v>0.94562667569891845</v>
          </cell>
          <cell r="I179">
            <v>0.87797440847584418</v>
          </cell>
          <cell r="J179">
            <v>0.76896588931383225</v>
          </cell>
          <cell r="K179">
            <v>0.63948110135578418</v>
          </cell>
          <cell r="L179">
            <v>0.43394926096228958</v>
          </cell>
          <cell r="M179">
            <v>0.70856563684818685</v>
          </cell>
          <cell r="N179">
            <v>0.99833300111063006</v>
          </cell>
          <cell r="O179">
            <v>1.2788148464054281</v>
          </cell>
          <cell r="P179">
            <v>1.1413744588863326</v>
          </cell>
          <cell r="Q179">
            <v>0.71823731071012475</v>
          </cell>
          <cell r="R179">
            <v>0.84101134433644587</v>
          </cell>
          <cell r="S179">
            <v>1.2251082266483837</v>
          </cell>
          <cell r="T179">
            <v>1.5651012636603874</v>
          </cell>
          <cell r="U179">
            <v>1.2759510039866273</v>
          </cell>
          <cell r="V179">
            <v>1.107505460703968</v>
          </cell>
          <cell r="W179">
            <v>0.63798485303363595</v>
          </cell>
          <cell r="X179">
            <v>0.62624539967892912</v>
          </cell>
          <cell r="Y179">
            <v>0.67166554183832972</v>
          </cell>
          <cell r="Z179">
            <v>0.492732</v>
          </cell>
          <cell r="AA179">
            <v>0.49918399999999996</v>
          </cell>
          <cell r="AB179">
            <v>0.51242220696340901</v>
          </cell>
          <cell r="AC179">
            <v>0.56820095103565071</v>
          </cell>
          <cell r="AD179">
            <v>0.49314781500982674</v>
          </cell>
          <cell r="AE179">
            <v>0.5050087559041242</v>
          </cell>
        </row>
        <row r="180">
          <cell r="H180">
            <v>0.38265402430108175</v>
          </cell>
          <cell r="I180">
            <v>0.35527809152415585</v>
          </cell>
          <cell r="J180">
            <v>0.31116708068616789</v>
          </cell>
          <cell r="K180">
            <v>0.25877021364421587</v>
          </cell>
          <cell r="L180">
            <v>0.17560040903771046</v>
          </cell>
          <cell r="M180">
            <v>0.28672572315181322</v>
          </cell>
          <cell r="N180">
            <v>0.4039819838893699</v>
          </cell>
          <cell r="O180">
            <v>0.51748079859457219</v>
          </cell>
          <cell r="P180">
            <v>0.46186464611366751</v>
          </cell>
          <cell r="Q180">
            <v>0.29063942928987535</v>
          </cell>
          <cell r="R180">
            <v>0.34032074566355414</v>
          </cell>
          <cell r="S180">
            <v>0.49574806335161636</v>
          </cell>
          <cell r="T180">
            <v>0.63332847133961268</v>
          </cell>
          <cell r="U180">
            <v>0.51632192601337268</v>
          </cell>
          <cell r="V180">
            <v>0.44815933429603194</v>
          </cell>
          <cell r="W180">
            <v>0.25816474696636388</v>
          </cell>
          <cell r="X180">
            <v>0.25341430032107087</v>
          </cell>
          <cell r="Y180">
            <v>0.27179385816167018</v>
          </cell>
          <cell r="Z180">
            <v>0.492732</v>
          </cell>
          <cell r="AA180">
            <v>0.49918399999999996</v>
          </cell>
          <cell r="AB180">
            <v>0.51242220696340901</v>
          </cell>
          <cell r="AC180">
            <v>0.56820095103565071</v>
          </cell>
          <cell r="AD180">
            <v>0.49314781500982674</v>
          </cell>
          <cell r="AE180">
            <v>0.5050087559041242</v>
          </cell>
        </row>
        <row r="181">
          <cell r="H181">
            <v>0.40274807407407415</v>
          </cell>
          <cell r="I181">
            <v>0.37036307407407404</v>
          </cell>
          <cell r="J181">
            <v>0.48768807407407411</v>
          </cell>
          <cell r="K181">
            <v>0.46379207407407413</v>
          </cell>
          <cell r="L181">
            <v>0.53812807407407393</v>
          </cell>
          <cell r="M181">
            <v>0.42164107407407414</v>
          </cell>
          <cell r="N181">
            <v>0.43037807407407414</v>
          </cell>
          <cell r="O181">
            <v>0.50291507407407388</v>
          </cell>
          <cell r="P181">
            <v>0.48163407407407416</v>
          </cell>
          <cell r="Q181">
            <v>0.45580907407407417</v>
          </cell>
          <cell r="R181">
            <v>0.6205150740740738</v>
          </cell>
          <cell r="S181">
            <v>0.56234507407407419</v>
          </cell>
          <cell r="T181">
            <v>0.58473807407407419</v>
          </cell>
          <cell r="U181">
            <v>0.5404590740740739</v>
          </cell>
          <cell r="V181">
            <v>0.42069407407407394</v>
          </cell>
          <cell r="W181">
            <v>1.2428048860740741</v>
          </cell>
          <cell r="X181">
            <v>1.1604115330740739</v>
          </cell>
          <cell r="Y181">
            <v>1.2477731920740742</v>
          </cell>
          <cell r="Z181">
            <v>8.7690780740740752</v>
          </cell>
          <cell r="AA181">
            <v>11.037976074074074</v>
          </cell>
          <cell r="AB181">
            <v>9.3237041313177169</v>
          </cell>
          <cell r="AC181">
            <v>8.7162296123734357</v>
          </cell>
          <cell r="AD181">
            <v>8.4335868012343536</v>
          </cell>
          <cell r="AE181">
            <v>8.7947699601225242</v>
          </cell>
        </row>
        <row r="182">
          <cell r="H182">
            <v>1.2680339999999999</v>
          </cell>
          <cell r="I182">
            <v>3.2701959999999999</v>
          </cell>
          <cell r="J182">
            <v>2.1934979999999999</v>
          </cell>
          <cell r="K182">
            <v>2.1689530000000001</v>
          </cell>
          <cell r="L182">
            <v>1.452771</v>
          </cell>
          <cell r="M182">
            <v>0.90405199999999997</v>
          </cell>
          <cell r="N182">
            <v>1.359175</v>
          </cell>
          <cell r="O182">
            <v>1.5139029999999998</v>
          </cell>
          <cell r="P182">
            <v>2.30301</v>
          </cell>
          <cell r="Q182">
            <v>2.7516340000000001</v>
          </cell>
          <cell r="R182">
            <v>4.7814439999999996</v>
          </cell>
          <cell r="S182">
            <v>4.4062680000000007</v>
          </cell>
          <cell r="T182">
            <v>3.36571</v>
          </cell>
          <cell r="U182">
            <v>3.4345909999999997</v>
          </cell>
          <cell r="V182">
            <v>2.0285880000000001</v>
          </cell>
          <cell r="W182">
            <v>0.95992100000000002</v>
          </cell>
          <cell r="X182">
            <v>1.6628509999999999</v>
          </cell>
          <cell r="Y182">
            <v>1.8797829999999998</v>
          </cell>
          <cell r="Z182">
            <v>2.3661449999999999</v>
          </cell>
          <cell r="AA182">
            <v>3.0826709999999999</v>
          </cell>
          <cell r="AB182">
            <v>3.0169681880581578</v>
          </cell>
          <cell r="AC182">
            <v>2.5401827085011996</v>
          </cell>
          <cell r="AD182">
            <v>2.2922556070064219</v>
          </cell>
          <cell r="AE182">
            <v>2.6029925645564869</v>
          </cell>
        </row>
        <row r="183">
          <cell r="H183">
            <v>0.75905672000000002</v>
          </cell>
          <cell r="I183">
            <v>0.75352307799999996</v>
          </cell>
          <cell r="J183">
            <v>1.0492427340000001</v>
          </cell>
          <cell r="K183">
            <v>0.82287268399999991</v>
          </cell>
          <cell r="L183">
            <v>0.67738382599999991</v>
          </cell>
          <cell r="M183">
            <v>1.2262085980000001</v>
          </cell>
          <cell r="N183">
            <v>0.94672238399999986</v>
          </cell>
          <cell r="O183">
            <v>0.94664478799999996</v>
          </cell>
          <cell r="P183">
            <v>0.89970378400000006</v>
          </cell>
          <cell r="Q183">
            <v>0.77038129399999988</v>
          </cell>
          <cell r="R183">
            <v>1.1871685080000001</v>
          </cell>
          <cell r="S183">
            <v>1.3819149399999999</v>
          </cell>
          <cell r="T183">
            <v>2.1635749979999996</v>
          </cell>
          <cell r="U183">
            <v>1.9397220020000001</v>
          </cell>
          <cell r="V183">
            <v>1.5831111979999999</v>
          </cell>
          <cell r="W183">
            <v>1.026218284</v>
          </cell>
          <cell r="X183">
            <v>1.045345602</v>
          </cell>
          <cell r="Y183">
            <v>1.134643912</v>
          </cell>
          <cell r="Z183">
            <v>7.6951280000000004</v>
          </cell>
          <cell r="AA183">
            <v>4.5313210000000002</v>
          </cell>
          <cell r="AB183">
            <v>4.4960725606</v>
          </cell>
          <cell r="AC183">
            <v>4.5696217040999993</v>
          </cell>
          <cell r="AD183">
            <v>4.8413475147999998</v>
          </cell>
          <cell r="AE183">
            <v>5.1556288689000001</v>
          </cell>
        </row>
        <row r="184">
          <cell r="H184">
            <v>1.5868732800000001</v>
          </cell>
          <cell r="I184">
            <v>1.5850439220000003</v>
          </cell>
          <cell r="J184">
            <v>2.1840582660000001</v>
          </cell>
          <cell r="K184">
            <v>1.6983533159999999</v>
          </cell>
          <cell r="L184">
            <v>1.4102051739999999</v>
          </cell>
          <cell r="M184">
            <v>2.5247384019999997</v>
          </cell>
          <cell r="N184">
            <v>1.9978036160000001</v>
          </cell>
          <cell r="O184">
            <v>1.9580872119999999</v>
          </cell>
          <cell r="P184">
            <v>1.839522216</v>
          </cell>
          <cell r="Q184">
            <v>1.601259706</v>
          </cell>
          <cell r="R184">
            <v>2.454743492</v>
          </cell>
          <cell r="S184">
            <v>2.82329506</v>
          </cell>
          <cell r="T184">
            <v>4.3995720020000002</v>
          </cell>
          <cell r="U184">
            <v>3.9502809980000002</v>
          </cell>
          <cell r="V184">
            <v>3.2548358020000001</v>
          </cell>
          <cell r="W184">
            <v>3.1835925159999996</v>
          </cell>
          <cell r="X184">
            <v>3.2696349979999999</v>
          </cell>
          <cell r="Y184">
            <v>3.3710648879999998</v>
          </cell>
          <cell r="Z184">
            <v>7.6951280000000004</v>
          </cell>
          <cell r="AA184">
            <v>4.5313210000000002</v>
          </cell>
          <cell r="AB184">
            <v>4.4960725606</v>
          </cell>
          <cell r="AC184">
            <v>4.5696217040999993</v>
          </cell>
          <cell r="AD184">
            <v>4.8413475147999998</v>
          </cell>
          <cell r="AE184">
            <v>5.1556288689000001</v>
          </cell>
        </row>
        <row r="185">
          <cell r="H185">
            <v>2.0197172999999999</v>
          </cell>
          <cell r="I185">
            <v>2.4033025800000001</v>
          </cell>
          <cell r="J185">
            <v>1.6100873399999998</v>
          </cell>
          <cell r="K185">
            <v>2.2882799</v>
          </cell>
          <cell r="L185">
            <v>2.8939977200000002</v>
          </cell>
          <cell r="M185">
            <v>2.6208346827820002</v>
          </cell>
          <cell r="N185">
            <v>2.808180909576</v>
          </cell>
          <cell r="O185">
            <v>2.4410076620000001</v>
          </cell>
          <cell r="P185">
            <v>3.4118360120000002</v>
          </cell>
          <cell r="Q185">
            <v>4.6980795400000002</v>
          </cell>
          <cell r="R185">
            <v>5.0203619890400004</v>
          </cell>
          <cell r="S185">
            <v>6.1223928520000008</v>
          </cell>
          <cell r="T185">
            <v>6.8415446340000008</v>
          </cell>
          <cell r="U185">
            <v>6.7605348059999999</v>
          </cell>
          <cell r="V185">
            <v>5.2803142400000009</v>
          </cell>
          <cell r="W185">
            <v>4.7062230000000014</v>
          </cell>
          <cell r="X185">
            <v>4.0795029999999999</v>
          </cell>
          <cell r="Y185">
            <v>5.6370279999999999</v>
          </cell>
          <cell r="Z185">
            <v>3.2726250000000001</v>
          </cell>
          <cell r="AA185">
            <v>4.1234289999999998</v>
          </cell>
          <cell r="AB185">
            <v>4.1990751697822688</v>
          </cell>
          <cell r="AC185">
            <v>3.9559845486033547</v>
          </cell>
          <cell r="AD185">
            <v>4.2245626971251937</v>
          </cell>
          <cell r="AE185">
            <v>4.3471217789162413</v>
          </cell>
        </row>
        <row r="186">
          <cell r="H186">
            <v>3.9206276999999998</v>
          </cell>
          <cell r="I186">
            <v>5.0675564199999998</v>
          </cell>
          <cell r="J186">
            <v>3.3396976600000001</v>
          </cell>
          <cell r="K186">
            <v>4.6083171000000016</v>
          </cell>
          <cell r="L186">
            <v>5.7593702800000006</v>
          </cell>
          <cell r="M186">
            <v>5.3036676835180003</v>
          </cell>
          <cell r="N186">
            <v>5.8835187068239998</v>
          </cell>
          <cell r="O186">
            <v>5.0332471999999999</v>
          </cell>
          <cell r="P186">
            <v>6.8259360000000013</v>
          </cell>
          <cell r="Q186">
            <v>9.5154594599999989</v>
          </cell>
          <cell r="R186">
            <v>10.112064566960001</v>
          </cell>
          <cell r="S186">
            <v>12.42666404</v>
          </cell>
          <cell r="T186">
            <v>13.837188780000002</v>
          </cell>
          <cell r="U186">
            <v>13.824212319999997</v>
          </cell>
          <cell r="V186">
            <v>10.725069760000002</v>
          </cell>
          <cell r="W186">
            <v>7.2359570000000009</v>
          </cell>
          <cell r="X186">
            <v>9.5127849999999992</v>
          </cell>
          <cell r="Y186">
            <v>8.7675900000000002</v>
          </cell>
          <cell r="Z186">
            <v>3.607186</v>
          </cell>
          <cell r="AA186">
            <v>4.0182390000000003</v>
          </cell>
          <cell r="AB186">
            <v>4.2711939641417151</v>
          </cell>
          <cell r="AC186">
            <v>4.5946027044206739</v>
          </cell>
          <cell r="AD186">
            <v>4.429112704129059</v>
          </cell>
          <cell r="AE186">
            <v>4.328169119778071</v>
          </cell>
        </row>
        <row r="207">
          <cell r="G207" t="str">
            <v>Low</v>
          </cell>
          <cell r="H207">
            <v>42.389799174074071</v>
          </cell>
          <cell r="I207">
            <v>36.465809974074077</v>
          </cell>
          <cell r="J207">
            <v>35.569335074074075</v>
          </cell>
          <cell r="K207">
            <v>38.272286974074078</v>
          </cell>
          <cell r="L207">
            <v>34.157084474074075</v>
          </cell>
          <cell r="M207">
            <v>35.53257534037408</v>
          </cell>
          <cell r="N207">
            <v>36.773434690474069</v>
          </cell>
          <cell r="O207">
            <v>42.359566936074067</v>
          </cell>
          <cell r="P207">
            <v>51.593021086074074</v>
          </cell>
          <cell r="Q207">
            <v>51.05823207407407</v>
          </cell>
          <cell r="R207">
            <v>58.828523630074066</v>
          </cell>
          <cell r="S207">
            <v>69.276658966074081</v>
          </cell>
          <cell r="T207">
            <v>78.406612488074074</v>
          </cell>
          <cell r="U207">
            <v>74.656716200074086</v>
          </cell>
          <cell r="V207">
            <v>62.619136074074078</v>
          </cell>
          <cell r="W207">
            <v>48.797968286074081</v>
          </cell>
          <cell r="X207">
            <v>52.20252758307408</v>
          </cell>
          <cell r="Y207">
            <v>51.00957789207407</v>
          </cell>
          <cell r="Z207">
            <v>67.083563074074078</v>
          </cell>
          <cell r="AA207">
            <v>72.079969074074057</v>
          </cell>
          <cell r="AB207">
            <v>65.729459982444979</v>
          </cell>
          <cell r="AC207">
            <v>64.942320409137878</v>
          </cell>
          <cell r="AD207">
            <v>63.362334928324181</v>
          </cell>
          <cell r="AE207">
            <v>65.142943044759335</v>
          </cell>
        </row>
        <row r="214">
          <cell r="G214">
            <v>1986</v>
          </cell>
          <cell r="H214">
            <v>1987</v>
          </cell>
          <cell r="I214">
            <v>1988</v>
          </cell>
          <cell r="J214">
            <v>1989</v>
          </cell>
          <cell r="K214">
            <v>1990</v>
          </cell>
          <cell r="L214">
            <v>1991</v>
          </cell>
          <cell r="M214">
            <v>1992</v>
          </cell>
          <cell r="N214">
            <v>1993</v>
          </cell>
          <cell r="O214">
            <v>1994</v>
          </cell>
          <cell r="P214">
            <v>1995</v>
          </cell>
          <cell r="Q214">
            <v>1996</v>
          </cell>
          <cell r="R214">
            <v>1997</v>
          </cell>
          <cell r="S214">
            <v>1998</v>
          </cell>
          <cell r="T214">
            <v>1999</v>
          </cell>
          <cell r="U214">
            <v>2000</v>
          </cell>
          <cell r="V214">
            <v>2001</v>
          </cell>
          <cell r="W214">
            <v>2002</v>
          </cell>
          <cell r="X214">
            <v>2003</v>
          </cell>
          <cell r="Y214">
            <v>2004</v>
          </cell>
          <cell r="Z214">
            <v>2005</v>
          </cell>
          <cell r="AA214">
            <v>2006</v>
          </cell>
          <cell r="AB214">
            <v>2007</v>
          </cell>
          <cell r="AC214">
            <v>2008</v>
          </cell>
          <cell r="AD214">
            <v>2009</v>
          </cell>
          <cell r="AE214">
            <v>2010</v>
          </cell>
        </row>
        <row r="216">
          <cell r="G216">
            <v>208998.69198523989</v>
          </cell>
          <cell r="H216">
            <v>200145.98024940802</v>
          </cell>
          <cell r="I216">
            <v>204298.48758186327</v>
          </cell>
          <cell r="J216">
            <v>212514.47308934119</v>
          </cell>
          <cell r="K216">
            <v>218248.8879770175</v>
          </cell>
          <cell r="L216">
            <v>230735.79972918943</v>
          </cell>
          <cell r="M216">
            <v>231528.43027437758</v>
          </cell>
          <cell r="N216">
            <v>244878.83743148466</v>
          </cell>
          <cell r="O216">
            <v>242786.25970780815</v>
          </cell>
          <cell r="P216">
            <v>255559.09058324914</v>
          </cell>
          <cell r="Q216">
            <v>268008.32621918456</v>
          </cell>
          <cell r="R216">
            <v>265489.37581064156</v>
          </cell>
          <cell r="S216">
            <v>272482.6174634418</v>
          </cell>
          <cell r="T216">
            <v>284410.89610058442</v>
          </cell>
          <cell r="U216">
            <v>300017.95217937022</v>
          </cell>
          <cell r="V216">
            <v>317942.85702325829</v>
          </cell>
          <cell r="W216">
            <v>335695.10260296741</v>
          </cell>
          <cell r="X216">
            <v>348922.95366756298</v>
          </cell>
          <cell r="Y216">
            <v>353537.99027757213</v>
          </cell>
          <cell r="Z216">
            <v>354596.7797693297</v>
          </cell>
          <cell r="AA216">
            <v>359853.55392939574</v>
          </cell>
          <cell r="AB216">
            <v>355546.86718435638</v>
          </cell>
          <cell r="AC216">
            <v>351120.83370566339</v>
          </cell>
          <cell r="AD216">
            <v>353655.16843746061</v>
          </cell>
          <cell r="AE216">
            <v>360684.15806895884</v>
          </cell>
        </row>
        <row r="217">
          <cell r="G217">
            <v>73536.576809621445</v>
          </cell>
          <cell r="H217">
            <v>90173.965820167112</v>
          </cell>
          <cell r="I217">
            <v>92044.840537701777</v>
          </cell>
          <cell r="J217">
            <v>95746.478689050549</v>
          </cell>
          <cell r="K217">
            <v>98330.06758469365</v>
          </cell>
          <cell r="L217">
            <v>103955.93302619121</v>
          </cell>
          <cell r="M217">
            <v>104313.04556775086</v>
          </cell>
          <cell r="N217">
            <v>110327.95107407245</v>
          </cell>
          <cell r="O217">
            <v>109385.15905848605</v>
          </cell>
          <cell r="P217">
            <v>115139.84278160419</v>
          </cell>
          <cell r="Q217">
            <v>120748.73358881973</v>
          </cell>
          <cell r="R217">
            <v>119613.84320651177</v>
          </cell>
          <cell r="S217">
            <v>122764.58514490072</v>
          </cell>
          <cell r="T217">
            <v>128138.76347603065</v>
          </cell>
          <cell r="U217">
            <v>135170.38179605946</v>
          </cell>
          <cell r="V217">
            <v>143246.28596714657</v>
          </cell>
          <cell r="W217">
            <v>151244.40006437257</v>
          </cell>
          <cell r="X217">
            <v>157204.08902883093</v>
          </cell>
          <cell r="Y217">
            <v>159283.35213974226</v>
          </cell>
          <cell r="Z217">
            <v>162515.65727255808</v>
          </cell>
          <cell r="AA217">
            <v>167612.08530117007</v>
          </cell>
          <cell r="AB217">
            <v>168423.08861424751</v>
          </cell>
          <cell r="AC217">
            <v>169187.35438208625</v>
          </cell>
          <cell r="AD217">
            <v>173048.3572794295</v>
          </cell>
          <cell r="AE217">
            <v>179117.10252840212</v>
          </cell>
        </row>
        <row r="218">
          <cell r="G218">
            <v>104499.34599261994</v>
          </cell>
          <cell r="H218">
            <v>105807.50910078075</v>
          </cell>
          <cell r="I218">
            <v>108002.7390865257</v>
          </cell>
          <cell r="J218">
            <v>112346.13364419344</v>
          </cell>
          <cell r="K218">
            <v>115377.64171974598</v>
          </cell>
          <cell r="L218">
            <v>121978.86862029215</v>
          </cell>
          <cell r="M218">
            <v>122397.89409119615</v>
          </cell>
          <cell r="N218">
            <v>129455.60928994505</v>
          </cell>
          <cell r="O218">
            <v>128349.36455664544</v>
          </cell>
          <cell r="P218">
            <v>135101.74308261863</v>
          </cell>
          <cell r="Q218">
            <v>141683.05244094582</v>
          </cell>
          <cell r="R218">
            <v>140351.40507064035</v>
          </cell>
          <cell r="S218">
            <v>144048.39403289961</v>
          </cell>
          <cell r="T218">
            <v>150354.29859757473</v>
          </cell>
          <cell r="U218">
            <v>158604.99504441186</v>
          </cell>
          <cell r="V218">
            <v>168081.02613950011</v>
          </cell>
          <cell r="W218">
            <v>177465.78062417047</v>
          </cell>
          <cell r="X218">
            <v>184458.70633847601</v>
          </cell>
          <cell r="Y218">
            <v>186898.45320476568</v>
          </cell>
          <cell r="Z218">
            <v>186028.83658052023</v>
          </cell>
          <cell r="AA218">
            <v>187392.62346713556</v>
          </cell>
          <cell r="AB218">
            <v>183688.58010542323</v>
          </cell>
          <cell r="AC218">
            <v>179917.79537687683</v>
          </cell>
          <cell r="AD218">
            <v>179846.95356055681</v>
          </cell>
          <cell r="AE218">
            <v>182057.43147324634</v>
          </cell>
        </row>
        <row r="219">
          <cell r="G219">
            <v>13423.836588687245</v>
          </cell>
          <cell r="H219">
            <v>21791.875763514865</v>
          </cell>
          <cell r="I219">
            <v>22224.659925521173</v>
          </cell>
          <cell r="J219">
            <v>22732.952835002077</v>
          </cell>
          <cell r="K219">
            <v>23080.895311996119</v>
          </cell>
          <cell r="L219">
            <v>24394.967985397427</v>
          </cell>
          <cell r="M219">
            <v>24342.77819338522</v>
          </cell>
          <cell r="N219">
            <v>25847.114822320538</v>
          </cell>
          <cell r="O219">
            <v>25597.201842348808</v>
          </cell>
          <cell r="P219">
            <v>26685.15216798272</v>
          </cell>
          <cell r="Q219">
            <v>27183.979842094126</v>
          </cell>
          <cell r="R219">
            <v>26370.318525564584</v>
          </cell>
          <cell r="S219">
            <v>26408.046610476242</v>
          </cell>
          <cell r="T219">
            <v>27113.984701041256</v>
          </cell>
          <cell r="U219">
            <v>28084.473978898819</v>
          </cell>
          <cell r="V219">
            <v>29362.800335296797</v>
          </cell>
          <cell r="W219">
            <v>30805.387561284086</v>
          </cell>
          <cell r="X219">
            <v>32039.384416567875</v>
          </cell>
          <cell r="Y219">
            <v>32288.612309161115</v>
          </cell>
          <cell r="Z219">
            <v>32756.354184115167</v>
          </cell>
          <cell r="AA219">
            <v>33718.918515821199</v>
          </cell>
          <cell r="AB219">
            <v>33600.302576498187</v>
          </cell>
          <cell r="AC219">
            <v>33338.384168395656</v>
          </cell>
          <cell r="AD219">
            <v>33752.759044080267</v>
          </cell>
          <cell r="AE219">
            <v>34616.681984882525</v>
          </cell>
        </row>
        <row r="220">
          <cell r="G220">
            <v>42956.277083799177</v>
          </cell>
          <cell r="H220">
            <v>40249.231290308788</v>
          </cell>
          <cell r="I220">
            <v>41048.576423532184</v>
          </cell>
          <cell r="J220">
            <v>41987.384954699257</v>
          </cell>
          <cell r="K220">
            <v>42630.028909915964</v>
          </cell>
          <cell r="L220">
            <v>45057.099233644389</v>
          </cell>
          <cell r="M220">
            <v>44960.705557740206</v>
          </cell>
          <cell r="N220">
            <v>47739.190235863898</v>
          </cell>
          <cell r="O220">
            <v>47277.605127611147</v>
          </cell>
          <cell r="P220">
            <v>49287.03124420641</v>
          </cell>
          <cell r="Q220">
            <v>50208.35764342035</v>
          </cell>
          <cell r="R220">
            <v>48705.538754566136</v>
          </cell>
          <cell r="S220">
            <v>48775.221898515229</v>
          </cell>
          <cell r="T220">
            <v>50079.077784632274</v>
          </cell>
          <cell r="U220">
            <v>51871.555303921945</v>
          </cell>
          <cell r="V220">
            <v>54232.602775994215</v>
          </cell>
          <cell r="W220">
            <v>56897.037336162713</v>
          </cell>
          <cell r="X220">
            <v>59176.208958597657</v>
          </cell>
          <cell r="Y220">
            <v>59636.528721881943</v>
          </cell>
          <cell r="Z220">
            <v>59267.380594230824</v>
          </cell>
          <cell r="AA220">
            <v>59661.108667141169</v>
          </cell>
          <cell r="AB220">
            <v>58346.611071043306</v>
          </cell>
          <cell r="AC220">
            <v>56953.433458145395</v>
          </cell>
          <cell r="AD220">
            <v>56761.820168837978</v>
          </cell>
          <cell r="AE220">
            <v>57298.25438694148</v>
          </cell>
        </row>
        <row r="221">
          <cell r="G221">
            <v>10739.069270949794</v>
          </cell>
          <cell r="H221">
            <v>10062.307822577197</v>
          </cell>
          <cell r="I221">
            <v>10262.144105883046</v>
          </cell>
          <cell r="J221">
            <v>10496.846238674814</v>
          </cell>
          <cell r="K221">
            <v>10657.507227478991</v>
          </cell>
          <cell r="L221">
            <v>11264.274808411097</v>
          </cell>
          <cell r="M221">
            <v>11240.176389435052</v>
          </cell>
          <cell r="N221">
            <v>11934.797558965975</v>
          </cell>
          <cell r="O221">
            <v>11819.401281902787</v>
          </cell>
          <cell r="P221">
            <v>12321.757811051602</v>
          </cell>
          <cell r="Q221">
            <v>12552.089410855087</v>
          </cell>
          <cell r="R221">
            <v>12176.384688641534</v>
          </cell>
          <cell r="S221">
            <v>12193.805474628807</v>
          </cell>
          <cell r="T221">
            <v>12519.769446158069</v>
          </cell>
          <cell r="U221">
            <v>12967.888825980486</v>
          </cell>
          <cell r="V221">
            <v>13558.150693998554</v>
          </cell>
          <cell r="W221">
            <v>14224.259334040678</v>
          </cell>
          <cell r="X221">
            <v>14794.052239649414</v>
          </cell>
          <cell r="Y221">
            <v>14909.132180470486</v>
          </cell>
          <cell r="Z221">
            <v>16089.783930114661</v>
          </cell>
          <cell r="AA221">
            <v>17617.092653342384</v>
          </cell>
          <cell r="AB221">
            <v>18419.311769849035</v>
          </cell>
          <cell r="AC221">
            <v>19009.848165719726</v>
          </cell>
          <cell r="AD221">
            <v>19949.851202602753</v>
          </cell>
          <cell r="AE221">
            <v>21177.433659989274</v>
          </cell>
        </row>
        <row r="222">
          <cell r="G222">
            <v>22373.060981145409</v>
          </cell>
          <cell r="H222">
            <v>19427.476132820269</v>
          </cell>
          <cell r="I222">
            <v>19813.303588395116</v>
          </cell>
          <cell r="J222">
            <v>20266.447157796101</v>
          </cell>
          <cell r="K222">
            <v>20576.638177640001</v>
          </cell>
          <cell r="L222">
            <v>21748.135105042526</v>
          </cell>
          <cell r="M222">
            <v>21701.60786022446</v>
          </cell>
          <cell r="N222">
            <v>23042.725268910268</v>
          </cell>
          <cell r="O222">
            <v>22819.927630635757</v>
          </cell>
          <cell r="P222">
            <v>23789.836288996135</v>
          </cell>
          <cell r="Q222">
            <v>24234.541592860558</v>
          </cell>
          <cell r="R222">
            <v>23509.161823876082</v>
          </cell>
          <cell r="S222">
            <v>23542.796444278309</v>
          </cell>
          <cell r="T222">
            <v>24172.140863938701</v>
          </cell>
          <cell r="U222">
            <v>25037.332896388816</v>
          </cell>
          <cell r="V222">
            <v>26176.96195119722</v>
          </cell>
          <cell r="W222">
            <v>27463.02971362921</v>
          </cell>
          <cell r="X222">
            <v>28563.138979768595</v>
          </cell>
          <cell r="Y222">
            <v>28785.325862051341</v>
          </cell>
          <cell r="Z222">
            <v>28924.071606197242</v>
          </cell>
          <cell r="AA222">
            <v>29469.866159102188</v>
          </cell>
          <cell r="AB222">
            <v>29116.933433380244</v>
          </cell>
          <cell r="AC222">
            <v>28678.217716061263</v>
          </cell>
          <cell r="AD222">
            <v>28831.690819149815</v>
          </cell>
          <cell r="AE222">
            <v>29362.860829323748</v>
          </cell>
        </row>
        <row r="223">
          <cell r="G223">
            <v>4115.706901028545</v>
          </cell>
          <cell r="H223">
            <v>4205.010520242442</v>
          </cell>
          <cell r="I223">
            <v>4292.0902136220993</v>
          </cell>
          <cell r="J223">
            <v>4385.1340717390349</v>
          </cell>
          <cell r="K223">
            <v>4578.7455890095252</v>
          </cell>
          <cell r="L223">
            <v>4925.2542379471824</v>
          </cell>
          <cell r="M223">
            <v>5059.9086971479355</v>
          </cell>
          <cell r="N223">
            <v>5491.2305796720329</v>
          </cell>
          <cell r="O223">
            <v>5593.5954805401325</v>
          </cell>
          <cell r="P223">
            <v>5926.3175733184044</v>
          </cell>
          <cell r="Q223">
            <v>6182.9348882424329</v>
          </cell>
          <cell r="R223">
            <v>6169.7723192810736</v>
          </cell>
          <cell r="S223">
            <v>6245.6036993975076</v>
          </cell>
          <cell r="T223">
            <v>6577.8422959626059</v>
          </cell>
          <cell r="U223">
            <v>6928.8339007962168</v>
          </cell>
          <cell r="V223">
            <v>7490.3140941843267</v>
          </cell>
          <cell r="W223">
            <v>8257.6043067687824</v>
          </cell>
          <cell r="X223">
            <v>8802.0048065065639</v>
          </cell>
          <cell r="Y223">
            <v>9009.5800347258555</v>
          </cell>
          <cell r="Z223">
            <v>9145.9892087019052</v>
          </cell>
          <cell r="AA223">
            <v>9211.6710302419669</v>
          </cell>
          <cell r="AB223">
            <v>9178.9855009367984</v>
          </cell>
          <cell r="AC223">
            <v>9148.5358510380192</v>
          </cell>
          <cell r="AD223">
            <v>9307.2672479613648</v>
          </cell>
          <cell r="AE223">
            <v>9585.7986641014031</v>
          </cell>
        </row>
        <row r="224">
          <cell r="G224">
            <v>7052.2389172900575</v>
          </cell>
          <cell r="H224">
            <v>7205.2601294462738</v>
          </cell>
          <cell r="I224">
            <v>7354.4706581173587</v>
          </cell>
          <cell r="J224">
            <v>7513.9007470440247</v>
          </cell>
          <cell r="K224">
            <v>7845.6529125321231</v>
          </cell>
          <cell r="L224">
            <v>8439.3933896795734</v>
          </cell>
          <cell r="M224">
            <v>8670.1229922479361</v>
          </cell>
          <cell r="N224">
            <v>9409.1904328995261</v>
          </cell>
          <cell r="O224">
            <v>9584.5920722840365</v>
          </cell>
          <cell r="P224">
            <v>10154.709368719003</v>
          </cell>
          <cell r="Q224">
            <v>10594.421587950512</v>
          </cell>
          <cell r="R224">
            <v>10571.867605533151</v>
          </cell>
          <cell r="S224">
            <v>10701.80421736411</v>
          </cell>
          <cell r="T224">
            <v>11271.093045957972</v>
          </cell>
          <cell r="U224">
            <v>11872.515040957445</v>
          </cell>
          <cell r="V224">
            <v>12834.607961157768</v>
          </cell>
          <cell r="W224">
            <v>14047.589314524124</v>
          </cell>
          <cell r="X224">
            <v>15152.652396838437</v>
          </cell>
          <cell r="Y224">
            <v>15479.510456527292</v>
          </cell>
          <cell r="Z224">
            <v>15798.174448709171</v>
          </cell>
          <cell r="AA224">
            <v>16024.318633545427</v>
          </cell>
          <cell r="AB224">
            <v>15915.266706434264</v>
          </cell>
          <cell r="AC224">
            <v>15890.102655033168</v>
          </cell>
          <cell r="AD224">
            <v>16206.894670169306</v>
          </cell>
          <cell r="AE224">
            <v>16751.236087215875</v>
          </cell>
        </row>
        <row r="225">
          <cell r="G225">
            <v>50887.549088008323</v>
          </cell>
          <cell r="H225">
            <v>52096.128378848516</v>
          </cell>
          <cell r="I225">
            <v>53891.473390088919</v>
          </cell>
          <cell r="J225">
            <v>55301.704088136066</v>
          </cell>
          <cell r="K225">
            <v>56320.720929326286</v>
          </cell>
          <cell r="L225">
            <v>59598.948196798665</v>
          </cell>
          <cell r="M225">
            <v>59875.038133999398</v>
          </cell>
          <cell r="N225">
            <v>63090.538108352572</v>
          </cell>
          <cell r="O225">
            <v>62290.990920621967</v>
          </cell>
          <cell r="P225">
            <v>65911.63038498332</v>
          </cell>
          <cell r="Q225">
            <v>68983.639135362406</v>
          </cell>
          <cell r="R225">
            <v>69732.96582170199</v>
          </cell>
          <cell r="S225">
            <v>71331.440918664593</v>
          </cell>
          <cell r="T225">
            <v>74031.11753504441</v>
          </cell>
          <cell r="U225">
            <v>76942.356081206293</v>
          </cell>
          <cell r="V225">
            <v>81143.432123224557</v>
          </cell>
          <cell r="W225">
            <v>85690.254182846576</v>
          </cell>
          <cell r="X225">
            <v>88772.478710730531</v>
          </cell>
          <cell r="Y225">
            <v>89611.133454044131</v>
          </cell>
          <cell r="Z225">
            <v>90910.782716700836</v>
          </cell>
          <cell r="AA225">
            <v>92712.944275381815</v>
          </cell>
          <cell r="AB225">
            <v>92106.864078517261</v>
          </cell>
          <cell r="AC225">
            <v>91226.675126907721</v>
          </cell>
          <cell r="AD225">
            <v>92126.824590314762</v>
          </cell>
          <cell r="AE225">
            <v>94226.839366206506</v>
          </cell>
        </row>
        <row r="226">
          <cell r="G226">
            <v>19812.879259651741</v>
          </cell>
          <cell r="H226">
            <v>18032.884427272984</v>
          </cell>
          <cell r="I226">
            <v>18390.850686182566</v>
          </cell>
          <cell r="J226">
            <v>18811.272058336421</v>
          </cell>
          <cell r="K226">
            <v>19099.063705396456</v>
          </cell>
          <cell r="L226">
            <v>20186.310587606091</v>
          </cell>
          <cell r="M226">
            <v>20143.040724556799</v>
          </cell>
          <cell r="N226">
            <v>21387.69116528075</v>
          </cell>
          <cell r="O226">
            <v>21180.748251774428</v>
          </cell>
          <cell r="P226">
            <v>22080.758751653964</v>
          </cell>
          <cell r="Q226">
            <v>22493.41427857352</v>
          </cell>
          <cell r="R226">
            <v>21820.012288958882</v>
          </cell>
          <cell r="S226">
            <v>21851.072681430713</v>
          </cell>
          <cell r="T226">
            <v>22435.037007354465</v>
          </cell>
          <cell r="U226">
            <v>23237.856100070774</v>
          </cell>
          <cell r="V226">
            <v>24295.423566588957</v>
          </cell>
          <cell r="W226">
            <v>25676.409631101869</v>
          </cell>
          <cell r="X226">
            <v>26947.489232296917</v>
          </cell>
          <cell r="Y226">
            <v>27352.311253779546</v>
          </cell>
          <cell r="Z226">
            <v>27335.965576247774</v>
          </cell>
          <cell r="AA226">
            <v>27602.57300118457</v>
          </cell>
          <cell r="AB226">
            <v>27114.80587866436</v>
          </cell>
          <cell r="AC226">
            <v>26610.841990217854</v>
          </cell>
          <cell r="AD226">
            <v>26693.236756604154</v>
          </cell>
          <cell r="AE226">
            <v>27154.544217813003</v>
          </cell>
        </row>
        <row r="227">
          <cell r="G227">
            <v>7419.0906995658279</v>
          </cell>
          <cell r="H227">
            <v>10929.866269561855</v>
          </cell>
          <cell r="I227">
            <v>11146.832299299163</v>
          </cell>
          <cell r="J227">
            <v>11401.652840795985</v>
          </cell>
          <cell r="K227">
            <v>11576.085512870666</v>
          </cell>
          <cell r="L227">
            <v>12235.073988756241</v>
          </cell>
          <cell r="M227">
            <v>12208.847800786238</v>
          </cell>
          <cell r="N227">
            <v>12963.239752020037</v>
          </cell>
          <cell r="O227">
            <v>12837.810102693569</v>
          </cell>
          <cell r="P227">
            <v>13383.313205347922</v>
          </cell>
          <cell r="Q227">
            <v>13633.426809902779</v>
          </cell>
          <cell r="R227">
            <v>13225.27282201311</v>
          </cell>
          <cell r="S227">
            <v>13244.098758449756</v>
          </cell>
          <cell r="T227">
            <v>13598.043908726899</v>
          </cell>
          <cell r="U227">
            <v>14084.638571795298</v>
          </cell>
          <cell r="V227">
            <v>14725.638131610645</v>
          </cell>
          <cell r="W227">
            <v>15562.664125213003</v>
          </cell>
          <cell r="X227">
            <v>16333.074988492226</v>
          </cell>
          <cell r="Y227">
            <v>16578.44064674971</v>
          </cell>
          <cell r="Z227">
            <v>16857.311575218704</v>
          </cell>
          <cell r="AA227">
            <v>17266.656645919924</v>
          </cell>
          <cell r="AB227">
            <v>17209.046241024487</v>
          </cell>
          <cell r="AC227">
            <v>17136.3703707032</v>
          </cell>
          <cell r="AD227">
            <v>17456.408368183093</v>
          </cell>
          <cell r="AE227">
            <v>18058.866872371669</v>
          </cell>
        </row>
        <row r="228">
          <cell r="G228">
            <v>83364.422267462985</v>
          </cell>
          <cell r="H228">
            <v>83832.227579195271</v>
          </cell>
          <cell r="I228">
            <v>84473.651357137482</v>
          </cell>
          <cell r="J228">
            <v>85669.000717749455</v>
          </cell>
          <cell r="K228">
            <v>86953.915160136385</v>
          </cell>
          <cell r="L228">
            <v>91285.461447874812</v>
          </cell>
          <cell r="M228">
            <v>90938.245242666802</v>
          </cell>
          <cell r="N228">
            <v>95719.927133708654</v>
          </cell>
          <cell r="O228">
            <v>93952.396537730761</v>
          </cell>
          <cell r="P228">
            <v>96705.968870619268</v>
          </cell>
          <cell r="Q228">
            <v>98084.385907262404</v>
          </cell>
          <cell r="R228">
            <v>94854.133820205563</v>
          </cell>
          <cell r="S228">
            <v>94531.289301758676</v>
          </cell>
          <cell r="T228">
            <v>96314.095346684699</v>
          </cell>
          <cell r="U228">
            <v>98468.71184276056</v>
          </cell>
          <cell r="V228">
            <v>101998.44637128555</v>
          </cell>
          <cell r="W228">
            <v>108335.20040286546</v>
          </cell>
          <cell r="X228">
            <v>114395.71234984108</v>
          </cell>
          <cell r="Y228">
            <v>116727.38959742447</v>
          </cell>
          <cell r="Z228">
            <v>141998.01843454241</v>
          </cell>
          <cell r="AA228">
            <v>171946.05794425026</v>
          </cell>
          <cell r="AB228">
            <v>192464.78312542022</v>
          </cell>
          <cell r="AC228">
            <v>208908.64373695463</v>
          </cell>
          <cell r="AD228">
            <v>228706.45614921703</v>
          </cell>
          <cell r="AE228">
            <v>252084.95499626573</v>
          </cell>
        </row>
        <row r="229">
          <cell r="G229">
            <v>12778.134917081974</v>
          </cell>
          <cell r="H229">
            <v>12894.186073617273</v>
          </cell>
          <cell r="I229">
            <v>13178.009408971293</v>
          </cell>
          <cell r="J229">
            <v>13341.082749817862</v>
          </cell>
          <cell r="K229">
            <v>13581.568601140933</v>
          </cell>
          <cell r="L229">
            <v>14287.410756019724</v>
          </cell>
          <cell r="M229">
            <v>14217.523844548945</v>
          </cell>
          <cell r="N229">
            <v>14955.493690163396</v>
          </cell>
          <cell r="O229">
            <v>14749.068526871995</v>
          </cell>
          <cell r="P229">
            <v>15217.615920965041</v>
          </cell>
          <cell r="Q229">
            <v>15615.500853886677</v>
          </cell>
          <cell r="R229">
            <v>15768.602167633129</v>
          </cell>
          <cell r="S229">
            <v>16113.909210513591</v>
          </cell>
          <cell r="T229">
            <v>16679.827859739111</v>
          </cell>
          <cell r="U229">
            <v>17277.728711114269</v>
          </cell>
          <cell r="V229">
            <v>17914.590049087761</v>
          </cell>
          <cell r="W229">
            <v>18631.873619577422</v>
          </cell>
          <cell r="X229">
            <v>19246.310352174143</v>
          </cell>
          <cell r="Y229">
            <v>19226.799168199374</v>
          </cell>
          <cell r="Z229">
            <v>19109.077435323827</v>
          </cell>
          <cell r="AA229">
            <v>19277.963444280296</v>
          </cell>
          <cell r="AB229">
            <v>18940.524142835653</v>
          </cell>
          <cell r="AC229">
            <v>18579.144573461443</v>
          </cell>
          <cell r="AD229">
            <v>18559.369474301344</v>
          </cell>
          <cell r="AE229">
            <v>18786.218095097855</v>
          </cell>
        </row>
        <row r="230">
          <cell r="G230">
            <v>19927.728810231933</v>
          </cell>
          <cell r="H230">
            <v>20387.498878375507</v>
          </cell>
          <cell r="I230">
            <v>21039.067675030969</v>
          </cell>
          <cell r="J230">
            <v>21751.96518935723</v>
          </cell>
          <cell r="K230">
            <v>22543.066584433152</v>
          </cell>
          <cell r="L230">
            <v>23942.959888780144</v>
          </cell>
          <cell r="M230">
            <v>24443.241717863308</v>
          </cell>
          <cell r="N230">
            <v>25857.012921133639</v>
          </cell>
          <cell r="O230">
            <v>26019.551101581019</v>
          </cell>
          <cell r="P230">
            <v>27043.216886545717</v>
          </cell>
          <cell r="Q230">
            <v>27714.128414291805</v>
          </cell>
          <cell r="R230">
            <v>27458.778506721221</v>
          </cell>
          <cell r="S230">
            <v>28235.725930746761</v>
          </cell>
          <cell r="T230">
            <v>30700.328022192367</v>
          </cell>
          <cell r="U230">
            <v>33048.146988518049</v>
          </cell>
          <cell r="V230">
            <v>35494.528422093819</v>
          </cell>
          <cell r="W230">
            <v>37620.955907392017</v>
          </cell>
          <cell r="X230">
            <v>39513.733368011992</v>
          </cell>
          <cell r="Y230">
            <v>40010.808440145935</v>
          </cell>
          <cell r="Z230">
            <v>48908.818659119788</v>
          </cell>
          <cell r="AA230">
            <v>52282.519633483942</v>
          </cell>
          <cell r="AB230">
            <v>55374.912449867224</v>
          </cell>
          <cell r="AC230">
            <v>58076.99156480789</v>
          </cell>
          <cell r="AD230">
            <v>62210.734014487818</v>
          </cell>
          <cell r="AE230">
            <v>67374.994373915324</v>
          </cell>
        </row>
        <row r="231">
          <cell r="G231">
            <v>45108.374295171176</v>
          </cell>
          <cell r="H231">
            <v>46149.56065856183</v>
          </cell>
          <cell r="I231">
            <v>47625.090696060222</v>
          </cell>
          <cell r="J231">
            <v>49239.504556032982</v>
          </cell>
          <cell r="K231">
            <v>51031.017404918923</v>
          </cell>
          <cell r="L231">
            <v>54200.373325811925</v>
          </cell>
          <cell r="M231">
            <v>55333.543476117171</v>
          </cell>
          <cell r="N231">
            <v>58534.252384181593</v>
          </cell>
          <cell r="O231">
            <v>58902.884869384878</v>
          </cell>
          <cell r="P231">
            <v>61220.727174027903</v>
          </cell>
          <cell r="Q231">
            <v>62739.911562789377</v>
          </cell>
          <cell r="R231">
            <v>62162.601935177241</v>
          </cell>
          <cell r="S231">
            <v>63922.405058420525</v>
          </cell>
          <cell r="T231">
            <v>69503.539738679581</v>
          </cell>
          <cell r="U231">
            <v>74820.119795511695</v>
          </cell>
          <cell r="V231">
            <v>80359.598457471366</v>
          </cell>
          <cell r="W231">
            <v>86541.70128799032</v>
          </cell>
          <cell r="X231">
            <v>92483.477913026232</v>
          </cell>
          <cell r="Y231">
            <v>94848.756057148668</v>
          </cell>
          <cell r="Z231">
            <v>104876.15733776866</v>
          </cell>
          <cell r="AA231">
            <v>108880.94517899094</v>
          </cell>
          <cell r="AB231">
            <v>111269.29774283603</v>
          </cell>
          <cell r="AC231">
            <v>113174.32196937493</v>
          </cell>
          <cell r="AD231">
            <v>117725.13831993856</v>
          </cell>
          <cell r="AE231">
            <v>124056.03016699647</v>
          </cell>
        </row>
        <row r="232">
          <cell r="G232">
            <v>14732.614363471273</v>
          </cell>
          <cell r="H232">
            <v>15190.025849992297</v>
          </cell>
          <cell r="I232">
            <v>15978.652657210951</v>
          </cell>
          <cell r="J232">
            <v>16358.081684185232</v>
          </cell>
          <cell r="K232">
            <v>16802.815184019466</v>
          </cell>
          <cell r="L232">
            <v>17995.075095351578</v>
          </cell>
          <cell r="M232">
            <v>18068.872042573646</v>
          </cell>
          <cell r="N232">
            <v>19587.401185481136</v>
          </cell>
          <cell r="O232">
            <v>19396.744558816688</v>
          </cell>
          <cell r="P232">
            <v>20469.625724466405</v>
          </cell>
          <cell r="Q232">
            <v>22021.466826109994</v>
          </cell>
          <cell r="R232">
            <v>22443.493824552352</v>
          </cell>
          <cell r="S232">
            <v>23154.520006260926</v>
          </cell>
          <cell r="T232">
            <v>24297.299686122278</v>
          </cell>
          <cell r="U232">
            <v>25604.628317990238</v>
          </cell>
          <cell r="V232">
            <v>27252.115344501475</v>
          </cell>
          <cell r="W232">
            <v>29326.592850202847</v>
          </cell>
          <cell r="X232">
            <v>31071.045803116915</v>
          </cell>
          <cell r="Y232">
            <v>31809.338088577882</v>
          </cell>
          <cell r="Z232">
            <v>32253.678455315665</v>
          </cell>
          <cell r="AA232">
            <v>33031.407872308417</v>
          </cell>
          <cell r="AB232">
            <v>33044.701825989607</v>
          </cell>
          <cell r="AC232">
            <v>33079.38765057132</v>
          </cell>
          <cell r="AD232">
            <v>33840.932034592515</v>
          </cell>
          <cell r="AE232">
            <v>35028.551814055783</v>
          </cell>
        </row>
        <row r="233">
          <cell r="G233">
            <v>30607.73667734694</v>
          </cell>
          <cell r="H233">
            <v>31558.031715771514</v>
          </cell>
          <cell r="I233">
            <v>33196.443002222775</v>
          </cell>
          <cell r="J233">
            <v>33984.725615128584</v>
          </cell>
          <cell r="K233">
            <v>34908.681507727801</v>
          </cell>
          <cell r="L233">
            <v>37385.660577205868</v>
          </cell>
          <cell r="M233">
            <v>37538.977393382476</v>
          </cell>
          <cell r="N233">
            <v>40693.796965544178</v>
          </cell>
          <cell r="O233">
            <v>40297.698372262203</v>
          </cell>
          <cell r="P233">
            <v>42526.662179644067</v>
          </cell>
          <cell r="Q233">
            <v>45750.688997447731</v>
          </cell>
          <cell r="R233">
            <v>46627.471007780034</v>
          </cell>
          <cell r="S233">
            <v>48104.663147852298</v>
          </cell>
          <cell r="T233">
            <v>50478.844583575272</v>
          </cell>
          <cell r="U233">
            <v>53194.884624247505</v>
          </cell>
          <cell r="V233">
            <v>56617.620592401901</v>
          </cell>
          <cell r="W233">
            <v>59923.157134890702</v>
          </cell>
          <cell r="X233">
            <v>63973.486449511773</v>
          </cell>
          <cell r="Y233">
            <v>66181.538107032015</v>
          </cell>
          <cell r="Z233">
            <v>66453.563269918333</v>
          </cell>
          <cell r="AA233">
            <v>66959.267579956038</v>
          </cell>
          <cell r="AB233">
            <v>66094.364426773463</v>
          </cell>
          <cell r="AC233">
            <v>65334.982685483985</v>
          </cell>
          <cell r="AD233">
            <v>65811.632936669848</v>
          </cell>
          <cell r="AE233">
            <v>67051.855449590992</v>
          </cell>
        </row>
        <row r="236">
          <cell r="G236">
            <v>365235.87759901345</v>
          </cell>
          <cell r="H236">
            <v>354859.62782446295</v>
          </cell>
          <cell r="I236">
            <v>359099.12116031331</v>
          </cell>
          <cell r="J236">
            <v>363684.89253116085</v>
          </cell>
          <cell r="K236">
            <v>371183.65691280959</v>
          </cell>
          <cell r="L236">
            <v>393810.14448577375</v>
          </cell>
          <cell r="M236">
            <v>392919.76472724194</v>
          </cell>
          <cell r="N236">
            <v>416337.28299488511</v>
          </cell>
          <cell r="O236">
            <v>415847.40765335562</v>
          </cell>
          <cell r="P236">
            <v>440930.75205977412</v>
          </cell>
          <cell r="Q236">
            <v>462610.57949277834</v>
          </cell>
          <cell r="R236">
            <v>464545.80548638868</v>
          </cell>
          <cell r="S236">
            <v>474100.778496566</v>
          </cell>
          <cell r="T236">
            <v>490120.37038982578</v>
          </cell>
          <cell r="U236">
            <v>507824.3128671766</v>
          </cell>
          <cell r="V236">
            <v>523265.66056981642</v>
          </cell>
          <cell r="W236">
            <v>547621.81359517598</v>
          </cell>
          <cell r="X236">
            <v>577195.13074333861</v>
          </cell>
          <cell r="Y236">
            <v>597901.31757310289</v>
          </cell>
          <cell r="Z236">
            <v>606724.96847552957</v>
          </cell>
          <cell r="AA236">
            <v>621130.50828699535</v>
          </cell>
          <cell r="AB236">
            <v>615303.10013566166</v>
          </cell>
          <cell r="AC236">
            <v>604685.27239587845</v>
          </cell>
          <cell r="AD236">
            <v>611946.42316720472</v>
          </cell>
          <cell r="AE236">
            <v>621775.7724142184</v>
          </cell>
        </row>
        <row r="237">
          <cell r="G237">
            <v>128508.91989594916</v>
          </cell>
          <cell r="H237">
            <v>159878.80401357694</v>
          </cell>
          <cell r="I237">
            <v>161788.86949021256</v>
          </cell>
          <cell r="J237">
            <v>163854.9474116308</v>
          </cell>
          <cell r="K237">
            <v>167233.44805501943</v>
          </cell>
          <cell r="L237">
            <v>177427.60791020317</v>
          </cell>
          <cell r="M237">
            <v>177026.45534239855</v>
          </cell>
          <cell r="N237">
            <v>187577.00694092782</v>
          </cell>
          <cell r="O237">
            <v>187356.29802512456</v>
          </cell>
          <cell r="P237">
            <v>198657.37256252611</v>
          </cell>
          <cell r="Q237">
            <v>208425.02323177626</v>
          </cell>
          <cell r="R237">
            <v>209296.92184490184</v>
          </cell>
          <cell r="S237">
            <v>213601.82873615521</v>
          </cell>
          <cell r="T237">
            <v>220819.31134577713</v>
          </cell>
          <cell r="U237">
            <v>228795.66291599342</v>
          </cell>
          <cell r="V237">
            <v>235752.62282205813</v>
          </cell>
          <cell r="W237">
            <v>246726.06784295075</v>
          </cell>
          <cell r="X237">
            <v>260050.0590936582</v>
          </cell>
          <cell r="Y237">
            <v>269379.04477264325</v>
          </cell>
          <cell r="Z237">
            <v>274246.47257606586</v>
          </cell>
          <cell r="AA237">
            <v>283323.60322947107</v>
          </cell>
          <cell r="AB237">
            <v>282176.62280447973</v>
          </cell>
          <cell r="AC237">
            <v>278788.25314832455</v>
          </cell>
          <cell r="AD237">
            <v>283474.80692722125</v>
          </cell>
          <cell r="AE237">
            <v>289306.68472038873</v>
          </cell>
        </row>
        <row r="238">
          <cell r="G238">
            <v>182617.93879950672</v>
          </cell>
          <cell r="H238">
            <v>187597.13911690007</v>
          </cell>
          <cell r="I238">
            <v>189838.35439964873</v>
          </cell>
          <cell r="J238">
            <v>192262.63014803207</v>
          </cell>
          <cell r="K238">
            <v>196226.86455117722</v>
          </cell>
          <cell r="L238">
            <v>208188.39526396897</v>
          </cell>
          <cell r="M238">
            <v>207717.6945070184</v>
          </cell>
          <cell r="N238">
            <v>220097.40492705166</v>
          </cell>
          <cell r="O238">
            <v>219838.43150379052</v>
          </cell>
          <cell r="P238">
            <v>233098.78371397682</v>
          </cell>
          <cell r="Q238">
            <v>244559.86095151352</v>
          </cell>
          <cell r="R238">
            <v>245582.9214280509</v>
          </cell>
          <cell r="S238">
            <v>250634.17398117352</v>
          </cell>
          <cell r="T238">
            <v>259102.95818021009</v>
          </cell>
          <cell r="U238">
            <v>268462.17714857374</v>
          </cell>
          <cell r="V238">
            <v>276625.27158364275</v>
          </cell>
          <cell r="W238">
            <v>289501.19284710946</v>
          </cell>
          <cell r="X238">
            <v>305135.17669927207</v>
          </cell>
          <cell r="Y238">
            <v>316081.53719425993</v>
          </cell>
          <cell r="Z238">
            <v>318864.90587520832</v>
          </cell>
          <cell r="AA238">
            <v>321024.71413024032</v>
          </cell>
          <cell r="AB238">
            <v>314825.8482508192</v>
          </cell>
          <cell r="AC238">
            <v>306269.79725356057</v>
          </cell>
          <cell r="AD238">
            <v>307123.92753089877</v>
          </cell>
          <cell r="AE238">
            <v>309360.53101240424</v>
          </cell>
        </row>
        <row r="239">
          <cell r="G239">
            <v>22826.038376498713</v>
          </cell>
          <cell r="H239">
            <v>37085.098831852469</v>
          </cell>
          <cell r="I239">
            <v>37893.103890682374</v>
          </cell>
          <cell r="J239">
            <v>38462.381555532207</v>
          </cell>
          <cell r="K239">
            <v>38969.129623895285</v>
          </cell>
          <cell r="L239">
            <v>41122.671401230393</v>
          </cell>
          <cell r="M239">
            <v>41185.78757641455</v>
          </cell>
          <cell r="N239">
            <v>44212.728429698531</v>
          </cell>
          <cell r="O239">
            <v>44951.843483761288</v>
          </cell>
          <cell r="P239">
            <v>48023.926933948365</v>
          </cell>
          <cell r="Q239">
            <v>50150.466781839837</v>
          </cell>
          <cell r="R239">
            <v>50124.859380140115</v>
          </cell>
          <cell r="S239">
            <v>50689.163852827936</v>
          </cell>
          <cell r="T239">
            <v>51823.573400304151</v>
          </cell>
          <cell r="U239">
            <v>52861.045289321017</v>
          </cell>
          <cell r="V239">
            <v>54320.35492645581</v>
          </cell>
          <cell r="W239">
            <v>56926.871894878575</v>
          </cell>
          <cell r="X239">
            <v>59891.068626553875</v>
          </cell>
          <cell r="Y239">
            <v>62046.543913457623</v>
          </cell>
          <cell r="Z239">
            <v>63939.99342109407</v>
          </cell>
          <cell r="AA239">
            <v>65822.79068051881</v>
          </cell>
          <cell r="AB239">
            <v>65849.37613974858</v>
          </cell>
          <cell r="AC239">
            <v>65246.726750042319</v>
          </cell>
          <cell r="AD239">
            <v>66564.13506297869</v>
          </cell>
          <cell r="AE239">
            <v>68260.473116669134</v>
          </cell>
        </row>
        <row r="240">
          <cell r="G240">
            <v>73043.322804795869</v>
          </cell>
          <cell r="H240">
            <v>68495.559377511716</v>
          </cell>
          <cell r="I240">
            <v>69987.931252677838</v>
          </cell>
          <cell r="J240">
            <v>71039.377610467272</v>
          </cell>
          <cell r="K240">
            <v>71975.332845840443</v>
          </cell>
          <cell r="L240">
            <v>75952.888611573333</v>
          </cell>
          <cell r="M240">
            <v>76069.463135066151</v>
          </cell>
          <cell r="N240">
            <v>81660.172435542656</v>
          </cell>
          <cell r="O240">
            <v>83025.305620219151</v>
          </cell>
          <cell r="P240">
            <v>88699.392544701768</v>
          </cell>
          <cell r="Q240">
            <v>92627.076196842638</v>
          </cell>
          <cell r="R240">
            <v>92579.779752748451</v>
          </cell>
          <cell r="S240">
            <v>93622.040707511944</v>
          </cell>
          <cell r="T240">
            <v>95717.276232429431</v>
          </cell>
          <cell r="U240">
            <v>97633.469518009108</v>
          </cell>
          <cell r="V240">
            <v>100328.79009282413</v>
          </cell>
          <cell r="W240">
            <v>105142.983485933</v>
          </cell>
          <cell r="X240">
            <v>110617.80543966891</v>
          </cell>
          <cell r="Y240">
            <v>114598.93236534574</v>
          </cell>
          <cell r="Z240">
            <v>115858.64768204739</v>
          </cell>
          <cell r="AA240">
            <v>116478.30055393775</v>
          </cell>
          <cell r="AB240">
            <v>114286.39036749169</v>
          </cell>
          <cell r="AC240">
            <v>111201.59592874881</v>
          </cell>
          <cell r="AD240">
            <v>111549.77156105102</v>
          </cell>
          <cell r="AE240">
            <v>112441.44112659105</v>
          </cell>
        </row>
        <row r="241">
          <cell r="G241">
            <v>18260.830701198967</v>
          </cell>
          <cell r="H241">
            <v>17123.889844377929</v>
          </cell>
          <cell r="I241">
            <v>17496.982813169459</v>
          </cell>
          <cell r="J241">
            <v>17759.844402616818</v>
          </cell>
          <cell r="K241">
            <v>17993.833211460111</v>
          </cell>
          <cell r="L241">
            <v>18988.222152893333</v>
          </cell>
          <cell r="M241">
            <v>19017.365783766538</v>
          </cell>
          <cell r="N241">
            <v>20415.043108885664</v>
          </cell>
          <cell r="O241">
            <v>20756.326405054788</v>
          </cell>
          <cell r="P241">
            <v>22174.848136175442</v>
          </cell>
          <cell r="Q241">
            <v>23156.769049210659</v>
          </cell>
          <cell r="R241">
            <v>23144.944938187113</v>
          </cell>
          <cell r="S241">
            <v>23405.510176877986</v>
          </cell>
          <cell r="T241">
            <v>23929.319058107358</v>
          </cell>
          <cell r="U241">
            <v>24408.367379502277</v>
          </cell>
          <cell r="V241">
            <v>25082.197523206032</v>
          </cell>
          <cell r="W241">
            <v>26285.74587148325</v>
          </cell>
          <cell r="X241">
            <v>27654.451359917228</v>
          </cell>
          <cell r="Y241">
            <v>28649.733091336435</v>
          </cell>
          <cell r="Z241">
            <v>30793.004144602553</v>
          </cell>
          <cell r="AA241">
            <v>33283.211347743643</v>
          </cell>
          <cell r="AB241">
            <v>34566.484046841208</v>
          </cell>
          <cell r="AC241">
            <v>35406.47476373057</v>
          </cell>
          <cell r="AD241">
            <v>37197.32778087561</v>
          </cell>
          <cell r="AE241">
            <v>39251.843081514526</v>
          </cell>
        </row>
        <row r="242">
          <cell r="G242">
            <v>38043.397294164519</v>
          </cell>
          <cell r="H242">
            <v>33061.397754723999</v>
          </cell>
          <cell r="I242">
            <v>33781.73496506628</v>
          </cell>
          <cell r="J242">
            <v>34289.246496741514</v>
          </cell>
          <cell r="K242">
            <v>34741.012838946874</v>
          </cell>
          <cell r="L242">
            <v>36660.897200175481</v>
          </cell>
          <cell r="M242">
            <v>36717.165325062553</v>
          </cell>
          <cell r="N242">
            <v>39415.685719579902</v>
          </cell>
          <cell r="O242">
            <v>40074.60743095701</v>
          </cell>
          <cell r="P242">
            <v>42813.372489743997</v>
          </cell>
          <cell r="Q242">
            <v>44709.184607467789</v>
          </cell>
          <cell r="R242">
            <v>44686.35558665546</v>
          </cell>
          <cell r="S242">
            <v>45189.43351320739</v>
          </cell>
          <cell r="T242">
            <v>46200.760608112003</v>
          </cell>
          <cell r="U242">
            <v>47125.667696472541</v>
          </cell>
          <cell r="V242">
            <v>48426.643502937863</v>
          </cell>
          <cell r="W242">
            <v>50750.35563966936</v>
          </cell>
          <cell r="X242">
            <v>53392.939595384662</v>
          </cell>
          <cell r="Y242">
            <v>55314.547682069737</v>
          </cell>
          <cell r="Z242">
            <v>56206.338067598081</v>
          </cell>
          <cell r="AA242">
            <v>56867.860447024854</v>
          </cell>
          <cell r="AB242">
            <v>56094.0735060183</v>
          </cell>
          <cell r="AC242">
            <v>54855.157088644417</v>
          </cell>
          <cell r="AD242">
            <v>55287.638953758076</v>
          </cell>
          <cell r="AE242">
            <v>56002.286494712542</v>
          </cell>
        </row>
        <row r="243">
          <cell r="G243">
            <v>4628.0563230687512</v>
          </cell>
          <cell r="H243">
            <v>4701.4044369701423</v>
          </cell>
          <cell r="I243">
            <v>4765.7538702829233</v>
          </cell>
          <cell r="J243">
            <v>4856.2183556535629</v>
          </cell>
          <cell r="K243">
            <v>4946.6084717631393</v>
          </cell>
          <cell r="L243">
            <v>5278.2857012813538</v>
          </cell>
          <cell r="M243">
            <v>5357.0931278130192</v>
          </cell>
          <cell r="N243">
            <v>5747.3914872416699</v>
          </cell>
          <cell r="O243">
            <v>5732.4673645938337</v>
          </cell>
          <cell r="P243">
            <v>6142.1880301032079</v>
          </cell>
          <cell r="Q243">
            <v>6440.7376439136387</v>
          </cell>
          <cell r="R243">
            <v>6446.5319933809833</v>
          </cell>
          <cell r="S243">
            <v>6508.8716791976822</v>
          </cell>
          <cell r="T243">
            <v>6604.0308077340533</v>
          </cell>
          <cell r="U243">
            <v>6726.1553145885591</v>
          </cell>
          <cell r="V243">
            <v>6888.1269957209943</v>
          </cell>
          <cell r="W243">
            <v>7236.5674433278036</v>
          </cell>
          <cell r="X243">
            <v>7730.2118587169389</v>
          </cell>
          <cell r="Y243">
            <v>8038.0237502793789</v>
          </cell>
          <cell r="Z243">
            <v>8252.3093205514033</v>
          </cell>
          <cell r="AA243">
            <v>8409.382277396091</v>
          </cell>
          <cell r="AB243">
            <v>8362.9356517854412</v>
          </cell>
          <cell r="AC243">
            <v>8292.2030909308778</v>
          </cell>
          <cell r="AD243">
            <v>8458.0331189855751</v>
          </cell>
          <cell r="AE243">
            <v>8650.3301626552002</v>
          </cell>
        </row>
        <row r="244">
          <cell r="G244">
            <v>15523.354711945038</v>
          </cell>
          <cell r="H244">
            <v>15769.377817555918</v>
          </cell>
          <cell r="I244">
            <v>15985.217688356061</v>
          </cell>
          <cell r="J244">
            <v>16288.652261578984</v>
          </cell>
          <cell r="K244">
            <v>16591.837386580326</v>
          </cell>
          <cell r="L244">
            <v>17704.344003671897</v>
          </cell>
          <cell r="M244">
            <v>17968.678651002941</v>
          </cell>
          <cell r="N244">
            <v>19277.81135250035</v>
          </cell>
          <cell r="O244">
            <v>19227.753091871116</v>
          </cell>
          <cell r="P244">
            <v>20602.031791076501</v>
          </cell>
          <cell r="Q244">
            <v>21603.422273554581</v>
          </cell>
          <cell r="R244">
            <v>21622.857590635365</v>
          </cell>
          <cell r="S244">
            <v>21831.956397566515</v>
          </cell>
          <cell r="T244">
            <v>22151.137670055909</v>
          </cell>
          <cell r="U244">
            <v>22560.765796117001</v>
          </cell>
          <cell r="V244">
            <v>23104.048695889851</v>
          </cell>
          <cell r="W244">
            <v>24222.842301479006</v>
          </cell>
          <cell r="X244">
            <v>25741.472768522566</v>
          </cell>
          <cell r="Y244">
            <v>26592.666617849558</v>
          </cell>
          <cell r="Z244">
            <v>27217.575877861957</v>
          </cell>
          <cell r="AA244">
            <v>27703.370878767415</v>
          </cell>
          <cell r="AB244">
            <v>27506.937031022229</v>
          </cell>
          <cell r="AC244">
            <v>27126.465394959287</v>
          </cell>
          <cell r="AD244">
            <v>27532.444745598816</v>
          </cell>
          <cell r="AE244">
            <v>28038.123006593294</v>
          </cell>
        </row>
        <row r="245">
          <cell r="G245">
            <v>42989.038650593269</v>
          </cell>
          <cell r="H245">
            <v>46177.524094383676</v>
          </cell>
          <cell r="I245">
            <v>48049.097799709365</v>
          </cell>
          <cell r="J245">
            <v>50221.351556134323</v>
          </cell>
          <cell r="K245">
            <v>53009.132948004757</v>
          </cell>
          <cell r="L245">
            <v>57640.128982233764</v>
          </cell>
          <cell r="M245">
            <v>59025.056673692248</v>
          </cell>
          <cell r="N245">
            <v>64140.796106645364</v>
          </cell>
          <cell r="O245">
            <v>65738.378600449563</v>
          </cell>
          <cell r="P245">
            <v>72214.596280012745</v>
          </cell>
          <cell r="Q245">
            <v>79060.97595669709</v>
          </cell>
          <cell r="R245">
            <v>81293.356899375809</v>
          </cell>
          <cell r="S245">
            <v>84841.963710676544</v>
          </cell>
          <cell r="T245">
            <v>88452.881885079623</v>
          </cell>
          <cell r="U245">
            <v>92105.077335115246</v>
          </cell>
          <cell r="V245">
            <v>97065.846332970599</v>
          </cell>
          <cell r="W245">
            <v>102052.43951083547</v>
          </cell>
          <cell r="X245">
            <v>109775.5245398815</v>
          </cell>
          <cell r="Y245">
            <v>114575.40812346498</v>
          </cell>
          <cell r="Z245">
            <v>118916.91832645051</v>
          </cell>
          <cell r="AA245">
            <v>122334.77011979968</v>
          </cell>
          <cell r="AB245">
            <v>122593.4152380662</v>
          </cell>
          <cell r="AC245">
            <v>121709.85508655623</v>
          </cell>
          <cell r="AD245">
            <v>124569.45637297981</v>
          </cell>
          <cell r="AE245">
            <v>128234.69570832193</v>
          </cell>
        </row>
        <row r="246">
          <cell r="G246">
            <v>33299.04878638684</v>
          </cell>
          <cell r="H246">
            <v>30330.448544332252</v>
          </cell>
          <cell r="I246">
            <v>30989.602297357953</v>
          </cell>
          <cell r="J246">
            <v>31454.007198291205</v>
          </cell>
          <cell r="K246">
            <v>31867.401752508187</v>
          </cell>
          <cell r="L246">
            <v>33627.757716878958</v>
          </cell>
          <cell r="M246">
            <v>33678.283068356512</v>
          </cell>
          <cell r="N246">
            <v>36151.728628515026</v>
          </cell>
          <cell r="O246">
            <v>36753.502636978956</v>
          </cell>
          <cell r="P246">
            <v>39263.465870843895</v>
          </cell>
          <cell r="Q246">
            <v>41001.093157340103</v>
          </cell>
          <cell r="R246">
            <v>40978.97325122216</v>
          </cell>
          <cell r="S246">
            <v>41438.624077021566</v>
          </cell>
          <cell r="T246">
            <v>42363.69971619008</v>
          </cell>
          <cell r="U246">
            <v>43210.133146248801</v>
          </cell>
          <cell r="V246">
            <v>44401.32382270151</v>
          </cell>
          <cell r="W246">
            <v>46342.560297745775</v>
          </cell>
          <cell r="X246">
            <v>48642.611386782039</v>
          </cell>
          <cell r="Y246">
            <v>50263.175879098308</v>
          </cell>
          <cell r="Z246">
            <v>50977.817961385736</v>
          </cell>
          <cell r="AA246">
            <v>51339.024248911577</v>
          </cell>
          <cell r="AB246">
            <v>50538.39378639061</v>
          </cell>
          <cell r="AC246">
            <v>49436.659552163255</v>
          </cell>
          <cell r="AD246">
            <v>49738.779482392318</v>
          </cell>
          <cell r="AE246">
            <v>50267.876249741275</v>
          </cell>
        </row>
        <row r="247">
          <cell r="G247">
            <v>10691.658369472056</v>
          </cell>
          <cell r="H247">
            <v>15762.991449869804</v>
          </cell>
          <cell r="I247">
            <v>16105.559247965732</v>
          </cell>
          <cell r="J247">
            <v>16346.914415265306</v>
          </cell>
          <cell r="K247">
            <v>16561.759072574627</v>
          </cell>
          <cell r="L247">
            <v>17476.631003154402</v>
          </cell>
          <cell r="M247">
            <v>17502.889457004119</v>
          </cell>
          <cell r="N247">
            <v>18788.360100786689</v>
          </cell>
          <cell r="O247">
            <v>19101.107158790332</v>
          </cell>
          <cell r="P247">
            <v>20405.55634743558</v>
          </cell>
          <cell r="Q247">
            <v>21308.615991280461</v>
          </cell>
          <cell r="R247">
            <v>21297.120088392661</v>
          </cell>
          <cell r="S247">
            <v>21536.004522508803</v>
          </cell>
          <cell r="T247">
            <v>22016.774181070974</v>
          </cell>
          <cell r="U247">
            <v>22456.672816311991</v>
          </cell>
          <cell r="V247">
            <v>23075.744717627389</v>
          </cell>
          <cell r="W247">
            <v>24084.621784300914</v>
          </cell>
          <cell r="X247">
            <v>25279.97785026049</v>
          </cell>
          <cell r="Y247">
            <v>26122.198966740394</v>
          </cell>
          <cell r="Z247">
            <v>26801.516390175642</v>
          </cell>
          <cell r="AA247">
            <v>27292.56324226594</v>
          </cell>
          <cell r="AB247">
            <v>27183.612671531475</v>
          </cell>
          <cell r="AC247">
            <v>26965.245592442159</v>
          </cell>
          <cell r="AD247">
            <v>27407.916763462723</v>
          </cell>
          <cell r="AE247">
            <v>27972.689694185861</v>
          </cell>
        </row>
        <row r="248">
          <cell r="G248">
            <v>112714.25036667172</v>
          </cell>
          <cell r="H248">
            <v>114141.16481280299</v>
          </cell>
          <cell r="I248">
            <v>115190.36661142894</v>
          </cell>
          <cell r="J248">
            <v>116520.75449208662</v>
          </cell>
          <cell r="K248">
            <v>117639.50338136432</v>
          </cell>
          <cell r="L248">
            <v>125133.03018357205</v>
          </cell>
          <cell r="M248">
            <v>125028.1219180683</v>
          </cell>
          <cell r="N248">
            <v>132782.30628235237</v>
          </cell>
          <cell r="O248">
            <v>132776.26779086614</v>
          </cell>
          <cell r="P248">
            <v>140250.1217333712</v>
          </cell>
          <cell r="Q248">
            <v>146590.53423395441</v>
          </cell>
          <cell r="R248">
            <v>146845.81875868811</v>
          </cell>
          <cell r="S248">
            <v>147443.91759888123</v>
          </cell>
          <cell r="T248">
            <v>149119.28301449967</v>
          </cell>
          <cell r="U248">
            <v>151298.35382192422</v>
          </cell>
          <cell r="V248">
            <v>153935.93009441264</v>
          </cell>
          <cell r="W248">
            <v>164146.30188532348</v>
          </cell>
          <cell r="X248">
            <v>174886.41228830878</v>
          </cell>
          <cell r="Y248">
            <v>184122.16950487869</v>
          </cell>
          <cell r="Z248">
            <v>222578.6043170327</v>
          </cell>
          <cell r="AA248">
            <v>270108.4559566789</v>
          </cell>
          <cell r="AB248">
            <v>303077.22933959612</v>
          </cell>
          <cell r="AC248">
            <v>330226.38848079956</v>
          </cell>
          <cell r="AD248">
            <v>364736.77247703593</v>
          </cell>
          <cell r="AE248">
            <v>402666.75528648176</v>
          </cell>
        </row>
        <row r="249">
          <cell r="G249">
            <v>14752.415649731582</v>
          </cell>
          <cell r="H249">
            <v>14949.486256197217</v>
          </cell>
          <cell r="I249">
            <v>15653.173296422536</v>
          </cell>
          <cell r="J249">
            <v>16126.238339946436</v>
          </cell>
          <cell r="K249">
            <v>16429.953298851924</v>
          </cell>
          <cell r="L249">
            <v>17486.291276105734</v>
          </cell>
          <cell r="M249">
            <v>17416.657106211544</v>
          </cell>
          <cell r="N249">
            <v>18528.371104601782</v>
          </cell>
          <cell r="O249">
            <v>18478.233325586072</v>
          </cell>
          <cell r="P249">
            <v>19711.765341966311</v>
          </cell>
          <cell r="Q249">
            <v>20744.547614122177</v>
          </cell>
          <cell r="R249">
            <v>21201.557636324564</v>
          </cell>
          <cell r="S249">
            <v>21869.370611957627</v>
          </cell>
          <cell r="T249">
            <v>22409.704663340748</v>
          </cell>
          <cell r="U249">
            <v>23146.437011872487</v>
          </cell>
          <cell r="V249">
            <v>23754.6214532173</v>
          </cell>
          <cell r="W249">
            <v>24638.42210750085</v>
          </cell>
          <cell r="X249">
            <v>25998.629422016213</v>
          </cell>
          <cell r="Y249">
            <v>27022.019736324251</v>
          </cell>
          <cell r="Z249">
            <v>27815.476693020497</v>
          </cell>
          <cell r="AA249">
            <v>28513.040758287032</v>
          </cell>
          <cell r="AB249">
            <v>28522.892788035613</v>
          </cell>
          <cell r="AC249">
            <v>28160.258081621505</v>
          </cell>
          <cell r="AD249">
            <v>28635.095426973003</v>
          </cell>
          <cell r="AE249">
            <v>29323.666041989127</v>
          </cell>
        </row>
        <row r="250">
          <cell r="G250">
            <v>34875.560548544068</v>
          </cell>
          <cell r="H250">
            <v>35490.215717743871</v>
          </cell>
          <cell r="I250">
            <v>36041.055471905849</v>
          </cell>
          <cell r="J250">
            <v>36987.832605266187</v>
          </cell>
          <cell r="K250">
            <v>37609.896544160554</v>
          </cell>
          <cell r="L250">
            <v>39880.544867932578</v>
          </cell>
          <cell r="M250">
            <v>40403.524766928334</v>
          </cell>
          <cell r="N250">
            <v>43318.517315310317</v>
          </cell>
          <cell r="O250">
            <v>43477.324084102991</v>
          </cell>
          <cell r="P250">
            <v>46102.792950617768</v>
          </cell>
          <cell r="Q250">
            <v>48157.744443856565</v>
          </cell>
          <cell r="R250">
            <v>48381.995246132137</v>
          </cell>
          <cell r="S250">
            <v>49049.199908716473</v>
          </cell>
          <cell r="T250">
            <v>50428.752236485008</v>
          </cell>
          <cell r="U250">
            <v>51749.10969971741</v>
          </cell>
          <cell r="V250">
            <v>53283.685692529973</v>
          </cell>
          <cell r="W250">
            <v>55740.603359634508</v>
          </cell>
          <cell r="X250">
            <v>58846.279199835903</v>
          </cell>
          <cell r="Y250">
            <v>60989.003348343955</v>
          </cell>
          <cell r="Z250">
            <v>66855.58838065021</v>
          </cell>
          <cell r="AA250">
            <v>70982.670891079164</v>
          </cell>
          <cell r="AB250">
            <v>72875.175932513535</v>
          </cell>
          <cell r="AC250">
            <v>74055.453637505809</v>
          </cell>
          <cell r="AD250">
            <v>77727.363212703494</v>
          </cell>
          <cell r="AE250">
            <v>81944.81933887284</v>
          </cell>
        </row>
        <row r="251">
          <cell r="G251">
            <v>95092.731567875642</v>
          </cell>
          <cell r="H251">
            <v>96766.415545228316</v>
          </cell>
          <cell r="I251">
            <v>98266.332436564364</v>
          </cell>
          <cell r="J251">
            <v>100844.37260873445</v>
          </cell>
          <cell r="K251">
            <v>102538.23040020447</v>
          </cell>
          <cell r="L251">
            <v>108726.98855621848</v>
          </cell>
          <cell r="M251">
            <v>110149.4485241012</v>
          </cell>
          <cell r="N251">
            <v>118093.70785323142</v>
          </cell>
          <cell r="O251">
            <v>118524.17778565657</v>
          </cell>
          <cell r="P251">
            <v>125679.56328821628</v>
          </cell>
          <cell r="Q251">
            <v>131279.82577985615</v>
          </cell>
          <cell r="R251">
            <v>131888.41597728548</v>
          </cell>
          <cell r="S251">
            <v>133704.03605860649</v>
          </cell>
          <cell r="T251">
            <v>137459.9244662337</v>
          </cell>
          <cell r="U251">
            <v>141055.35189563283</v>
          </cell>
          <cell r="V251">
            <v>145235.13322236884</v>
          </cell>
          <cell r="W251">
            <v>153068.71128711573</v>
          </cell>
          <cell r="X251">
            <v>162786.7828709142</v>
          </cell>
          <cell r="Y251">
            <v>169902.61285857085</v>
          </cell>
          <cell r="Z251">
            <v>177924.99831106921</v>
          </cell>
          <cell r="AA251">
            <v>183099.6511936677</v>
          </cell>
          <cell r="AB251">
            <v>183290.58023238834</v>
          </cell>
          <cell r="AC251">
            <v>181910.0452579376</v>
          </cell>
          <cell r="AD251">
            <v>186440.59700101402</v>
          </cell>
          <cell r="AE251">
            <v>192071.4052546951</v>
          </cell>
        </row>
        <row r="252">
          <cell r="G252">
            <v>20269.095261833754</v>
          </cell>
          <cell r="H252">
            <v>20530.532236312658</v>
          </cell>
          <cell r="I252">
            <v>20719.297673345118</v>
          </cell>
          <cell r="J252">
            <v>20905.426610008475</v>
          </cell>
          <cell r="K252">
            <v>21238.400627835614</v>
          </cell>
          <cell r="L252">
            <v>22707.133589089823</v>
          </cell>
          <cell r="M252">
            <v>22914.0953188536</v>
          </cell>
          <cell r="N252">
            <v>24446.984147439664</v>
          </cell>
          <cell r="O252">
            <v>24508.760457259279</v>
          </cell>
          <cell r="P252">
            <v>26182.572155659302</v>
          </cell>
          <cell r="Q252">
            <v>27665.032170520342</v>
          </cell>
          <cell r="R252">
            <v>27944.373484518161</v>
          </cell>
          <cell r="S252">
            <v>28737.453154020208</v>
          </cell>
          <cell r="T252">
            <v>29887.275798005736</v>
          </cell>
          <cell r="U252">
            <v>31124.852838925988</v>
          </cell>
          <cell r="V252">
            <v>32286.30287308092</v>
          </cell>
          <cell r="W252">
            <v>34084.157085432591</v>
          </cell>
          <cell r="X252">
            <v>36026.430975225201</v>
          </cell>
          <cell r="Y252">
            <v>37766.179529638641</v>
          </cell>
          <cell r="Z252">
            <v>38453.867170200647</v>
          </cell>
          <cell r="AA252">
            <v>38998.349356101215</v>
          </cell>
          <cell r="AB252">
            <v>38753.276478936947</v>
          </cell>
          <cell r="AC252">
            <v>38078.707519783769</v>
          </cell>
          <cell r="AD252">
            <v>38623.220290712226</v>
          </cell>
          <cell r="AE252">
            <v>39376.63752481604</v>
          </cell>
        </row>
        <row r="253">
          <cell r="G253">
            <v>111590.53378044043</v>
          </cell>
          <cell r="H253">
            <v>113029.8625297102</v>
          </cell>
          <cell r="I253">
            <v>114069.10160800362</v>
          </cell>
          <cell r="J253">
            <v>115093.82555971152</v>
          </cell>
          <cell r="K253">
            <v>116926.99807700257</v>
          </cell>
          <cell r="L253">
            <v>125013.03709404237</v>
          </cell>
          <cell r="M253">
            <v>126152.45499099954</v>
          </cell>
          <cell r="N253">
            <v>134591.7010648037</v>
          </cell>
          <cell r="O253">
            <v>134931.80758158234</v>
          </cell>
          <cell r="P253">
            <v>144146.89776985085</v>
          </cell>
          <cell r="Q253">
            <v>152308.51042347541</v>
          </cell>
          <cell r="R253">
            <v>153846.41065697235</v>
          </cell>
          <cell r="S253">
            <v>158212.67281652676</v>
          </cell>
          <cell r="T253">
            <v>164542.96634653877</v>
          </cell>
          <cell r="U253">
            <v>171356.38750849618</v>
          </cell>
          <cell r="V253">
            <v>177750.69507853885</v>
          </cell>
          <cell r="W253">
            <v>186860.74176010364</v>
          </cell>
          <cell r="X253">
            <v>198849.0352817431</v>
          </cell>
          <cell r="Y253">
            <v>207459.88509259641</v>
          </cell>
          <cell r="Z253">
            <v>210238.94541030767</v>
          </cell>
          <cell r="AA253">
            <v>212559.78193989891</v>
          </cell>
          <cell r="AB253">
            <v>209370.44418938732</v>
          </cell>
          <cell r="AC253">
            <v>204710.6763606098</v>
          </cell>
          <cell r="AD253">
            <v>206356.08182021734</v>
          </cell>
          <cell r="AE253">
            <v>208941.43593905578</v>
          </cell>
        </row>
        <row r="256">
          <cell r="G256">
            <v>41700.08658172701</v>
          </cell>
          <cell r="H256">
            <v>42703.510343600574</v>
          </cell>
          <cell r="I256">
            <v>44257.002746285623</v>
          </cell>
          <cell r="J256">
            <v>46606.120598262525</v>
          </cell>
          <cell r="K256">
            <v>48934.561178675896</v>
          </cell>
          <cell r="L256">
            <v>49695.768483822583</v>
          </cell>
          <cell r="M256">
            <v>49546.517070036483</v>
          </cell>
          <cell r="N256">
            <v>52273.811962574538</v>
          </cell>
          <cell r="O256">
            <v>52585.807956194207</v>
          </cell>
          <cell r="P256">
            <v>56289.490101634299</v>
          </cell>
          <cell r="Q256">
            <v>59687.816054859606</v>
          </cell>
          <cell r="R256">
            <v>62488.410252297035</v>
          </cell>
          <cell r="S256">
            <v>66288.542174939212</v>
          </cell>
          <cell r="T256">
            <v>70860.892025420588</v>
          </cell>
          <cell r="U256">
            <v>78425.921481403377</v>
          </cell>
          <cell r="V256">
            <v>82710.375879353072</v>
          </cell>
          <cell r="W256">
            <v>87029.28237334211</v>
          </cell>
          <cell r="X256">
            <v>91919.753724823735</v>
          </cell>
          <cell r="Y256">
            <v>97412.530517584542</v>
          </cell>
          <cell r="Z256">
            <v>101803.61807623306</v>
          </cell>
          <cell r="AA256">
            <v>106254.40114189948</v>
          </cell>
          <cell r="AB256">
            <v>108563.77406324894</v>
          </cell>
          <cell r="AC256">
            <v>110216.79388037193</v>
          </cell>
          <cell r="AD256">
            <v>113386.61374144799</v>
          </cell>
          <cell r="AE256">
            <v>117712.63216067546</v>
          </cell>
        </row>
        <row r="257">
          <cell r="G257">
            <v>14672.252686163205</v>
          </cell>
          <cell r="H257">
            <v>19239.68134321988</v>
          </cell>
          <cell r="I257">
            <v>19939.593330695461</v>
          </cell>
          <cell r="J257">
            <v>20997.967186756636</v>
          </cell>
          <cell r="K257">
            <v>22047.02508465117</v>
          </cell>
          <cell r="L257">
            <v>22389.980168889302</v>
          </cell>
          <cell r="M257">
            <v>22322.736290852939</v>
          </cell>
          <cell r="N257">
            <v>23551.49440088233</v>
          </cell>
          <cell r="O257">
            <v>23692.06138119155</v>
          </cell>
          <cell r="P257">
            <v>25360.721959712802</v>
          </cell>
          <cell r="Q257">
            <v>26891.807060548002</v>
          </cell>
          <cell r="R257">
            <v>28153.589511143226</v>
          </cell>
          <cell r="S257">
            <v>29865.70466667843</v>
          </cell>
          <cell r="T257">
            <v>31925.735643175518</v>
          </cell>
          <cell r="U257">
            <v>35334.09141800685</v>
          </cell>
          <cell r="V257">
            <v>37264.413695563177</v>
          </cell>
          <cell r="W257">
            <v>39210.258054186605</v>
          </cell>
          <cell r="X257">
            <v>41413.615803083063</v>
          </cell>
          <cell r="Y257">
            <v>43888.336834956921</v>
          </cell>
          <cell r="Z257">
            <v>49736.807319184532</v>
          </cell>
          <cell r="AA257">
            <v>56142.539444000598</v>
          </cell>
          <cell r="AB257">
            <v>60827.935304007333</v>
          </cell>
          <cell r="AC257">
            <v>65095.991258090726</v>
          </cell>
          <cell r="AD257">
            <v>69834.495854563807</v>
          </cell>
          <cell r="AE257">
            <v>75291.428799324145</v>
          </cell>
        </row>
        <row r="258">
          <cell r="G258">
            <v>20850.043290863505</v>
          </cell>
          <cell r="H258">
            <v>22575.282569679115</v>
          </cell>
          <cell r="I258">
            <v>23396.538941304792</v>
          </cell>
          <cell r="J258">
            <v>24638.404044926261</v>
          </cell>
          <cell r="K258">
            <v>25869.338074156876</v>
          </cell>
          <cell r="L258">
            <v>26271.751596359642</v>
          </cell>
          <cell r="M258">
            <v>26192.849585423435</v>
          </cell>
          <cell r="N258">
            <v>27634.638617624529</v>
          </cell>
          <cell r="O258">
            <v>27799.575824423198</v>
          </cell>
          <cell r="P258">
            <v>29757.533620136724</v>
          </cell>
          <cell r="Q258">
            <v>31554.064351232275</v>
          </cell>
          <cell r="R258">
            <v>33034.603184256543</v>
          </cell>
          <cell r="S258">
            <v>35043.549316914716</v>
          </cell>
          <cell r="T258">
            <v>37460.729755981731</v>
          </cell>
          <cell r="U258">
            <v>41459.995302130206</v>
          </cell>
          <cell r="V258">
            <v>43724.979325981389</v>
          </cell>
          <cell r="W258">
            <v>46008.176508351571</v>
          </cell>
          <cell r="X258">
            <v>48593.532413997003</v>
          </cell>
          <cell r="Y258">
            <v>51497.298104241556</v>
          </cell>
          <cell r="Z258">
            <v>52757.518908787002</v>
          </cell>
          <cell r="AA258">
            <v>53903.877954527678</v>
          </cell>
          <cell r="AB258">
            <v>54125.33752447724</v>
          </cell>
          <cell r="AC258">
            <v>54033.163247066717</v>
          </cell>
          <cell r="AD258">
            <v>54801.231162971046</v>
          </cell>
          <cell r="AE258">
            <v>56126.369631058922</v>
          </cell>
        </row>
        <row r="259">
          <cell r="G259">
            <v>3084.9199261436966</v>
          </cell>
          <cell r="H259">
            <v>5192.3238248352354</v>
          </cell>
          <cell r="I259">
            <v>5441.9087153135188</v>
          </cell>
          <cell r="J259">
            <v>5708.9913981860245</v>
          </cell>
          <cell r="K259">
            <v>5939.2683798155113</v>
          </cell>
          <cell r="L259">
            <v>5907.767503560216</v>
          </cell>
          <cell r="M259">
            <v>5893.8371432833674</v>
          </cell>
          <cell r="N259">
            <v>6195.5678689534261</v>
          </cell>
          <cell r="O259">
            <v>6123.6377703355965</v>
          </cell>
          <cell r="P259">
            <v>6556.9250028957049</v>
          </cell>
          <cell r="Q259">
            <v>6960.5527448298462</v>
          </cell>
          <cell r="R259">
            <v>7163.8361106454095</v>
          </cell>
          <cell r="S259">
            <v>7643.6281214589717</v>
          </cell>
          <cell r="T259">
            <v>8227.1598087030998</v>
          </cell>
          <cell r="U259">
            <v>8657.9336583136501</v>
          </cell>
          <cell r="V259">
            <v>9040.8792984394131</v>
          </cell>
          <cell r="W259">
            <v>9412.5989064156402</v>
          </cell>
          <cell r="X259">
            <v>9908.961078993003</v>
          </cell>
          <cell r="Y259">
            <v>10279.707681731243</v>
          </cell>
          <cell r="Z259">
            <v>10839.759702525946</v>
          </cell>
          <cell r="AA259">
            <v>11663.103603960732</v>
          </cell>
          <cell r="AB259">
            <v>12117.020713681366</v>
          </cell>
          <cell r="AC259">
            <v>12408.832497687614</v>
          </cell>
          <cell r="AD259">
            <v>12917.727582640358</v>
          </cell>
          <cell r="AE259">
            <v>13578.615297081387</v>
          </cell>
        </row>
        <row r="260">
          <cell r="G260">
            <v>9871.7437636598297</v>
          </cell>
          <cell r="H260">
            <v>9590.1355545478818</v>
          </cell>
          <cell r="I260">
            <v>10051.114686975101</v>
          </cell>
          <cell r="J260">
            <v>10544.41195028686</v>
          </cell>
          <cell r="K260">
            <v>10969.729696910446</v>
          </cell>
          <cell r="L260">
            <v>10911.548103549427</v>
          </cell>
          <cell r="M260">
            <v>10885.818960320785</v>
          </cell>
          <cell r="N260">
            <v>11443.110581137555</v>
          </cell>
          <cell r="O260">
            <v>11310.256887980453</v>
          </cell>
          <cell r="P260">
            <v>12110.53118413112</v>
          </cell>
          <cell r="Q260">
            <v>12856.024895484399</v>
          </cell>
          <cell r="R260">
            <v>13231.48588365146</v>
          </cell>
          <cell r="S260">
            <v>14117.653730056369</v>
          </cell>
          <cell r="T260">
            <v>15195.427029610313</v>
          </cell>
          <cell r="U260">
            <v>15991.059149348286</v>
          </cell>
          <cell r="V260">
            <v>16698.353363407765</v>
          </cell>
          <cell r="W260">
            <v>17384.91328321179</v>
          </cell>
          <cell r="X260">
            <v>18301.685942189361</v>
          </cell>
          <cell r="Y260">
            <v>18986.448737537681</v>
          </cell>
          <cell r="Z260">
            <v>19186.457357777792</v>
          </cell>
          <cell r="AA260">
            <v>19421.389500806956</v>
          </cell>
          <cell r="AB260">
            <v>19309.143644282176</v>
          </cell>
          <cell r="AC260">
            <v>19047.886232108558</v>
          </cell>
          <cell r="AD260">
            <v>19147.291907871771</v>
          </cell>
          <cell r="AE260">
            <v>19450.207372063909</v>
          </cell>
        </row>
        <row r="261">
          <cell r="G261">
            <v>2467.9359409149574</v>
          </cell>
          <cell r="H261">
            <v>2397.5338886369705</v>
          </cell>
          <cell r="I261">
            <v>2512.7786717437752</v>
          </cell>
          <cell r="J261">
            <v>2636.1029875717149</v>
          </cell>
          <cell r="K261">
            <v>2742.4324242276116</v>
          </cell>
          <cell r="L261">
            <v>2727.8870258873567</v>
          </cell>
          <cell r="M261">
            <v>2721.4547400801962</v>
          </cell>
          <cell r="N261">
            <v>2860.7776452843887</v>
          </cell>
          <cell r="O261">
            <v>2827.5642219951133</v>
          </cell>
          <cell r="P261">
            <v>3027.6327960327799</v>
          </cell>
          <cell r="Q261">
            <v>3214.0062238710998</v>
          </cell>
          <cell r="R261">
            <v>3307.8714709128649</v>
          </cell>
          <cell r="S261">
            <v>3529.4134325140922</v>
          </cell>
          <cell r="T261">
            <v>3798.8567574025783</v>
          </cell>
          <cell r="U261">
            <v>3997.7647873370715</v>
          </cell>
          <cell r="V261">
            <v>4174.5883408519412</v>
          </cell>
          <cell r="W261">
            <v>4346.2283208029476</v>
          </cell>
          <cell r="X261">
            <v>4575.4214855473401</v>
          </cell>
          <cell r="Y261">
            <v>4746.6121843844203</v>
          </cell>
          <cell r="Z261">
            <v>5696.4113678519134</v>
          </cell>
          <cell r="AA261">
            <v>7141.6915145381108</v>
          </cell>
          <cell r="AB261">
            <v>8138.7616941484803</v>
          </cell>
          <cell r="AC261">
            <v>8936.3970229625047</v>
          </cell>
          <cell r="AD261">
            <v>9867.6418435425585</v>
          </cell>
          <cell r="AE261">
            <v>10933.03441460919</v>
          </cell>
        </row>
        <row r="262">
          <cell r="G262">
            <v>5141.5332102394941</v>
          </cell>
          <cell r="H262">
            <v>4628.9611906538521</v>
          </cell>
          <cell r="I262">
            <v>4851.4663368605652</v>
          </cell>
          <cell r="J262">
            <v>5089.5707801541757</v>
          </cell>
          <cell r="K262">
            <v>5294.8629088856933</v>
          </cell>
          <cell r="L262">
            <v>5266.7798503984886</v>
          </cell>
          <cell r="M262">
            <v>5254.3609221365559</v>
          </cell>
          <cell r="N262">
            <v>5523.3541256178196</v>
          </cell>
          <cell r="O262">
            <v>5459.2283803495338</v>
          </cell>
          <cell r="P262">
            <v>5845.504323759169</v>
          </cell>
          <cell r="Q262">
            <v>6205.3388055662963</v>
          </cell>
          <cell r="R262">
            <v>6386.5661024010788</v>
          </cell>
          <cell r="S262">
            <v>6814.3010959349658</v>
          </cell>
          <cell r="T262">
            <v>7334.5201009303946</v>
          </cell>
          <cell r="U262">
            <v>7718.5553612618451</v>
          </cell>
          <cell r="V262">
            <v>8059.9517313791303</v>
          </cell>
          <cell r="W262">
            <v>8391.3400841041475</v>
          </cell>
          <cell r="X262">
            <v>8833.8473912138234</v>
          </cell>
          <cell r="Y262">
            <v>9164.3683089257556</v>
          </cell>
          <cell r="Z262">
            <v>9427.4013538185536</v>
          </cell>
          <cell r="AA262">
            <v>9797.3565548521656</v>
          </cell>
          <cell r="AB262">
            <v>9932.861944815053</v>
          </cell>
          <cell r="AC262">
            <v>9966.4333527343661</v>
          </cell>
          <cell r="AD262">
            <v>10182.127978430055</v>
          </cell>
          <cell r="AE262">
            <v>10511.460426461397</v>
          </cell>
        </row>
        <row r="263">
          <cell r="G263">
            <v>38695.862157504649</v>
          </cell>
          <cell r="H263">
            <v>39188.4671848789</v>
          </cell>
          <cell r="I263">
            <v>39741.214823901777</v>
          </cell>
          <cell r="J263">
            <v>40107.89074653374</v>
          </cell>
          <cell r="K263">
            <v>41756.080499778414</v>
          </cell>
          <cell r="L263">
            <v>42655.293736363157</v>
          </cell>
          <cell r="M263">
            <v>41788.422279535007</v>
          </cell>
          <cell r="N263">
            <v>42758.588014985733</v>
          </cell>
          <cell r="O263">
            <v>42675.647914828987</v>
          </cell>
          <cell r="P263">
            <v>44698.188170030255</v>
          </cell>
          <cell r="Q263">
            <v>46622.423951739962</v>
          </cell>
          <cell r="R263">
            <v>47476.187309589091</v>
          </cell>
          <cell r="S263">
            <v>47987.913010357173</v>
          </cell>
          <cell r="T263">
            <v>48926.548887985504</v>
          </cell>
          <cell r="U263">
            <v>49631.181693389517</v>
          </cell>
          <cell r="V263">
            <v>51502.693953272537</v>
          </cell>
          <cell r="W263">
            <v>53982.101264314697</v>
          </cell>
          <cell r="X263">
            <v>56987.497434832425</v>
          </cell>
          <cell r="Y263">
            <v>57959.733733594301</v>
          </cell>
          <cell r="Z263">
            <v>59424.072963241932</v>
          </cell>
          <cell r="AA263">
            <v>62248.204735016327</v>
          </cell>
          <cell r="AB263">
            <v>63461.255420553018</v>
          </cell>
          <cell r="AC263">
            <v>63503.996144116907</v>
          </cell>
          <cell r="AD263">
            <v>64899.250469511047</v>
          </cell>
          <cell r="AE263">
            <v>67021.594229596027</v>
          </cell>
        </row>
        <row r="264">
          <cell r="G264">
            <v>15817.337232070206</v>
          </cell>
          <cell r="H264">
            <v>16018.694674591499</v>
          </cell>
          <cell r="I264">
            <v>16244.636036876404</v>
          </cell>
          <cell r="J264">
            <v>16394.518644467444</v>
          </cell>
          <cell r="K264">
            <v>17068.233395760493</v>
          </cell>
          <cell r="L264">
            <v>17435.796184482177</v>
          </cell>
          <cell r="M264">
            <v>17081.453435541836</v>
          </cell>
          <cell r="N264">
            <v>17478.018798168017</v>
          </cell>
          <cell r="O264">
            <v>17444.116167212251</v>
          </cell>
          <cell r="P264">
            <v>18270.850590436661</v>
          </cell>
          <cell r="Q264">
            <v>19057.402034863284</v>
          </cell>
          <cell r="R264">
            <v>19406.386711636154</v>
          </cell>
          <cell r="S264">
            <v>19615.559928824609</v>
          </cell>
          <cell r="T264">
            <v>19999.237133227925</v>
          </cell>
          <cell r="U264">
            <v>20287.263141344494</v>
          </cell>
          <cell r="V264">
            <v>21052.263296348981</v>
          </cell>
          <cell r="W264">
            <v>22167.22763662495</v>
          </cell>
          <cell r="X264">
            <v>23362.862099979786</v>
          </cell>
          <cell r="Y264">
            <v>23744.685317019321</v>
          </cell>
          <cell r="Z264">
            <v>23996.322284808713</v>
          </cell>
          <cell r="AA264">
            <v>23948.878801276289</v>
          </cell>
          <cell r="AB264">
            <v>23807.88839224822</v>
          </cell>
          <cell r="AC264">
            <v>23579.111074955865</v>
          </cell>
          <cell r="AD264">
            <v>23808.133708016674</v>
          </cell>
          <cell r="AE264">
            <v>24242.268569309461</v>
          </cell>
        </row>
        <row r="265">
          <cell r="G265">
            <v>5322.184838687871</v>
          </cell>
          <cell r="H265">
            <v>5545.0304646425429</v>
          </cell>
          <cell r="I265">
            <v>5646.0717363855647</v>
          </cell>
          <cell r="J265">
            <v>5772.714861515663</v>
          </cell>
          <cell r="K265">
            <v>5942.4333319450498</v>
          </cell>
          <cell r="L265">
            <v>6101.6843781988837</v>
          </cell>
          <cell r="M265">
            <v>5984.6208573422091</v>
          </cell>
          <cell r="N265">
            <v>6060.5218777927839</v>
          </cell>
          <cell r="O265">
            <v>5984.088884824102</v>
          </cell>
          <cell r="P265">
            <v>6250.5787353942815</v>
          </cell>
          <cell r="Q265">
            <v>6572.719636686692</v>
          </cell>
          <cell r="R265">
            <v>6621.4012106557939</v>
          </cell>
          <cell r="S265">
            <v>7007.3620811741166</v>
          </cell>
          <cell r="T265">
            <v>7493.6319939120322</v>
          </cell>
          <cell r="U265">
            <v>7852.5601573598751</v>
          </cell>
          <cell r="V265">
            <v>8244.2529789954897</v>
          </cell>
          <cell r="W265">
            <v>8590.1003647840844</v>
          </cell>
          <cell r="X265">
            <v>8791.169223543573</v>
          </cell>
          <cell r="Y265">
            <v>9001.664162895453</v>
          </cell>
          <cell r="Z265">
            <v>9312.348144124393</v>
          </cell>
          <cell r="AA265">
            <v>9600.2460714418157</v>
          </cell>
          <cell r="AB265">
            <v>9649.7064927956617</v>
          </cell>
          <cell r="AC265">
            <v>9594.2324440334487</v>
          </cell>
          <cell r="AD265">
            <v>9674.6836717986062</v>
          </cell>
          <cell r="AE265">
            <v>9849.4812135498341</v>
          </cell>
        </row>
        <row r="266">
          <cell r="G266">
            <v>40188.47897715179</v>
          </cell>
          <cell r="H266">
            <v>37894.786608260598</v>
          </cell>
          <cell r="I266">
            <v>39692.417744606828</v>
          </cell>
          <cell r="J266">
            <v>41616.076447625463</v>
          </cell>
          <cell r="K266">
            <v>43274.642682815946</v>
          </cell>
          <cell r="L266">
            <v>43037.119273569937</v>
          </cell>
          <cell r="M266">
            <v>42915.311055033781</v>
          </cell>
          <cell r="N266">
            <v>45084.536114695635</v>
          </cell>
          <cell r="O266">
            <v>44539.564838901228</v>
          </cell>
          <cell r="P266">
            <v>47662.286009123229</v>
          </cell>
          <cell r="Q266">
            <v>50573.227173981133</v>
          </cell>
          <cell r="R266">
            <v>52028.353540521784</v>
          </cell>
          <cell r="S266">
            <v>55480.383681701147</v>
          </cell>
          <cell r="T266">
            <v>59679.121785217372</v>
          </cell>
          <cell r="U266">
            <v>62780.458365300248</v>
          </cell>
          <cell r="V266">
            <v>65538.345071305797</v>
          </cell>
          <cell r="W266">
            <v>66650.46253738238</v>
          </cell>
          <cell r="X266">
            <v>67942.572302651621</v>
          </cell>
          <cell r="Y266">
            <v>68392.695694490918</v>
          </cell>
          <cell r="Z266">
            <v>68988.233738220995</v>
          </cell>
          <cell r="AA266">
            <v>69484.825010124769</v>
          </cell>
          <cell r="AB266">
            <v>68888.699697287899</v>
          </cell>
          <cell r="AC266">
            <v>67780.569700880937</v>
          </cell>
          <cell r="AD266">
            <v>67936.197356717166</v>
          </cell>
          <cell r="AE266">
            <v>68764.752407722292</v>
          </cell>
        </row>
        <row r="267">
          <cell r="G267">
            <v>1188.7545350603505</v>
          </cell>
          <cell r="H267">
            <v>1814.3315151782574</v>
          </cell>
          <cell r="I267">
            <v>1900.3987322087844</v>
          </cell>
          <cell r="J267">
            <v>1992.499913445489</v>
          </cell>
          <cell r="K267">
            <v>2071.9089630760959</v>
          </cell>
          <cell r="L267">
            <v>2060.5367864375899</v>
          </cell>
          <cell r="M267">
            <v>2054.7048367295088</v>
          </cell>
          <cell r="N267">
            <v>2158.5632758848569</v>
          </cell>
          <cell r="O267">
            <v>2132.4710703590135</v>
          </cell>
          <cell r="P267">
            <v>2281.9811201401903</v>
          </cell>
          <cell r="Q267">
            <v>2421.3515393175903</v>
          </cell>
          <cell r="R267">
            <v>2491.0202684932815</v>
          </cell>
          <cell r="S267">
            <v>2656.2970159581087</v>
          </cell>
          <cell r="T267">
            <v>2857.3247442295396</v>
          </cell>
          <cell r="U267">
            <v>3005.8109398265065</v>
          </cell>
          <cell r="V267">
            <v>3137.8533977435613</v>
          </cell>
          <cell r="W267">
            <v>3191.0995022312723</v>
          </cell>
          <cell r="X267">
            <v>3252.9633013979505</v>
          </cell>
          <cell r="Y267">
            <v>3274.5143676165139</v>
          </cell>
          <cell r="Z267">
            <v>3365.3187326417874</v>
          </cell>
          <cell r="AA267">
            <v>3474.0116701583424</v>
          </cell>
          <cell r="AB267">
            <v>3512.953897458478</v>
          </cell>
          <cell r="AC267">
            <v>3516.3128897770621</v>
          </cell>
          <cell r="AD267">
            <v>3581.1158402421911</v>
          </cell>
          <cell r="AE267">
            <v>3680.4791879235472</v>
          </cell>
        </row>
        <row r="268">
          <cell r="G268">
            <v>3849.7950827751201</v>
          </cell>
          <cell r="H268">
            <v>3906.2891171259025</v>
          </cell>
          <cell r="I268">
            <v>3961.8719573742533</v>
          </cell>
          <cell r="J268">
            <v>4034.5396870432041</v>
          </cell>
          <cell r="K268">
            <v>4138.6436132460585</v>
          </cell>
          <cell r="L268">
            <v>4100.6830786251285</v>
          </cell>
          <cell r="M268">
            <v>4035.3829999262734</v>
          </cell>
          <cell r="N268">
            <v>4110.6521986094058</v>
          </cell>
          <cell r="O268">
            <v>4006.1320247028834</v>
          </cell>
          <cell r="P268">
            <v>4254.9883579236111</v>
          </cell>
          <cell r="Q268">
            <v>4437.9947273019006</v>
          </cell>
          <cell r="R268">
            <v>4680.7221218276991</v>
          </cell>
          <cell r="S268">
            <v>4828.4799985370428</v>
          </cell>
          <cell r="T268">
            <v>5017.4618558662078</v>
          </cell>
          <cell r="U268">
            <v>5345.4511655331662</v>
          </cell>
          <cell r="V268">
            <v>5516.9923667331486</v>
          </cell>
          <cell r="W268">
            <v>5867.6518045882958</v>
          </cell>
          <cell r="X268">
            <v>6329.7630600932562</v>
          </cell>
          <cell r="Y268">
            <v>6722.9459400846354</v>
          </cell>
          <cell r="Z268">
            <v>6861.7784227451157</v>
          </cell>
          <cell r="AA268">
            <v>6955.8284829545846</v>
          </cell>
          <cell r="AB268">
            <v>6957.0865987713378</v>
          </cell>
          <cell r="AC268">
            <v>6912.3452832716694</v>
          </cell>
          <cell r="AD268">
            <v>6996.4987096325658</v>
          </cell>
          <cell r="AE268">
            <v>7149.722042615902</v>
          </cell>
        </row>
        <row r="269">
          <cell r="G269">
            <v>534.44742790618818</v>
          </cell>
          <cell r="H269">
            <v>549.59350482299533</v>
          </cell>
          <cell r="I269">
            <v>558.80354351382152</v>
          </cell>
          <cell r="J269">
            <v>563.62274980553275</v>
          </cell>
          <cell r="K269">
            <v>587.5147936961863</v>
          </cell>
          <cell r="L269">
            <v>579.97784016970309</v>
          </cell>
          <cell r="M269">
            <v>560.90805620046797</v>
          </cell>
          <cell r="N269">
            <v>573.68000690966471</v>
          </cell>
          <cell r="O269">
            <v>553.53475886949707</v>
          </cell>
          <cell r="P269">
            <v>576.68826299924194</v>
          </cell>
          <cell r="Q269">
            <v>617.12387357911405</v>
          </cell>
          <cell r="R269">
            <v>611.47974591985735</v>
          </cell>
          <cell r="S269">
            <v>612.49116303855203</v>
          </cell>
          <cell r="T269">
            <v>617.39099685506926</v>
          </cell>
          <cell r="U269">
            <v>625.42155541820807</v>
          </cell>
          <cell r="V269">
            <v>634.89317973156528</v>
          </cell>
          <cell r="W269">
            <v>649.66639439859387</v>
          </cell>
          <cell r="X269">
            <v>664.18689457805033</v>
          </cell>
          <cell r="Y269">
            <v>675.222447049018</v>
          </cell>
          <cell r="Z269">
            <v>689.29368563316996</v>
          </cell>
          <cell r="AA269">
            <v>708.88049415932687</v>
          </cell>
          <cell r="AB269">
            <v>715.26417571277989</v>
          </cell>
          <cell r="AC269">
            <v>712.08311568624777</v>
          </cell>
          <cell r="AD269">
            <v>720.56979461845128</v>
          </cell>
          <cell r="AE269">
            <v>738.00039313122193</v>
          </cell>
        </row>
        <row r="270">
          <cell r="G270">
            <v>3115.2089672205038</v>
          </cell>
          <cell r="H270">
            <v>3197.5651166446492</v>
          </cell>
          <cell r="I270">
            <v>3229.0497286223444</v>
          </cell>
          <cell r="J270">
            <v>3272.3257565644481</v>
          </cell>
          <cell r="K270">
            <v>3286.9654885929872</v>
          </cell>
          <cell r="L270">
            <v>3293.264126133221</v>
          </cell>
          <cell r="M270">
            <v>3300.0809674539782</v>
          </cell>
          <cell r="N270">
            <v>3451.930911696365</v>
          </cell>
          <cell r="O270">
            <v>3297.3681869148945</v>
          </cell>
          <cell r="P270">
            <v>3489.5232829070401</v>
          </cell>
          <cell r="Q270">
            <v>3673.2929341504673</v>
          </cell>
          <cell r="R270">
            <v>3717.6174958107317</v>
          </cell>
          <cell r="S270">
            <v>3800.0880835238581</v>
          </cell>
          <cell r="T270">
            <v>3887.0650904153217</v>
          </cell>
          <cell r="U270">
            <v>4056.124578585614</v>
          </cell>
          <cell r="V270">
            <v>4194.5406633190933</v>
          </cell>
          <cell r="W270">
            <v>4344.0884180067906</v>
          </cell>
          <cell r="X270">
            <v>4474.3387921523226</v>
          </cell>
          <cell r="Y270">
            <v>4678.5785905776456</v>
          </cell>
          <cell r="Z270">
            <v>5141.8087527319158</v>
          </cell>
          <cell r="AA270">
            <v>5563.8893544924167</v>
          </cell>
          <cell r="AB270">
            <v>5764.1241758474371</v>
          </cell>
          <cell r="AC270">
            <v>5987.6855187118917</v>
          </cell>
          <cell r="AD270">
            <v>6250.8438285058528</v>
          </cell>
          <cell r="AE270">
            <v>6624.8401927575715</v>
          </cell>
        </row>
        <row r="271">
          <cell r="G271">
            <v>11420.491920913755</v>
          </cell>
          <cell r="H271">
            <v>11592.720625003223</v>
          </cell>
          <cell r="I271">
            <v>11658.563357544677</v>
          </cell>
          <cell r="J271">
            <v>11749.065090113814</v>
          </cell>
          <cell r="K271">
            <v>11779.680679758576</v>
          </cell>
          <cell r="L271">
            <v>11687.872839212228</v>
          </cell>
          <cell r="M271">
            <v>11490.221763086443</v>
          </cell>
          <cell r="N271">
            <v>11768.452142521628</v>
          </cell>
          <cell r="O271">
            <v>11179.822225067792</v>
          </cell>
          <cell r="P271">
            <v>11601.176974790342</v>
          </cell>
          <cell r="Q271">
            <v>12023.171597635273</v>
          </cell>
          <cell r="R271">
            <v>12026.872322236679</v>
          </cell>
          <cell r="S271">
            <v>12163.184919060364</v>
          </cell>
          <cell r="T271">
            <v>12304.230792458153</v>
          </cell>
          <cell r="U271">
            <v>12644.901097631564</v>
          </cell>
          <cell r="V271">
            <v>12931.671530017473</v>
          </cell>
          <cell r="W271">
            <v>13317.881753484435</v>
          </cell>
          <cell r="X271">
            <v>13653.779577349764</v>
          </cell>
          <cell r="Y271">
            <v>14138.492855194008</v>
          </cell>
          <cell r="Z271">
            <v>14622.668209005438</v>
          </cell>
          <cell r="AA271">
            <v>15006.014751748147</v>
          </cell>
          <cell r="AB271">
            <v>15029.928175957646</v>
          </cell>
          <cell r="AC271">
            <v>15034.086030244467</v>
          </cell>
          <cell r="AD271">
            <v>15245.007781740544</v>
          </cell>
          <cell r="AE271">
            <v>15663.703138796815</v>
          </cell>
        </row>
        <row r="272">
          <cell r="G272">
            <v>3691.5192148666688</v>
          </cell>
          <cell r="H272">
            <v>3753.6667501636275</v>
          </cell>
          <cell r="I272">
            <v>3908.1283727573941</v>
          </cell>
          <cell r="J272">
            <v>3990.3782404125386</v>
          </cell>
          <cell r="K272">
            <v>4054.2488327687715</v>
          </cell>
          <cell r="L272">
            <v>4020.6948301558132</v>
          </cell>
          <cell r="M272">
            <v>3920.8513231352058</v>
          </cell>
          <cell r="N272">
            <v>4041.18327816493</v>
          </cell>
          <cell r="O272">
            <v>3904.2872844354733</v>
          </cell>
          <cell r="P272">
            <v>3990.4226943218055</v>
          </cell>
          <cell r="Q272">
            <v>4159.7894375329506</v>
          </cell>
          <cell r="R272">
            <v>4196.5362378426089</v>
          </cell>
          <cell r="S272">
            <v>4339.6995561507783</v>
          </cell>
          <cell r="T272">
            <v>4479.5142833859791</v>
          </cell>
          <cell r="U272">
            <v>4693.9937824858698</v>
          </cell>
          <cell r="V272">
            <v>4845.6041433523815</v>
          </cell>
          <cell r="W272">
            <v>4995.1928652936713</v>
          </cell>
          <cell r="X272">
            <v>5242.7236629585241</v>
          </cell>
          <cell r="Y272">
            <v>5545.2672924388035</v>
          </cell>
          <cell r="Z272">
            <v>5673.8896302172889</v>
          </cell>
          <cell r="AA272">
            <v>5924.0874725941449</v>
          </cell>
          <cell r="AB272">
            <v>5934.4464396809926</v>
          </cell>
          <cell r="AC272">
            <v>5912.4372921907834</v>
          </cell>
          <cell r="AD272">
            <v>6006.6769874874071</v>
          </cell>
          <cell r="AE272">
            <v>6164.8604393322439</v>
          </cell>
        </row>
        <row r="273">
          <cell r="G273">
            <v>17497.207948601801</v>
          </cell>
          <cell r="H273">
            <v>17791.777280438058</v>
          </cell>
          <cell r="I273">
            <v>18901.054967077107</v>
          </cell>
          <cell r="J273">
            <v>19491.738538742164</v>
          </cell>
          <cell r="K273">
            <v>19950.42997123814</v>
          </cell>
          <cell r="L273">
            <v>19905.594194185171</v>
          </cell>
          <cell r="M273">
            <v>19584.467713881531</v>
          </cell>
          <cell r="N273">
            <v>20522.118178496305</v>
          </cell>
          <cell r="O273">
            <v>20034.834221414225</v>
          </cell>
          <cell r="P273">
            <v>20616.976813630718</v>
          </cell>
          <cell r="Q273">
            <v>21762.89295682016</v>
          </cell>
          <cell r="R273">
            <v>22193.060520158731</v>
          </cell>
          <cell r="S273">
            <v>23288.74802317745</v>
          </cell>
          <cell r="T273">
            <v>24369.151315222582</v>
          </cell>
          <cell r="U273">
            <v>25933.512365323673</v>
          </cell>
          <cell r="V273">
            <v>27027.347784204048</v>
          </cell>
          <cell r="W273">
            <v>28045.729928476008</v>
          </cell>
          <cell r="X273">
            <v>28851.325810615399</v>
          </cell>
          <cell r="Y273">
            <v>28873.897229677121</v>
          </cell>
          <cell r="Z273">
            <v>29028.51577124407</v>
          </cell>
          <cell r="AA273">
            <v>28959.754956209981</v>
          </cell>
          <cell r="AB273">
            <v>28706.819769662256</v>
          </cell>
          <cell r="AC273">
            <v>28180.95717693547</v>
          </cell>
          <cell r="AD273">
            <v>28203.027422428651</v>
          </cell>
          <cell r="AE273">
            <v>28506.77394470897</v>
          </cell>
        </row>
        <row r="276">
          <cell r="G276">
            <v>53708.756626847957</v>
          </cell>
          <cell r="H276">
            <v>50349.464058565485</v>
          </cell>
          <cell r="I276">
            <v>50585.765733522334</v>
          </cell>
          <cell r="J276">
            <v>50756.917170227302</v>
          </cell>
          <cell r="K276">
            <v>50890.56319950617</v>
          </cell>
          <cell r="L276">
            <v>50409.683971895211</v>
          </cell>
          <cell r="M276">
            <v>49748.857660934671</v>
          </cell>
          <cell r="N276">
            <v>51074.418525560905</v>
          </cell>
          <cell r="O276">
            <v>50637.294229816769</v>
          </cell>
          <cell r="P276">
            <v>51882.363343747689</v>
          </cell>
          <cell r="Q276">
            <v>53040.286432316985</v>
          </cell>
          <cell r="R276">
            <v>53738.485192411041</v>
          </cell>
          <cell r="S276">
            <v>55949.769545049654</v>
          </cell>
          <cell r="T276">
            <v>57329.270888827872</v>
          </cell>
          <cell r="U276">
            <v>59883.340093594605</v>
          </cell>
          <cell r="V276">
            <v>62238.988957004687</v>
          </cell>
          <cell r="W276">
            <v>64365.633187934131</v>
          </cell>
          <cell r="X276">
            <v>65570.953790492698</v>
          </cell>
          <cell r="Y276">
            <v>67305.727422033131</v>
          </cell>
          <cell r="Z276">
            <v>68196.039917622096</v>
          </cell>
          <cell r="AA276">
            <v>68883.240349581378</v>
          </cell>
          <cell r="AB276">
            <v>68252.643635550878</v>
          </cell>
          <cell r="AC276">
            <v>68712.851087571893</v>
          </cell>
          <cell r="AD276">
            <v>69589.365365579099</v>
          </cell>
          <cell r="AE276">
            <v>71181.30416701932</v>
          </cell>
        </row>
        <row r="277">
          <cell r="G277">
            <v>18897.525479816875</v>
          </cell>
          <cell r="H277">
            <v>22684.496812891877</v>
          </cell>
          <cell r="I277">
            <v>22790.96040079034</v>
          </cell>
          <cell r="J277">
            <v>22868.071136585651</v>
          </cell>
          <cell r="K277">
            <v>22928.284149413474</v>
          </cell>
          <cell r="L277">
            <v>22711.628351579398</v>
          </cell>
          <cell r="M277">
            <v>22413.899018702621</v>
          </cell>
          <cell r="N277">
            <v>23011.11850794945</v>
          </cell>
          <cell r="O277">
            <v>22814.176099940669</v>
          </cell>
          <cell r="P277">
            <v>23375.130757053677</v>
          </cell>
          <cell r="Q277">
            <v>23896.822558612297</v>
          </cell>
          <cell r="R277">
            <v>24211.389711297299</v>
          </cell>
          <cell r="S277">
            <v>25207.663927671896</v>
          </cell>
          <cell r="T277">
            <v>25829.18581318625</v>
          </cell>
          <cell r="U277">
            <v>26979.898652314874</v>
          </cell>
          <cell r="V277">
            <v>28041.214996658913</v>
          </cell>
          <cell r="W277">
            <v>28999.35536976318</v>
          </cell>
          <cell r="X277">
            <v>29542.401693661457</v>
          </cell>
          <cell r="Y277">
            <v>30323.988303401613</v>
          </cell>
          <cell r="Z277">
            <v>31006.105312805237</v>
          </cell>
          <cell r="AA277">
            <v>31737.357087980727</v>
          </cell>
          <cell r="AB277">
            <v>31853.529467166318</v>
          </cell>
          <cell r="AC277">
            <v>32575.680823859493</v>
          </cell>
          <cell r="AD277">
            <v>33518.523530953906</v>
          </cell>
          <cell r="AE277">
            <v>34882.341931854091</v>
          </cell>
        </row>
        <row r="278">
          <cell r="G278">
            <v>26854.378313423978</v>
          </cell>
          <cell r="H278">
            <v>26617.32886145165</v>
          </cell>
          <cell r="I278">
            <v>26742.250139372747</v>
          </cell>
          <cell r="J278">
            <v>26832.72963426046</v>
          </cell>
          <cell r="K278">
            <v>26903.381832428946</v>
          </cell>
          <cell r="L278">
            <v>26649.16421992223</v>
          </cell>
          <cell r="M278">
            <v>26299.817279134986</v>
          </cell>
          <cell r="N278">
            <v>27000.577259789123</v>
          </cell>
          <cell r="O278">
            <v>26769.490765608803</v>
          </cell>
          <cell r="P278">
            <v>27427.698646872188</v>
          </cell>
          <cell r="Q278">
            <v>28039.836635250114</v>
          </cell>
          <cell r="R278">
            <v>28408.940584131567</v>
          </cell>
          <cell r="S278">
            <v>29577.939776494393</v>
          </cell>
          <cell r="T278">
            <v>30307.215482179141</v>
          </cell>
          <cell r="U278">
            <v>31657.428463177443</v>
          </cell>
          <cell r="V278">
            <v>32902.746196978107</v>
          </cell>
          <cell r="W278">
            <v>34027.00024663622</v>
          </cell>
          <cell r="X278">
            <v>34664.19501050633</v>
          </cell>
          <cell r="Y278">
            <v>35581.286008678158</v>
          </cell>
          <cell r="Z278">
            <v>36083.497426165137</v>
          </cell>
          <cell r="AA278">
            <v>36494.12300096816</v>
          </cell>
          <cell r="AB278">
            <v>36205.695140698299</v>
          </cell>
          <cell r="AC278">
            <v>36506.780251500866</v>
          </cell>
          <cell r="AD278">
            <v>37031.665828922414</v>
          </cell>
          <cell r="AE278">
            <v>37945.836580810574</v>
          </cell>
        </row>
        <row r="279">
          <cell r="G279">
            <v>2899.3137186553386</v>
          </cell>
          <cell r="H279">
            <v>4653.2063275829678</v>
          </cell>
          <cell r="I279">
            <v>4722.1827958588665</v>
          </cell>
          <cell r="J279">
            <v>4803.0505198635774</v>
          </cell>
          <cell r="K279">
            <v>4864.1054718609148</v>
          </cell>
          <cell r="L279">
            <v>4847.1465088239911</v>
          </cell>
          <cell r="M279">
            <v>4921.2901977497777</v>
          </cell>
          <cell r="N279">
            <v>5132.826898850004</v>
          </cell>
          <cell r="O279">
            <v>5165.3941277993135</v>
          </cell>
          <cell r="P279">
            <v>5307.180926289423</v>
          </cell>
          <cell r="Q279">
            <v>5413.9324826064094</v>
          </cell>
          <cell r="R279">
            <v>5527.7892431994651</v>
          </cell>
          <cell r="S279">
            <v>5793.8879649185292</v>
          </cell>
          <cell r="T279">
            <v>6012.6273752844645</v>
          </cell>
          <cell r="U279">
            <v>6396.3583829453282</v>
          </cell>
          <cell r="V279">
            <v>6644.3243452930392</v>
          </cell>
          <cell r="W279">
            <v>6897.2765527024421</v>
          </cell>
          <cell r="X279">
            <v>7099.8649378566442</v>
          </cell>
          <cell r="Y279">
            <v>7280.7841604239902</v>
          </cell>
          <cell r="Z279">
            <v>7440.8024860006608</v>
          </cell>
          <cell r="AA279">
            <v>7753.3183815559305</v>
          </cell>
          <cell r="AB279">
            <v>7831.6449985303652</v>
          </cell>
          <cell r="AC279">
            <v>8006.5157584517292</v>
          </cell>
          <cell r="AD279">
            <v>8228.1687845852503</v>
          </cell>
          <cell r="AE279">
            <v>8541.3880336494094</v>
          </cell>
        </row>
        <row r="280">
          <cell r="G280">
            <v>9277.8038996970827</v>
          </cell>
          <cell r="H280">
            <v>8594.3945235766678</v>
          </cell>
          <cell r="I280">
            <v>8721.7929107257623</v>
          </cell>
          <cell r="J280">
            <v>8871.1542489927488</v>
          </cell>
          <cell r="K280">
            <v>8983.9217276176933</v>
          </cell>
          <cell r="L280">
            <v>8952.5988055744328</v>
          </cell>
          <cell r="M280">
            <v>9089.5409631323892</v>
          </cell>
          <cell r="N280">
            <v>9480.2457239968408</v>
          </cell>
          <cell r="O280">
            <v>9540.3968530088641</v>
          </cell>
          <cell r="P280">
            <v>9802.2747064011619</v>
          </cell>
          <cell r="Q280">
            <v>9999.4430514959204</v>
          </cell>
          <cell r="R280">
            <v>10209.734590453189</v>
          </cell>
          <cell r="S280">
            <v>10701.214493916017</v>
          </cell>
          <cell r="T280">
            <v>11105.222538733551</v>
          </cell>
          <cell r="U280">
            <v>11813.967313539215</v>
          </cell>
          <cell r="V280">
            <v>12271.956312694891</v>
          </cell>
          <cell r="W280">
            <v>12739.154823364681</v>
          </cell>
          <cell r="X280">
            <v>13113.332193834716</v>
          </cell>
          <cell r="Y280">
            <v>13447.486982206243</v>
          </cell>
          <cell r="Z280">
            <v>13640.857864027112</v>
          </cell>
          <cell r="AA280">
            <v>13872.69083053642</v>
          </cell>
          <cell r="AB280">
            <v>13796.657277388424</v>
          </cell>
          <cell r="AC280">
            <v>13921.166336675924</v>
          </cell>
          <cell r="AD280">
            <v>14127.797044953708</v>
          </cell>
          <cell r="AE280">
            <v>14478.709794728822</v>
          </cell>
        </row>
        <row r="281">
          <cell r="G281">
            <v>2319.4509749242707</v>
          </cell>
          <cell r="H281">
            <v>2148.5986308941669</v>
          </cell>
          <cell r="I281">
            <v>2180.4482276814406</v>
          </cell>
          <cell r="J281">
            <v>2217.7885622481872</v>
          </cell>
          <cell r="K281">
            <v>2245.9804319044233</v>
          </cell>
          <cell r="L281">
            <v>2238.1497013936082</v>
          </cell>
          <cell r="M281">
            <v>2272.3852407830973</v>
          </cell>
          <cell r="N281">
            <v>2370.0614309992102</v>
          </cell>
          <cell r="O281">
            <v>2385.099213252216</v>
          </cell>
          <cell r="P281">
            <v>2450.5686766002905</v>
          </cell>
          <cell r="Q281">
            <v>2499.8607628739801</v>
          </cell>
          <cell r="R281">
            <v>2552.4336476132971</v>
          </cell>
          <cell r="S281">
            <v>2675.3036234790043</v>
          </cell>
          <cell r="T281">
            <v>2776.3056346833878</v>
          </cell>
          <cell r="U281">
            <v>2953.4918283848037</v>
          </cell>
          <cell r="V281">
            <v>3067.9890781737226</v>
          </cell>
          <cell r="W281">
            <v>3184.7887058411702</v>
          </cell>
          <cell r="X281">
            <v>3278.3330484586791</v>
          </cell>
          <cell r="Y281">
            <v>3361.8717455515607</v>
          </cell>
          <cell r="Z281">
            <v>3632.5223696265007</v>
          </cell>
          <cell r="AA281">
            <v>4441.9015054216325</v>
          </cell>
          <cell r="AB281">
            <v>4903.0609251577835</v>
          </cell>
          <cell r="AC281">
            <v>5365.9975567944002</v>
          </cell>
          <cell r="AD281">
            <v>5858.7859645388498</v>
          </cell>
          <cell r="AE281">
            <v>6441.6862271514865</v>
          </cell>
        </row>
        <row r="282">
          <cell r="G282">
            <v>4832.1895310922318</v>
          </cell>
          <cell r="H282">
            <v>4148.337474535304</v>
          </cell>
          <cell r="I282">
            <v>4209.8300557934908</v>
          </cell>
          <cell r="J282">
            <v>4281.9237018415006</v>
          </cell>
          <cell r="K282">
            <v>4336.3542444708164</v>
          </cell>
          <cell r="L282">
            <v>4321.2353142230195</v>
          </cell>
          <cell r="M282">
            <v>4387.3344771696347</v>
          </cell>
          <cell r="N282">
            <v>4575.9196295648571</v>
          </cell>
          <cell r="O282">
            <v>4604.9533424031115</v>
          </cell>
          <cell r="P282">
            <v>4731.3563961607624</v>
          </cell>
          <cell r="Q282">
            <v>4826.5255011518029</v>
          </cell>
          <cell r="R282">
            <v>4928.0289019138954</v>
          </cell>
          <cell r="S282">
            <v>5165.2561429862953</v>
          </cell>
          <cell r="T282">
            <v>5360.2625169353532</v>
          </cell>
          <cell r="U282">
            <v>5702.3590428909547</v>
          </cell>
          <cell r="V282">
            <v>5923.4209132659416</v>
          </cell>
          <cell r="W282">
            <v>6148.928025435609</v>
          </cell>
          <cell r="X282">
            <v>6329.5357464083654</v>
          </cell>
          <cell r="Y282">
            <v>6490.8253901516618</v>
          </cell>
          <cell r="Z282">
            <v>6641.7124607483611</v>
          </cell>
          <cell r="AA282">
            <v>6948.1408095370089</v>
          </cell>
          <cell r="AB282">
            <v>7035.7465017183213</v>
          </cell>
          <cell r="AC282">
            <v>7207.6309870677396</v>
          </cell>
          <cell r="AD282">
            <v>7421.5670118882181</v>
          </cell>
          <cell r="AE282">
            <v>7719.1351981849666</v>
          </cell>
        </row>
        <row r="283">
          <cell r="G283">
            <v>52715.95523740026</v>
          </cell>
          <cell r="H283">
            <v>52972.193082349717</v>
          </cell>
          <cell r="I283">
            <v>53212.466582069668</v>
          </cell>
          <cell r="J283">
            <v>53938.137008894228</v>
          </cell>
          <cell r="K283">
            <v>54658.14918677666</v>
          </cell>
          <cell r="L283">
            <v>54742.833531026023</v>
          </cell>
          <cell r="M283">
            <v>54443.844986943564</v>
          </cell>
          <cell r="N283">
            <v>55849.634953873981</v>
          </cell>
          <cell r="O283">
            <v>55878.248310892755</v>
          </cell>
          <cell r="P283">
            <v>57396.258918086387</v>
          </cell>
          <cell r="Q283">
            <v>58035.309287294032</v>
          </cell>
          <cell r="R283">
            <v>59654.398509755512</v>
          </cell>
          <cell r="S283">
            <v>62104.8709686109</v>
          </cell>
          <cell r="T283">
            <v>63526.574546607473</v>
          </cell>
          <cell r="U283">
            <v>65957.962889180169</v>
          </cell>
          <cell r="V283">
            <v>68171.241513705259</v>
          </cell>
          <cell r="W283">
            <v>70617.724740144578</v>
          </cell>
          <cell r="X283">
            <v>71464.039108899116</v>
          </cell>
          <cell r="Y283">
            <v>72789.143125892486</v>
          </cell>
          <cell r="Z283">
            <v>75215.745131270101</v>
          </cell>
          <cell r="AA283">
            <v>76186.560911929831</v>
          </cell>
          <cell r="AB283">
            <v>76853.980700327316</v>
          </cell>
          <cell r="AC283">
            <v>77917.122126248083</v>
          </cell>
          <cell r="AD283">
            <v>79216.483772401363</v>
          </cell>
          <cell r="AE283">
            <v>81328.70406933871</v>
          </cell>
        </row>
        <row r="284">
          <cell r="G284">
            <v>12325.222891105739</v>
          </cell>
          <cell r="H284">
            <v>12411.478571584297</v>
          </cell>
          <cell r="I284">
            <v>12492.3602782791</v>
          </cell>
          <cell r="J284">
            <v>12736.637997994008</v>
          </cell>
          <cell r="K284">
            <v>12979.011018139992</v>
          </cell>
          <cell r="L284">
            <v>13082.905311561863</v>
          </cell>
          <cell r="M284">
            <v>13062.787028174751</v>
          </cell>
          <cell r="N284">
            <v>13424.845554871805</v>
          </cell>
          <cell r="O284">
            <v>13548.59001540821</v>
          </cell>
          <cell r="P284">
            <v>13980.657672693853</v>
          </cell>
          <cell r="Q284">
            <v>14151.634240852109</v>
          </cell>
          <cell r="R284">
            <v>14662.608287554143</v>
          </cell>
          <cell r="S284">
            <v>15342.221667490938</v>
          </cell>
          <cell r="T284">
            <v>15752.539658883021</v>
          </cell>
          <cell r="U284">
            <v>16413.182641424464</v>
          </cell>
          <cell r="V284">
            <v>17008.725904970168</v>
          </cell>
          <cell r="W284">
            <v>17714.846912884725</v>
          </cell>
          <cell r="X284">
            <v>18311.517709238116</v>
          </cell>
          <cell r="Y284">
            <v>18790.104072193208</v>
          </cell>
          <cell r="Z284">
            <v>19448.410032238226</v>
          </cell>
          <cell r="AA284">
            <v>20279.403781524616</v>
          </cell>
          <cell r="AB284">
            <v>20865.767577195416</v>
          </cell>
          <cell r="AC284">
            <v>21460.307798955622</v>
          </cell>
          <cell r="AD284">
            <v>22071.159594989709</v>
          </cell>
          <cell r="AE284">
            <v>22914.833275438461</v>
          </cell>
        </row>
        <row r="285">
          <cell r="G285">
            <v>4064.3381986614581</v>
          </cell>
          <cell r="H285">
            <v>4110.6155283892722</v>
          </cell>
          <cell r="I285">
            <v>4130.4447133594185</v>
          </cell>
          <cell r="J285">
            <v>4205.0534065292159</v>
          </cell>
          <cell r="K285">
            <v>4217.0450784455206</v>
          </cell>
          <cell r="L285">
            <v>4170.9267556090681</v>
          </cell>
          <cell r="M285">
            <v>4134.7945018280743</v>
          </cell>
          <cell r="N285">
            <v>4282.9160340500976</v>
          </cell>
          <cell r="O285">
            <v>4275.4670964137213</v>
          </cell>
          <cell r="P285">
            <v>4429.7057135800214</v>
          </cell>
          <cell r="Q285">
            <v>4571.3057004235488</v>
          </cell>
          <cell r="R285">
            <v>4650.7392960571424</v>
          </cell>
          <cell r="S285">
            <v>4871.7140546202527</v>
          </cell>
          <cell r="T285">
            <v>5071.655054028929</v>
          </cell>
          <cell r="U285">
            <v>5305.9233944586949</v>
          </cell>
          <cell r="V285">
            <v>5510.6914731726365</v>
          </cell>
          <cell r="W285">
            <v>5667.2540484688725</v>
          </cell>
          <cell r="X285">
            <v>5754.0571342942558</v>
          </cell>
          <cell r="Y285">
            <v>5912.2142025016201</v>
          </cell>
          <cell r="Z285">
            <v>6003.5111888109896</v>
          </cell>
          <cell r="AA285">
            <v>6134.9943818498568</v>
          </cell>
          <cell r="AB285">
            <v>6108.7349988576152</v>
          </cell>
          <cell r="AC285">
            <v>6173.6786485485254</v>
          </cell>
          <cell r="AD285">
            <v>6269.9374728963212</v>
          </cell>
          <cell r="AE285">
            <v>6430.4101834982612</v>
          </cell>
        </row>
        <row r="286">
          <cell r="G286">
            <v>23923.707463310635</v>
          </cell>
          <cell r="H286">
            <v>21647.641659652782</v>
          </cell>
          <cell r="I286">
            <v>22128.313168026249</v>
          </cell>
          <cell r="J286">
            <v>22691.850441645358</v>
          </cell>
          <cell r="K286">
            <v>23117.319831479061</v>
          </cell>
          <cell r="L286">
            <v>23149.057701051199</v>
          </cell>
          <cell r="M286">
            <v>23825.879336971771</v>
          </cell>
          <cell r="N286">
            <v>25078.936527734691</v>
          </cell>
          <cell r="O286">
            <v>25532.814116989506</v>
          </cell>
          <cell r="P286">
            <v>26363.909867431343</v>
          </cell>
          <cell r="Q286">
            <v>27020.037905563124</v>
          </cell>
          <cell r="R286">
            <v>27745.751550098303</v>
          </cell>
          <cell r="S286">
            <v>29311.199170970409</v>
          </cell>
          <cell r="T286">
            <v>30699.76709413149</v>
          </cell>
          <cell r="U286">
            <v>33060.000699184602</v>
          </cell>
          <cell r="V286">
            <v>34490.685630520056</v>
          </cell>
          <cell r="W286">
            <v>35472.814235427039</v>
          </cell>
          <cell r="X286">
            <v>35945.792596740102</v>
          </cell>
          <cell r="Y286">
            <v>36599.196670922705</v>
          </cell>
          <cell r="Z286">
            <v>37338.175449304828</v>
          </cell>
          <cell r="AA286">
            <v>37764.39848142652</v>
          </cell>
          <cell r="AB286">
            <v>37576.372594239103</v>
          </cell>
          <cell r="AC286">
            <v>37973.19540543147</v>
          </cell>
          <cell r="AD286">
            <v>38602.990098158494</v>
          </cell>
          <cell r="AE286">
            <v>39622.564281848492</v>
          </cell>
        </row>
        <row r="287">
          <cell r="G287">
            <v>996.27006530550568</v>
          </cell>
          <cell r="H287">
            <v>1459.1695219378896</v>
          </cell>
          <cell r="I287">
            <v>1491.5694122404775</v>
          </cell>
          <cell r="J287">
            <v>1529.5549086316887</v>
          </cell>
          <cell r="K287">
            <v>1558.2338740323387</v>
          </cell>
          <cell r="L287">
            <v>1560.3731801377803</v>
          </cell>
          <cell r="M287">
            <v>1605.9946625352893</v>
          </cell>
          <cell r="N287">
            <v>1690.4575749741171</v>
          </cell>
          <cell r="O287">
            <v>1721.0514084892775</v>
          </cell>
          <cell r="P287">
            <v>1777.0718105230519</v>
          </cell>
          <cell r="Q287">
            <v>1821.2984311768487</v>
          </cell>
          <cell r="R287">
            <v>1870.2155025331188</v>
          </cell>
          <cell r="S287">
            <v>1975.7352396241201</v>
          </cell>
          <cell r="T287">
            <v>2069.3323170551284</v>
          </cell>
          <cell r="U287">
            <v>2228.4249792163846</v>
          </cell>
          <cell r="V287">
            <v>2324.8609734979896</v>
          </cell>
          <cell r="W287">
            <v>2391.0618165013484</v>
          </cell>
          <cell r="X287">
            <v>2422.9431465887023</v>
          </cell>
          <cell r="Y287">
            <v>2466.986157164506</v>
          </cell>
          <cell r="Z287">
            <v>2548.1271595340168</v>
          </cell>
          <cell r="AA287">
            <v>2591.155501135403</v>
          </cell>
          <cell r="AB287">
            <v>2602.4683840851649</v>
          </cell>
          <cell r="AC287">
            <v>2654.8483583836405</v>
          </cell>
          <cell r="AD287">
            <v>2724.2999372452</v>
          </cell>
          <cell r="AE287">
            <v>2822.2253817942296</v>
          </cell>
        </row>
        <row r="288">
          <cell r="G288">
            <v>6892.3787896395215</v>
          </cell>
          <cell r="H288">
            <v>6928.1609750366788</v>
          </cell>
          <cell r="I288">
            <v>6982.6206747894967</v>
          </cell>
          <cell r="J288">
            <v>7002.6744270450472</v>
          </cell>
          <cell r="K288">
            <v>7017.2232277010353</v>
          </cell>
          <cell r="L288">
            <v>6982.0498196612562</v>
          </cell>
          <cell r="M288">
            <v>6901.8684594309616</v>
          </cell>
          <cell r="N288">
            <v>7198.137989982336</v>
          </cell>
          <cell r="O288">
            <v>7124.1508540068598</v>
          </cell>
          <cell r="P288">
            <v>7324.0058826836794</v>
          </cell>
          <cell r="Q288">
            <v>7473.4110288347356</v>
          </cell>
          <cell r="R288">
            <v>7621.4968117202607</v>
          </cell>
          <cell r="S288">
            <v>7927.3463352318622</v>
          </cell>
          <cell r="T288">
            <v>8076.0865137607298</v>
          </cell>
          <cell r="U288">
            <v>8366.4477846220634</v>
          </cell>
          <cell r="V288">
            <v>8638.4901170356188</v>
          </cell>
          <cell r="W288">
            <v>8983.0887739326063</v>
          </cell>
          <cell r="X288">
            <v>9271.6822999805772</v>
          </cell>
          <cell r="Y288">
            <v>9518.2206653226694</v>
          </cell>
          <cell r="Z288">
            <v>10391.498689374765</v>
          </cell>
          <cell r="AA288">
            <v>13044.720292089158</v>
          </cell>
          <cell r="AB288">
            <v>14581.489120295437</v>
          </cell>
          <cell r="AC288">
            <v>16100.012982795835</v>
          </cell>
          <cell r="AD288">
            <v>17707.540694802836</v>
          </cell>
          <cell r="AE288">
            <v>19596.207526869926</v>
          </cell>
        </row>
        <row r="289">
          <cell r="G289">
            <v>1781.7556093565017</v>
          </cell>
          <cell r="H289">
            <v>1783.0538360074877</v>
          </cell>
          <cell r="I289">
            <v>1788.8878421921647</v>
          </cell>
          <cell r="J289">
            <v>1807.4316475648882</v>
          </cell>
          <cell r="K289">
            <v>1812.4722930184073</v>
          </cell>
          <cell r="L289">
            <v>1793.6088525783809</v>
          </cell>
          <cell r="M289">
            <v>1774.6486729597157</v>
          </cell>
          <cell r="N289">
            <v>1823.0509687537462</v>
          </cell>
          <cell r="O289">
            <v>1794.2995981969964</v>
          </cell>
          <cell r="P289">
            <v>1840.40380825741</v>
          </cell>
          <cell r="Q289">
            <v>1872.8279339126823</v>
          </cell>
          <cell r="R289">
            <v>1897.4249208326673</v>
          </cell>
          <cell r="S289">
            <v>1968.2360718720968</v>
          </cell>
          <cell r="T289">
            <v>2005.124253123417</v>
          </cell>
          <cell r="U289">
            <v>2074.6913217054471</v>
          </cell>
          <cell r="V289">
            <v>2157.0993395020882</v>
          </cell>
          <cell r="W289">
            <v>2230.5387643737845</v>
          </cell>
          <cell r="X289">
            <v>2244.3283016341893</v>
          </cell>
          <cell r="Y289">
            <v>2286.2415552117754</v>
          </cell>
          <cell r="Z289">
            <v>2326.3694648036135</v>
          </cell>
          <cell r="AA289">
            <v>2374.7982364656368</v>
          </cell>
          <cell r="AB289">
            <v>2372.028004997203</v>
          </cell>
          <cell r="AC289">
            <v>2401.8374704377493</v>
          </cell>
          <cell r="AD289">
            <v>2445.1309775396853</v>
          </cell>
          <cell r="AE289">
            <v>2516.1911582055527</v>
          </cell>
        </row>
        <row r="290">
          <cell r="G290">
            <v>2766.2306421587773</v>
          </cell>
          <cell r="H290">
            <v>2818.4580776956645</v>
          </cell>
          <cell r="I290">
            <v>2891.2487001949826</v>
          </cell>
          <cell r="J290">
            <v>2928.2449547405686</v>
          </cell>
          <cell r="K290">
            <v>2963.6022730245368</v>
          </cell>
          <cell r="L290">
            <v>2967.139006534268</v>
          </cell>
          <cell r="M290">
            <v>2966.3889493279867</v>
          </cell>
          <cell r="N290">
            <v>3122.6086524580405</v>
          </cell>
          <cell r="O290">
            <v>3102.4778216604896</v>
          </cell>
          <cell r="P290">
            <v>3203.2341197678347</v>
          </cell>
          <cell r="Q290">
            <v>3308.1437877260823</v>
          </cell>
          <cell r="R290">
            <v>3416.7948674728191</v>
          </cell>
          <cell r="S290">
            <v>3565.1526112071565</v>
          </cell>
          <cell r="T290">
            <v>3680.8949130500373</v>
          </cell>
          <cell r="U290">
            <v>3890.9266215566536</v>
          </cell>
          <cell r="V290">
            <v>4108.0317271811991</v>
          </cell>
          <cell r="W290">
            <v>4297.4681162204697</v>
          </cell>
          <cell r="X290">
            <v>4366.5805978291328</v>
          </cell>
          <cell r="Y290">
            <v>4487.4959667609901</v>
          </cell>
          <cell r="Z290">
            <v>4926.8541427762138</v>
          </cell>
          <cell r="AA290">
            <v>5327.6338130134527</v>
          </cell>
          <cell r="AB290">
            <v>5467.5606581810716</v>
          </cell>
          <cell r="AC290">
            <v>5692.4167839611218</v>
          </cell>
          <cell r="AD290">
            <v>6015.7371534228814</v>
          </cell>
          <cell r="AE290">
            <v>6447.6555798742547</v>
          </cell>
        </row>
        <row r="291">
          <cell r="G291">
            <v>4846.9173570763787</v>
          </cell>
          <cell r="H291">
            <v>5008.2207596646458</v>
          </cell>
          <cell r="I291">
            <v>5233.033158836829</v>
          </cell>
          <cell r="J291">
            <v>5347.2953599171369</v>
          </cell>
          <cell r="K291">
            <v>5456.4957387404911</v>
          </cell>
          <cell r="L291">
            <v>5518.8324925047837</v>
          </cell>
          <cell r="M291">
            <v>5571.4355115558528</v>
          </cell>
          <cell r="N291">
            <v>5978.1045452741855</v>
          </cell>
          <cell r="O291">
            <v>5993.7545762651171</v>
          </cell>
          <cell r="P291">
            <v>6251.1086086014566</v>
          </cell>
          <cell r="Q291">
            <v>6545.0150556943636</v>
          </cell>
          <cell r="R291">
            <v>6857.360364281305</v>
          </cell>
          <cell r="S291">
            <v>7216.4853030157956</v>
          </cell>
          <cell r="T291">
            <v>7527.399842884297</v>
          </cell>
          <cell r="U291">
            <v>8068.4471852160214</v>
          </cell>
          <cell r="V291">
            <v>8637.0155147854675</v>
          </cell>
          <cell r="W291">
            <v>9132.2699067393223</v>
          </cell>
          <cell r="X291">
            <v>9334.210585621915</v>
          </cell>
          <cell r="Y291">
            <v>9652.3734184585046</v>
          </cell>
          <cell r="Z291">
            <v>10129.531809913426</v>
          </cell>
          <cell r="AA291">
            <v>10549.414687247838</v>
          </cell>
          <cell r="AB291">
            <v>10617.785206666567</v>
          </cell>
          <cell r="AC291">
            <v>10850.415661333316</v>
          </cell>
          <cell r="AD291">
            <v>11208.394192480373</v>
          </cell>
          <cell r="AE291">
            <v>11723.25428099248</v>
          </cell>
        </row>
        <row r="292">
          <cell r="G292">
            <v>8982.682049718147</v>
          </cell>
          <cell r="H292">
            <v>9133.9571886090871</v>
          </cell>
          <cell r="I292">
            <v>9228.0551391407607</v>
          </cell>
          <cell r="J292">
            <v>9325.9303391624871</v>
          </cell>
          <cell r="K292">
            <v>9435.3594788008522</v>
          </cell>
          <cell r="L292">
            <v>9402.5029670648019</v>
          </cell>
          <cell r="M292">
            <v>9317.0133829133265</v>
          </cell>
          <cell r="N292">
            <v>9594.8534284338602</v>
          </cell>
          <cell r="O292">
            <v>9549.1543135264837</v>
          </cell>
          <cell r="P292">
            <v>9905.9247494187312</v>
          </cell>
          <cell r="Q292">
            <v>10179.873946420012</v>
          </cell>
          <cell r="R292">
            <v>10570.47967384969</v>
          </cell>
          <cell r="S292">
            <v>11214.050773343295</v>
          </cell>
          <cell r="T292">
            <v>11613.829592872014</v>
          </cell>
          <cell r="U292">
            <v>12097.143965452469</v>
          </cell>
          <cell r="V292">
            <v>12642.748453845543</v>
          </cell>
          <cell r="W292">
            <v>13013.240075139931</v>
          </cell>
          <cell r="X292">
            <v>13291.521251566393</v>
          </cell>
          <cell r="Y292">
            <v>13704.521907588638</v>
          </cell>
          <cell r="Z292">
            <v>14204.638505637235</v>
          </cell>
          <cell r="AA292">
            <v>14704.160551185496</v>
          </cell>
          <cell r="AB292">
            <v>14715.028570659057</v>
          </cell>
          <cell r="AC292">
            <v>14928.119440779048</v>
          </cell>
          <cell r="AD292">
            <v>15215.031073933886</v>
          </cell>
          <cell r="AE292">
            <v>15656.809695717346</v>
          </cell>
        </row>
        <row r="293">
          <cell r="G293">
            <v>11026.806939503975</v>
          </cell>
          <cell r="H293">
            <v>11212.506682861736</v>
          </cell>
          <cell r="I293">
            <v>11328.017832891619</v>
          </cell>
          <cell r="J293">
            <v>11448.165794138758</v>
          </cell>
          <cell r="K293">
            <v>11582.496942638683</v>
          </cell>
          <cell r="L293">
            <v>11542.163508858694</v>
          </cell>
          <cell r="M293">
            <v>11437.219669751494</v>
          </cell>
          <cell r="N293">
            <v>11778.285792882729</v>
          </cell>
          <cell r="O293">
            <v>11722.187256320849</v>
          </cell>
          <cell r="P293">
            <v>12160.145395831078</v>
          </cell>
          <cell r="Q293">
            <v>12496.43525779497</v>
          </cell>
          <cell r="R293">
            <v>12975.92834482533</v>
          </cell>
          <cell r="S293">
            <v>13765.952329497366</v>
          </cell>
          <cell r="T293">
            <v>14256.705963773478</v>
          </cell>
          <cell r="U293">
            <v>14850.004741135788</v>
          </cell>
          <cell r="V293">
            <v>15519.768551714615</v>
          </cell>
          <cell r="W293">
            <v>15983.555698489869</v>
          </cell>
          <cell r="X293">
            <v>16194.710846388716</v>
          </cell>
          <cell r="Y293">
            <v>16576.532245536484</v>
          </cell>
          <cell r="Z293">
            <v>16934.510115706671</v>
          </cell>
          <cell r="AA293">
            <v>17217.490214471542</v>
          </cell>
          <cell r="AB293">
            <v>17241.166059223928</v>
          </cell>
          <cell r="AC293">
            <v>17506.071071606191</v>
          </cell>
          <cell r="AD293">
            <v>17889.73979428424</v>
          </cell>
          <cell r="AE293">
            <v>18472.572870047712</v>
          </cell>
        </row>
      </sheetData>
      <sheetData sheetId="7">
        <row r="20">
          <cell r="H20">
            <v>0.54056403834827815</v>
          </cell>
          <cell r="I20">
            <v>0.48200277076100684</v>
          </cell>
          <cell r="J20">
            <v>0.56609879065860214</v>
          </cell>
          <cell r="K20">
            <v>0.38751242004584513</v>
          </cell>
          <cell r="L20">
            <v>0.37711808922827855</v>
          </cell>
          <cell r="M20">
            <v>0.25636734424005708</v>
          </cell>
          <cell r="N20">
            <v>0.44466162759752242</v>
          </cell>
          <cell r="O20">
            <v>0.45536974953410997</v>
          </cell>
          <cell r="P20">
            <v>0.70573583862289258</v>
          </cell>
          <cell r="Q20">
            <v>0.32030228474056088</v>
          </cell>
          <cell r="R20">
            <v>0.45656607817537698</v>
          </cell>
          <cell r="S20">
            <v>0.54274096423648555</v>
          </cell>
          <cell r="T20">
            <v>0.5468986965635122</v>
          </cell>
          <cell r="U20">
            <v>0.68988938711233838</v>
          </cell>
          <cell r="V20">
            <v>0.53901469469811258</v>
          </cell>
          <cell r="W20">
            <v>0.3806850435515966</v>
          </cell>
          <cell r="X20">
            <v>0.49257182617893736</v>
          </cell>
          <cell r="Y20">
            <v>0.47062937090000179</v>
          </cell>
          <cell r="Z20">
            <v>0.56590400000000007</v>
          </cell>
          <cell r="AA20">
            <v>0.63572800000000007</v>
          </cell>
          <cell r="AB20">
            <v>0.55195677698180112</v>
          </cell>
          <cell r="AC20">
            <v>0.49509450059010646</v>
          </cell>
          <cell r="AD20">
            <v>0.48926806425812347</v>
          </cell>
          <cell r="AE20">
            <v>0.50707539425908554</v>
          </cell>
        </row>
        <row r="21">
          <cell r="H21">
            <v>0.40814400000000001</v>
          </cell>
          <cell r="I21">
            <v>0.39798</v>
          </cell>
          <cell r="J21">
            <v>0.425238</v>
          </cell>
          <cell r="K21">
            <v>0.88486200000000004</v>
          </cell>
          <cell r="L21">
            <v>0.683562</v>
          </cell>
          <cell r="M21">
            <v>0.85707600000000006</v>
          </cell>
          <cell r="N21">
            <v>0.88373999999999997</v>
          </cell>
          <cell r="O21">
            <v>1.075866</v>
          </cell>
          <cell r="P21">
            <v>1.041018</v>
          </cell>
          <cell r="Q21">
            <v>0.91416599999999992</v>
          </cell>
          <cell r="R21">
            <v>1.1944680000000001</v>
          </cell>
          <cell r="S21">
            <v>0.82579200000000008</v>
          </cell>
          <cell r="T21">
            <v>1.2765060000000001</v>
          </cell>
          <cell r="U21">
            <v>1.201794</v>
          </cell>
          <cell r="V21">
            <v>1.6133040000000001</v>
          </cell>
          <cell r="W21">
            <v>2.0698000000000003</v>
          </cell>
          <cell r="X21">
            <v>1.415</v>
          </cell>
          <cell r="Y21">
            <v>1.1031</v>
          </cell>
          <cell r="Z21">
            <v>1.0355000000000001</v>
          </cell>
          <cell r="AA21">
            <v>0.28970000000000001</v>
          </cell>
          <cell r="AB21">
            <v>0.96416996977002289</v>
          </cell>
          <cell r="AC21">
            <v>1.0474829794917409</v>
          </cell>
          <cell r="AD21">
            <v>1.0602062008599469</v>
          </cell>
          <cell r="AE21">
            <v>1.0741061198150028</v>
          </cell>
        </row>
        <row r="22">
          <cell r="H22">
            <v>0.210256</v>
          </cell>
          <cell r="I22">
            <v>0.20502000000000001</v>
          </cell>
          <cell r="J22">
            <v>0.21906200000000001</v>
          </cell>
          <cell r="K22">
            <v>0.45583800000000002</v>
          </cell>
          <cell r="L22">
            <v>0.35213800000000001</v>
          </cell>
          <cell r="M22">
            <v>0.44152400000000003</v>
          </cell>
          <cell r="N22">
            <v>0.45526000000000005</v>
          </cell>
          <cell r="O22">
            <v>0.554234</v>
          </cell>
          <cell r="P22">
            <v>0.53628200000000004</v>
          </cell>
          <cell r="Q22">
            <v>0.47093400000000002</v>
          </cell>
          <cell r="R22">
            <v>0.61533199999999999</v>
          </cell>
          <cell r="S22">
            <v>0.42540800000000006</v>
          </cell>
          <cell r="T22">
            <v>0.65759400000000001</v>
          </cell>
          <cell r="U22">
            <v>0.61910600000000016</v>
          </cell>
          <cell r="V22">
            <v>0.83109600000000017</v>
          </cell>
          <cell r="W22">
            <v>0.93820000000000003</v>
          </cell>
          <cell r="X22">
            <v>0.94359999999999999</v>
          </cell>
          <cell r="Y22">
            <v>0.53320000000000001</v>
          </cell>
          <cell r="Z22">
            <v>0.64049999999999996</v>
          </cell>
          <cell r="AA22">
            <v>0.29170000000000001</v>
          </cell>
          <cell r="AB22">
            <v>0.43694662123493522</v>
          </cell>
          <cell r="AC22">
            <v>0.58273476357135601</v>
          </cell>
          <cell r="AD22">
            <v>0.6086834810811409</v>
          </cell>
          <cell r="AE22">
            <v>0.64149366754371639</v>
          </cell>
        </row>
        <row r="23">
          <cell r="H23">
            <v>1.9095</v>
          </cell>
          <cell r="I23">
            <v>2.8365629999999999</v>
          </cell>
          <cell r="J23">
            <v>2.2281</v>
          </cell>
          <cell r="K23">
            <v>1.61</v>
          </cell>
          <cell r="L23">
            <v>1.4142000000000001</v>
          </cell>
          <cell r="M23">
            <v>1.5080250000000002</v>
          </cell>
          <cell r="N23">
            <v>0.83910000000000007</v>
          </cell>
          <cell r="O23">
            <v>1.2907</v>
          </cell>
          <cell r="P23">
            <v>3.8820000000000001</v>
          </cell>
          <cell r="Q23">
            <v>3.8363</v>
          </cell>
          <cell r="R23">
            <v>5.9918000000000005</v>
          </cell>
          <cell r="S23">
            <v>4.3921000000000001</v>
          </cell>
          <cell r="T23">
            <v>3.3323</v>
          </cell>
          <cell r="U23">
            <v>3.0750000000000002</v>
          </cell>
          <cell r="V23">
            <v>3.1429999999999998</v>
          </cell>
          <cell r="W23">
            <v>2.3030999999999997</v>
          </cell>
          <cell r="X23">
            <v>1.4487000000000001</v>
          </cell>
          <cell r="Y23">
            <v>2.0606</v>
          </cell>
          <cell r="Z23">
            <v>3.4781999999999997</v>
          </cell>
          <cell r="AA23">
            <v>2.6520000000000001</v>
          </cell>
          <cell r="AB23">
            <v>2.9438208100000005</v>
          </cell>
          <cell r="AC23">
            <v>2.7560084900000006</v>
          </cell>
          <cell r="AD23">
            <v>2.603018580000001</v>
          </cell>
          <cell r="AE23">
            <v>2.6672277900000001</v>
          </cell>
        </row>
        <row r="24">
          <cell r="H24">
            <v>0.14913168675370994</v>
          </cell>
          <cell r="I24">
            <v>0.1329757089339306</v>
          </cell>
          <cell r="J24">
            <v>0.15617625578296401</v>
          </cell>
          <cell r="K24">
            <v>0.1069075571805157</v>
          </cell>
          <cell r="L24">
            <v>0.10403995227613426</v>
          </cell>
          <cell r="M24">
            <v>7.0727040207687705E-2</v>
          </cell>
          <cell r="N24">
            <v>0.12267397357932248</v>
          </cell>
          <cell r="O24">
            <v>0.12562814768836453</v>
          </cell>
          <cell r="P24">
            <v>0.19469955185691878</v>
          </cell>
          <cell r="Q24">
            <v>8.8365515657279348E-2</v>
          </cell>
          <cell r="R24">
            <v>0.12595819278113293</v>
          </cell>
          <cell r="S24">
            <v>0.14973226061104264</v>
          </cell>
          <cell r="T24">
            <v>0.15087930257279522</v>
          </cell>
          <cell r="U24">
            <v>0.19032780702155982</v>
          </cell>
          <cell r="V24">
            <v>0.14870425130569837</v>
          </cell>
          <cell r="W24">
            <v>0.16880282991010148</v>
          </cell>
          <cell r="X24">
            <v>0.21751936506571806</v>
          </cell>
          <cell r="Y24">
            <v>0.19732937621560423</v>
          </cell>
          <cell r="Z24">
            <v>0.10970000000000001</v>
          </cell>
          <cell r="AA24">
            <v>9.4200000000000006E-2</v>
          </cell>
          <cell r="AB24">
            <v>9.8923323863743931E-2</v>
          </cell>
          <cell r="AC24">
            <v>0.10283212131183471</v>
          </cell>
          <cell r="AD24">
            <v>0.11325872838672849</v>
          </cell>
          <cell r="AE24">
            <v>0.12860505588071519</v>
          </cell>
        </row>
        <row r="25">
          <cell r="H25">
            <v>6.0347113246290073E-2</v>
          </cell>
          <cell r="I25">
            <v>5.3809491066069394E-2</v>
          </cell>
          <cell r="J25">
            <v>6.3197744217035973E-2</v>
          </cell>
          <cell r="K25">
            <v>4.326084281948428E-2</v>
          </cell>
          <cell r="L25">
            <v>4.2100447723865751E-2</v>
          </cell>
          <cell r="M25">
            <v>2.8620159792312291E-2</v>
          </cell>
          <cell r="N25">
            <v>4.9640826420677527E-2</v>
          </cell>
          <cell r="O25">
            <v>5.0836252311635494E-2</v>
          </cell>
          <cell r="P25">
            <v>7.8786448143081236E-2</v>
          </cell>
          <cell r="Q25">
            <v>3.5757684342720655E-2</v>
          </cell>
          <cell r="R25">
            <v>5.0969807218867055E-2</v>
          </cell>
          <cell r="S25">
            <v>6.059013938895734E-2</v>
          </cell>
          <cell r="T25">
            <v>6.1054297427204751E-2</v>
          </cell>
          <cell r="U25">
            <v>7.7017392978440125E-2</v>
          </cell>
          <cell r="V25">
            <v>6.0174148694301641E-2</v>
          </cell>
          <cell r="W25">
            <v>6.8307170089898533E-2</v>
          </cell>
          <cell r="X25">
            <v>8.8020634934281985E-2</v>
          </cell>
          <cell r="Y25">
            <v>7.9850623784395738E-2</v>
          </cell>
          <cell r="Z25">
            <v>0.10970000000000001</v>
          </cell>
          <cell r="AA25">
            <v>9.4200000000000006E-2</v>
          </cell>
          <cell r="AB25">
            <v>9.8923323863743931E-2</v>
          </cell>
          <cell r="AC25">
            <v>0.10283212131183471</v>
          </cell>
          <cell r="AD25">
            <v>0.11325872838672849</v>
          </cell>
          <cell r="AE25">
            <v>0.12860505588071519</v>
          </cell>
        </row>
        <row r="26">
          <cell r="H26">
            <v>6.7900000000000002E-2</v>
          </cell>
          <cell r="I26">
            <v>9.3099999999999988E-2</v>
          </cell>
          <cell r="J26">
            <v>0.17349999999999999</v>
          </cell>
          <cell r="K26">
            <v>0.1865</v>
          </cell>
          <cell r="L26">
            <v>9.8900000000000002E-2</v>
          </cell>
          <cell r="M26">
            <v>0.1036</v>
          </cell>
          <cell r="N26">
            <v>0.1033</v>
          </cell>
          <cell r="O26">
            <v>0.10299999999999999</v>
          </cell>
          <cell r="P26">
            <v>0.16839999999999999</v>
          </cell>
          <cell r="Q26">
            <v>9.3099999999999988E-2</v>
          </cell>
          <cell r="R26">
            <v>0.1729</v>
          </cell>
          <cell r="S26">
            <v>0.18819999999999998</v>
          </cell>
          <cell r="T26">
            <v>0.14849999999999999</v>
          </cell>
          <cell r="U26">
            <v>0.13639999999999999</v>
          </cell>
          <cell r="V26">
            <v>0.11509999999999999</v>
          </cell>
          <cell r="W26">
            <v>0.34855169999999996</v>
          </cell>
          <cell r="X26">
            <v>0.44914379999999998</v>
          </cell>
          <cell r="Y26">
            <v>0.4074546</v>
          </cell>
          <cell r="Z26">
            <v>3.5369000000000002</v>
          </cell>
          <cell r="AA26">
            <v>3.9733000000000001</v>
          </cell>
          <cell r="AB26">
            <v>3.449729856136257</v>
          </cell>
          <cell r="AC26">
            <v>3.0943406286881654</v>
          </cell>
          <cell r="AD26">
            <v>3.0579254016132715</v>
          </cell>
          <cell r="AE26">
            <v>3.1692212141192844</v>
          </cell>
        </row>
        <row r="27">
          <cell r="H27">
            <v>0.34329999999999999</v>
          </cell>
          <cell r="I27">
            <v>0.83960000000000001</v>
          </cell>
          <cell r="J27">
            <v>0.4824</v>
          </cell>
          <cell r="K27">
            <v>0.71140000000000003</v>
          </cell>
          <cell r="L27">
            <v>0.39800000000000002</v>
          </cell>
          <cell r="M27">
            <v>0.2858</v>
          </cell>
          <cell r="N27">
            <v>0.30269999999999997</v>
          </cell>
          <cell r="O27">
            <v>0.52510000000000001</v>
          </cell>
          <cell r="P27">
            <v>0.63970000000000005</v>
          </cell>
          <cell r="Q27">
            <v>0.7984</v>
          </cell>
          <cell r="R27">
            <v>2.4916999999999998</v>
          </cell>
          <cell r="S27">
            <v>1.8120000000000001</v>
          </cell>
          <cell r="T27">
            <v>1.2810999999999999</v>
          </cell>
          <cell r="U27">
            <v>1.1297999999999999</v>
          </cell>
          <cell r="V27">
            <v>0.46079999999999999</v>
          </cell>
          <cell r="W27">
            <v>0.1757</v>
          </cell>
          <cell r="X27">
            <v>0.44230000000000003</v>
          </cell>
          <cell r="Y27">
            <v>0.30010000000000003</v>
          </cell>
          <cell r="Z27">
            <v>0.32750000000000001</v>
          </cell>
          <cell r="AA27">
            <v>0.47720000000000001</v>
          </cell>
          <cell r="AB27">
            <v>0.55912742999999965</v>
          </cell>
          <cell r="AC27">
            <v>0.54529235000000031</v>
          </cell>
          <cell r="AD27">
            <v>0.40671768999999997</v>
          </cell>
          <cell r="AE27">
            <v>0.44228138999999994</v>
          </cell>
        </row>
        <row r="28">
          <cell r="H28">
            <v>0.20303249999999998</v>
          </cell>
          <cell r="I28">
            <v>0.28772999999999999</v>
          </cell>
          <cell r="J28">
            <v>0.3148125</v>
          </cell>
          <cell r="K28">
            <v>0.34934699999999996</v>
          </cell>
          <cell r="L28">
            <v>0.195408</v>
          </cell>
          <cell r="M28">
            <v>0.33637499999999998</v>
          </cell>
          <cell r="N28">
            <v>0.13727549999999999</v>
          </cell>
          <cell r="O28">
            <v>0.35469449999999997</v>
          </cell>
          <cell r="P28">
            <v>0.25029750000000001</v>
          </cell>
          <cell r="Q28">
            <v>0.1968915</v>
          </cell>
          <cell r="R28">
            <v>0.43252649999999998</v>
          </cell>
          <cell r="S28">
            <v>0.54820499999999994</v>
          </cell>
          <cell r="T28">
            <v>0.97724699999999987</v>
          </cell>
          <cell r="U28">
            <v>0.84756149999999986</v>
          </cell>
          <cell r="V28">
            <v>0.64639199999999997</v>
          </cell>
          <cell r="W28">
            <v>0.33719399999999999</v>
          </cell>
          <cell r="X28">
            <v>0.39087360000000004</v>
          </cell>
          <cell r="Y28">
            <v>0.30558060000000004</v>
          </cell>
          <cell r="Z28">
            <v>3.7835000000000001</v>
          </cell>
          <cell r="AA28">
            <v>1.3673</v>
          </cell>
          <cell r="AB28">
            <v>1.8872418900000005</v>
          </cell>
          <cell r="AC28">
            <v>1.84246679</v>
          </cell>
          <cell r="AD28">
            <v>1.9964261199999997</v>
          </cell>
          <cell r="AE28">
            <v>2.11022474</v>
          </cell>
        </row>
        <row r="29">
          <cell r="H29">
            <v>0.38546750000000002</v>
          </cell>
          <cell r="I29">
            <v>0.54627000000000003</v>
          </cell>
          <cell r="J29">
            <v>0.59768750000000004</v>
          </cell>
          <cell r="K29">
            <v>0.66325300000000009</v>
          </cell>
          <cell r="L29">
            <v>0.37099200000000004</v>
          </cell>
          <cell r="M29">
            <v>0.638625</v>
          </cell>
          <cell r="N29">
            <v>0.26062450000000004</v>
          </cell>
          <cell r="O29">
            <v>0.67340549999999999</v>
          </cell>
          <cell r="P29">
            <v>0.47520250000000003</v>
          </cell>
          <cell r="Q29">
            <v>0.37380850000000004</v>
          </cell>
          <cell r="R29">
            <v>0.82117350000000011</v>
          </cell>
          <cell r="S29">
            <v>1.0407950000000001</v>
          </cell>
          <cell r="T29">
            <v>1.855353</v>
          </cell>
          <cell r="U29">
            <v>1.6091385</v>
          </cell>
          <cell r="V29">
            <v>1.2272080000000001</v>
          </cell>
          <cell r="W29">
            <v>1.1038060000000001</v>
          </cell>
          <cell r="X29">
            <v>1.2795264000000002</v>
          </cell>
          <cell r="Y29">
            <v>1.0003194000000002</v>
          </cell>
          <cell r="Z29">
            <v>3.7835000000000001</v>
          </cell>
          <cell r="AA29">
            <v>1.3673</v>
          </cell>
          <cell r="AB29">
            <v>1.8872418900000005</v>
          </cell>
          <cell r="AC29">
            <v>1.84246679</v>
          </cell>
          <cell r="AD29">
            <v>1.9964261199999997</v>
          </cell>
          <cell r="AE29">
            <v>2.11022474</v>
          </cell>
        </row>
        <row r="30">
          <cell r="H30">
            <v>0.66609400000000007</v>
          </cell>
          <cell r="I30">
            <v>1.1484180000000002</v>
          </cell>
          <cell r="J30">
            <v>0.55253399999999997</v>
          </cell>
          <cell r="K30">
            <v>0.6476320000000001</v>
          </cell>
          <cell r="L30">
            <v>0.68836400000000009</v>
          </cell>
          <cell r="M30">
            <v>0.40613802400000004</v>
          </cell>
          <cell r="N30">
            <v>0.97611110000000012</v>
          </cell>
          <cell r="O30">
            <v>0.44944599999999996</v>
          </cell>
          <cell r="P30">
            <v>1.0394595600000001</v>
          </cell>
          <cell r="Q30">
            <v>1.9108285600000001</v>
          </cell>
          <cell r="R30">
            <v>2.0233162</v>
          </cell>
          <cell r="S30">
            <v>1.5876980000000001</v>
          </cell>
          <cell r="T30">
            <v>1.3800260000000002</v>
          </cell>
          <cell r="U30">
            <v>1.4298360000000001</v>
          </cell>
          <cell r="V30">
            <v>1.3088299999999999</v>
          </cell>
          <cell r="W30">
            <v>1.4430000000000001</v>
          </cell>
          <cell r="X30">
            <v>1.3551</v>
          </cell>
          <cell r="Y30">
            <v>1.248</v>
          </cell>
          <cell r="Z30">
            <v>1.1154000000000002</v>
          </cell>
          <cell r="AA30">
            <v>1.0509999999999999</v>
          </cell>
          <cell r="AB30">
            <v>1.2799544001277074</v>
          </cell>
          <cell r="AC30">
            <v>1.4046792195590034</v>
          </cell>
          <cell r="AD30">
            <v>1.4878548079657998</v>
          </cell>
          <cell r="AE30">
            <v>1.4917427808967407</v>
          </cell>
        </row>
        <row r="31">
          <cell r="H31">
            <v>1.2930060000000001</v>
          </cell>
          <cell r="I31">
            <v>2.229282</v>
          </cell>
          <cell r="J31">
            <v>1.0725660000000001</v>
          </cell>
          <cell r="K31">
            <v>1.2571680000000001</v>
          </cell>
          <cell r="L31">
            <v>1.3362360000000002</v>
          </cell>
          <cell r="M31">
            <v>0.78838557600000003</v>
          </cell>
          <cell r="N31">
            <v>1.8948039000000001</v>
          </cell>
          <cell r="O31">
            <v>0.87245399999999995</v>
          </cell>
          <cell r="P31">
            <v>2.0177744400000002</v>
          </cell>
          <cell r="Q31">
            <v>3.7092554399999997</v>
          </cell>
          <cell r="R31">
            <v>3.9276137999999996</v>
          </cell>
          <cell r="S31">
            <v>3.0820020000000001</v>
          </cell>
          <cell r="T31">
            <v>2.6788740000000009</v>
          </cell>
          <cell r="U31">
            <v>2.7755639999999997</v>
          </cell>
          <cell r="V31">
            <v>2.5406699999999995</v>
          </cell>
          <cell r="W31">
            <v>1.5496500000000002</v>
          </cell>
          <cell r="X31">
            <v>3.1783999999999999</v>
          </cell>
          <cell r="Y31">
            <v>3.2438500000000001</v>
          </cell>
          <cell r="Z31">
            <v>1.3588</v>
          </cell>
          <cell r="AA31">
            <v>0.66200000000000003</v>
          </cell>
          <cell r="AB31">
            <v>1.2854712808283151</v>
          </cell>
          <cell r="AC31">
            <v>1.5350817518422488</v>
          </cell>
          <cell r="AD31">
            <v>1.3825302212329729</v>
          </cell>
          <cell r="AE31">
            <v>1.2973344781524432</v>
          </cell>
        </row>
        <row r="53">
          <cell r="H53">
            <v>4.6720565328458212</v>
          </cell>
          <cell r="I53">
            <v>1.5093528080297529</v>
          </cell>
          <cell r="J53">
            <v>1.6326353993862486</v>
          </cell>
          <cell r="K53">
            <v>2.6697249363466713</v>
          </cell>
          <cell r="L53">
            <v>1.9057770751539596</v>
          </cell>
          <cell r="M53">
            <v>1.3124038157725313</v>
          </cell>
          <cell r="N53">
            <v>1.0072288765130091</v>
          </cell>
          <cell r="O53">
            <v>1.7837576251023464</v>
          </cell>
          <cell r="P53">
            <v>1.8651544507889506</v>
          </cell>
          <cell r="Q53">
            <v>2.2166108874593542</v>
          </cell>
          <cell r="R53">
            <v>2.5878733797903091</v>
          </cell>
          <cell r="S53">
            <v>4.1569475087148886</v>
          </cell>
          <cell r="T53">
            <v>5.6567509684797317</v>
          </cell>
          <cell r="U53">
            <v>5.4289813283833865</v>
          </cell>
          <cell r="V53">
            <v>3.5235074071425996</v>
          </cell>
          <cell r="W53">
            <v>2.4352050691170355</v>
          </cell>
          <cell r="X53">
            <v>2.1414388221232086</v>
          </cell>
          <cell r="Y53">
            <v>2.302555021843534</v>
          </cell>
          <cell r="Z53">
            <v>1.4488319999999999</v>
          </cell>
          <cell r="AA53">
            <v>4.2056000000000004</v>
          </cell>
          <cell r="AB53">
            <v>2.5994797107084047</v>
          </cell>
          <cell r="AC53">
            <v>2.6698126381317313</v>
          </cell>
          <cell r="AD53">
            <v>2.4533274635786939</v>
          </cell>
          <cell r="AE53">
            <v>2.3671787571438605</v>
          </cell>
        </row>
        <row r="54">
          <cell r="H54">
            <v>2.1049529227503614</v>
          </cell>
          <cell r="I54">
            <v>0.68002529130110145</v>
          </cell>
          <cell r="J54">
            <v>0.7355691506648977</v>
          </cell>
          <cell r="K54">
            <v>1.2028204856244402</v>
          </cell>
          <cell r="L54">
            <v>0.85863066858321024</v>
          </cell>
          <cell r="M54">
            <v>0.59129169957975791</v>
          </cell>
          <cell r="N54">
            <v>0.45379788377757357</v>
          </cell>
          <cell r="O54">
            <v>0.80365590613912508</v>
          </cell>
          <cell r="P54">
            <v>0.84032851164530364</v>
          </cell>
          <cell r="Q54">
            <v>0.99867403858570003</v>
          </cell>
          <cell r="R54">
            <v>1.1659430052271653</v>
          </cell>
          <cell r="S54">
            <v>1.8728751988922039</v>
          </cell>
          <cell r="T54">
            <v>2.5485981174802896</v>
          </cell>
          <cell r="U54">
            <v>2.4459785609179971</v>
          </cell>
          <cell r="V54">
            <v>1.587484475595518</v>
          </cell>
          <cell r="W54">
            <v>1.0971596751232116</v>
          </cell>
          <cell r="X54">
            <v>0.96480594269985731</v>
          </cell>
          <cell r="Y54">
            <v>1.0373953930028383</v>
          </cell>
          <cell r="Z54">
            <v>0.90551999999999988</v>
          </cell>
          <cell r="AA54">
            <v>2.6284999999999998</v>
          </cell>
          <cell r="AB54">
            <v>1.6246748191927527</v>
          </cell>
          <cell r="AC54">
            <v>1.668632898832332</v>
          </cell>
          <cell r="AD54">
            <v>1.5333296647366834</v>
          </cell>
          <cell r="AE54">
            <v>1.4794867232149127</v>
          </cell>
        </row>
        <row r="55">
          <cell r="H55">
            <v>2.4698905444038184</v>
          </cell>
          <cell r="I55">
            <v>0.79792190066914614</v>
          </cell>
          <cell r="J55">
            <v>0.86309544994885412</v>
          </cell>
          <cell r="K55">
            <v>1.4113545780288896</v>
          </cell>
          <cell r="L55">
            <v>1.0074922562628299</v>
          </cell>
          <cell r="M55">
            <v>0.69380448464771105</v>
          </cell>
          <cell r="N55">
            <v>0.53247323970941751</v>
          </cell>
          <cell r="O55">
            <v>0.94298646875852898</v>
          </cell>
          <cell r="P55">
            <v>0.98601703756574599</v>
          </cell>
          <cell r="Q55">
            <v>1.1718150739549462</v>
          </cell>
          <cell r="R55">
            <v>1.368083614982526</v>
          </cell>
          <cell r="S55">
            <v>2.1975772923929076</v>
          </cell>
          <cell r="T55">
            <v>2.9904509140399775</v>
          </cell>
          <cell r="U55">
            <v>2.8700401106986155</v>
          </cell>
          <cell r="V55">
            <v>1.8627081172618836</v>
          </cell>
          <cell r="W55">
            <v>1.2873752557597529</v>
          </cell>
          <cell r="X55">
            <v>1.1320752351769341</v>
          </cell>
          <cell r="Y55">
            <v>1.2172495851536278</v>
          </cell>
          <cell r="Z55">
            <v>0.23284799999999997</v>
          </cell>
          <cell r="AA55">
            <v>0.67589999999999995</v>
          </cell>
          <cell r="AB55">
            <v>0.41777352493527931</v>
          </cell>
          <cell r="AC55">
            <v>0.42907703112831391</v>
          </cell>
          <cell r="AD55">
            <v>0.39428477093229003</v>
          </cell>
          <cell r="AE55">
            <v>0.38043944311240613</v>
          </cell>
        </row>
        <row r="56">
          <cell r="H56">
            <v>1.1645465043915073</v>
          </cell>
          <cell r="I56">
            <v>1.1001820295846425</v>
          </cell>
          <cell r="J56">
            <v>0.77513011814390298</v>
          </cell>
          <cell r="K56">
            <v>0.68998963836582305</v>
          </cell>
          <cell r="L56">
            <v>0.47628477138962716</v>
          </cell>
          <cell r="M56">
            <v>0.72979317264235954</v>
          </cell>
          <cell r="N56">
            <v>1.1207523315363412</v>
          </cell>
          <cell r="O56">
            <v>1.7296949802124721</v>
          </cell>
          <cell r="P56">
            <v>1.2091017784188862</v>
          </cell>
          <cell r="Q56">
            <v>0.64730626181604856</v>
          </cell>
          <cell r="R56">
            <v>0.79226517966966792</v>
          </cell>
          <cell r="S56">
            <v>1.1545493376429821</v>
          </cell>
          <cell r="T56">
            <v>1.6151595389454148</v>
          </cell>
          <cell r="U56">
            <v>1.1894365697530624</v>
          </cell>
          <cell r="V56">
            <v>1.2257225823958589</v>
          </cell>
          <cell r="W56">
            <v>1.0573849449768578</v>
          </cell>
          <cell r="X56">
            <v>0.72875294390060763</v>
          </cell>
          <cell r="Y56">
            <v>0.92132453975849626</v>
          </cell>
          <cell r="Z56">
            <v>1.6346550000000002</v>
          </cell>
          <cell r="AA56">
            <v>2.0905169999999997</v>
          </cell>
          <cell r="AB56">
            <v>1.7691131441651935</v>
          </cell>
          <cell r="AC56">
            <v>1.7050112905317358</v>
          </cell>
          <cell r="AD56">
            <v>1.6258923167686812</v>
          </cell>
          <cell r="AE56">
            <v>1.7031142550524103</v>
          </cell>
        </row>
        <row r="57">
          <cell r="H57">
            <v>2.1508979819924536</v>
          </cell>
          <cell r="I57">
            <v>2.0320178699041631</v>
          </cell>
          <cell r="J57">
            <v>1.4316524077056443</v>
          </cell>
          <cell r="K57">
            <v>1.2743993607470525</v>
          </cell>
          <cell r="L57">
            <v>0.87969003365045617</v>
          </cell>
          <cell r="M57">
            <v>1.3479158250777785</v>
          </cell>
          <cell r="N57">
            <v>2.0700108747262438</v>
          </cell>
          <cell r="O57">
            <v>3.1947177964742988</v>
          </cell>
          <cell r="P57">
            <v>2.2331908304370804</v>
          </cell>
          <cell r="Q57">
            <v>1.195563875741235</v>
          </cell>
          <cell r="R57">
            <v>1.4633005807224375</v>
          </cell>
          <cell r="S57">
            <v>2.1324333816489229</v>
          </cell>
          <cell r="T57">
            <v>2.983172745624953</v>
          </cell>
          <cell r="U57">
            <v>2.1968695178271713</v>
          </cell>
          <cell r="V57">
            <v>2.2638891783333217</v>
          </cell>
          <cell r="W57">
            <v>1.9529723680105797</v>
          </cell>
          <cell r="X57">
            <v>1.3459945399311508</v>
          </cell>
          <cell r="Y57">
            <v>1.701671067538973</v>
          </cell>
          <cell r="Z57">
            <v>0.59441999999999995</v>
          </cell>
          <cell r="AA57">
            <v>0.76018799999999986</v>
          </cell>
          <cell r="AB57">
            <v>0.64331387060552492</v>
          </cell>
          <cell r="AC57">
            <v>0.62000410564790387</v>
          </cell>
          <cell r="AD57">
            <v>0.59123356973406582</v>
          </cell>
          <cell r="AE57">
            <v>0.61931427456451282</v>
          </cell>
        </row>
        <row r="58">
          <cell r="H58">
            <v>0.53772449549811341</v>
          </cell>
          <cell r="I58">
            <v>0.50800446747604078</v>
          </cell>
          <cell r="J58">
            <v>0.35791310192641107</v>
          </cell>
          <cell r="K58">
            <v>0.31859984018676313</v>
          </cell>
          <cell r="L58">
            <v>0.21992250841261404</v>
          </cell>
          <cell r="M58">
            <v>0.33697895626944463</v>
          </cell>
          <cell r="N58">
            <v>0.51750271868156095</v>
          </cell>
          <cell r="O58">
            <v>0.79867944911857469</v>
          </cell>
          <cell r="P58">
            <v>0.55829770760927011</v>
          </cell>
          <cell r="Q58">
            <v>0.29889096893530875</v>
          </cell>
          <cell r="R58">
            <v>0.36582514518060938</v>
          </cell>
          <cell r="S58">
            <v>0.53310834541223073</v>
          </cell>
          <cell r="T58">
            <v>0.74579318640623826</v>
          </cell>
          <cell r="U58">
            <v>0.54921737945679283</v>
          </cell>
          <cell r="V58">
            <v>0.56597229458333043</v>
          </cell>
          <cell r="W58">
            <v>0.48824309200264493</v>
          </cell>
          <cell r="X58">
            <v>0.3364986349827877</v>
          </cell>
          <cell r="Y58">
            <v>0.42541776688474325</v>
          </cell>
          <cell r="Z58">
            <v>2.1300050000000001</v>
          </cell>
          <cell r="AA58">
            <v>2.7240069999999998</v>
          </cell>
          <cell r="AB58">
            <v>2.305208036336464</v>
          </cell>
          <cell r="AC58">
            <v>2.2216813785716556</v>
          </cell>
          <cell r="AD58">
            <v>2.118586958213736</v>
          </cell>
          <cell r="AE58">
            <v>2.2192094838561709</v>
          </cell>
        </row>
        <row r="59">
          <cell r="H59">
            <v>1.0381942181179253</v>
          </cell>
          <cell r="I59">
            <v>0.980813233035153</v>
          </cell>
          <cell r="J59">
            <v>0.69102917222404159</v>
          </cell>
          <cell r="K59">
            <v>0.61512636070036175</v>
          </cell>
          <cell r="L59">
            <v>0.42460828654730265</v>
          </cell>
          <cell r="M59">
            <v>0.65061124601041742</v>
          </cell>
          <cell r="N59">
            <v>0.99915167505585367</v>
          </cell>
          <cell r="O59">
            <v>1.542024574194655</v>
          </cell>
          <cell r="P59">
            <v>1.077915283534763</v>
          </cell>
          <cell r="Q59">
            <v>0.57707409350740779</v>
          </cell>
          <cell r="R59">
            <v>0.70630509442728517</v>
          </cell>
          <cell r="S59">
            <v>1.029281735295865</v>
          </cell>
          <cell r="T59">
            <v>1.4399161290233935</v>
          </cell>
          <cell r="U59">
            <v>1.0603837329629731</v>
          </cell>
          <cell r="V59">
            <v>1.092732744687489</v>
          </cell>
          <cell r="W59">
            <v>0.94265959500991836</v>
          </cell>
          <cell r="X59">
            <v>0.64968388118545384</v>
          </cell>
          <cell r="Y59">
            <v>0.82136162581778727</v>
          </cell>
          <cell r="Z59">
            <v>0.59441999999999995</v>
          </cell>
          <cell r="AA59">
            <v>0.76018799999999986</v>
          </cell>
          <cell r="AB59">
            <v>0.64331387060552492</v>
          </cell>
          <cell r="AC59">
            <v>0.62000410564790387</v>
          </cell>
          <cell r="AD59">
            <v>0.59123356973406582</v>
          </cell>
          <cell r="AE59">
            <v>0.61931427456451282</v>
          </cell>
        </row>
        <row r="60">
          <cell r="H60">
            <v>1.6924380000000001</v>
          </cell>
          <cell r="I60">
            <v>1.484802</v>
          </cell>
          <cell r="J60">
            <v>2.0873819999999998</v>
          </cell>
          <cell r="K60">
            <v>2.0856660000000002</v>
          </cell>
          <cell r="L60">
            <v>2.3110560000000002</v>
          </cell>
          <cell r="M60">
            <v>3.1661519999999999</v>
          </cell>
          <cell r="N60">
            <v>2.39778</v>
          </cell>
          <cell r="O60">
            <v>1.4201721599999999</v>
          </cell>
          <cell r="P60">
            <v>2.9824739999999998</v>
          </cell>
          <cell r="Q60">
            <v>1.9324140000000003</v>
          </cell>
          <cell r="R60">
            <v>1.907796</v>
          </cell>
          <cell r="S60">
            <v>2.3078220000000003</v>
          </cell>
          <cell r="T60">
            <v>2.4817980000000004</v>
          </cell>
          <cell r="U60">
            <v>2.3626019999999999</v>
          </cell>
          <cell r="V60">
            <v>2.16249</v>
          </cell>
          <cell r="W60">
            <v>2.6243000000000003</v>
          </cell>
          <cell r="X60">
            <v>3.7761</v>
          </cell>
          <cell r="Y60">
            <v>2.5621999999999998</v>
          </cell>
          <cell r="Z60">
            <v>3.0191999999999997</v>
          </cell>
          <cell r="AA60">
            <v>2.9931000000000001</v>
          </cell>
          <cell r="AB60">
            <v>2.8918301090794269</v>
          </cell>
          <cell r="AC60">
            <v>3.782360064278282</v>
          </cell>
          <cell r="AD60">
            <v>3.4705377413257055</v>
          </cell>
          <cell r="AE60">
            <v>3.2160116321090824</v>
          </cell>
        </row>
        <row r="61">
          <cell r="H61">
            <v>0.87186200000000003</v>
          </cell>
          <cell r="I61">
            <v>0.76489800000000008</v>
          </cell>
          <cell r="J61">
            <v>1.075318</v>
          </cell>
          <cell r="K61">
            <v>1.0744339999999999</v>
          </cell>
          <cell r="L61">
            <v>1.190544</v>
          </cell>
          <cell r="M61">
            <v>1.6310480000000001</v>
          </cell>
          <cell r="N61">
            <v>1.23522</v>
          </cell>
          <cell r="O61">
            <v>0.73160384000000001</v>
          </cell>
          <cell r="P61">
            <v>1.5364259999999998</v>
          </cell>
          <cell r="Q61">
            <v>0.99548600000000009</v>
          </cell>
          <cell r="R61">
            <v>0.98280400000000012</v>
          </cell>
          <cell r="S61">
            <v>1.1888779999999999</v>
          </cell>
          <cell r="T61">
            <v>1.2785020000000002</v>
          </cell>
          <cell r="U61">
            <v>1.217098</v>
          </cell>
          <cell r="V61">
            <v>1.1140099999999999</v>
          </cell>
          <cell r="W61">
            <v>1.2012</v>
          </cell>
          <cell r="X61">
            <v>1.5534000000000001</v>
          </cell>
          <cell r="Y61">
            <v>0.81710000000000005</v>
          </cell>
          <cell r="Z61">
            <v>1.2970999999999999</v>
          </cell>
          <cell r="AA61">
            <v>1.4250999999999998</v>
          </cell>
          <cell r="AB61">
            <v>1.3376018689940781</v>
          </cell>
          <cell r="AC61">
            <v>1.4693053926132156</v>
          </cell>
          <cell r="AD61">
            <v>1.3354667382339562</v>
          </cell>
          <cell r="AE61">
            <v>1.249250206816515</v>
          </cell>
        </row>
        <row r="62">
          <cell r="H62">
            <v>5.2438000000000002</v>
          </cell>
          <cell r="I62">
            <v>3.0779999999999998</v>
          </cell>
          <cell r="J62">
            <v>3.5724999999999998</v>
          </cell>
          <cell r="K62">
            <v>4.5848000000000004</v>
          </cell>
          <cell r="L62">
            <v>3.4581999999999997</v>
          </cell>
          <cell r="M62">
            <v>3.2988000000000004</v>
          </cell>
          <cell r="N62">
            <v>3.1168</v>
          </cell>
          <cell r="O62">
            <v>3.8371</v>
          </cell>
          <cell r="P62">
            <v>5.0454999999999997</v>
          </cell>
          <cell r="Q62">
            <v>6.3580129999999997</v>
          </cell>
          <cell r="R62">
            <v>4.7816999999999998</v>
          </cell>
          <cell r="S62">
            <v>6.0843999999999996</v>
          </cell>
          <cell r="T62">
            <v>5.7608000000000006</v>
          </cell>
          <cell r="U62">
            <v>5.1916000000000002</v>
          </cell>
          <cell r="V62">
            <v>6.0718000000000005</v>
          </cell>
          <cell r="W62">
            <v>2.7429000000000001</v>
          </cell>
          <cell r="X62">
            <v>4.8205</v>
          </cell>
          <cell r="Y62">
            <v>3.1579999999999999</v>
          </cell>
          <cell r="Z62">
            <v>4.7521000000000004</v>
          </cell>
          <cell r="AA62">
            <v>4.5863000000000005</v>
          </cell>
          <cell r="AB62">
            <v>4.2521218800000069</v>
          </cell>
          <cell r="AC62">
            <v>4.1643903399999962</v>
          </cell>
          <cell r="AD62">
            <v>4.2213762000000035</v>
          </cell>
          <cell r="AE62">
            <v>4.5285378099999987</v>
          </cell>
        </row>
        <row r="63">
          <cell r="H63">
            <v>0.5481317139383739</v>
          </cell>
          <cell r="I63">
            <v>0.5178364790468617</v>
          </cell>
          <cell r="J63">
            <v>0.36484021769957081</v>
          </cell>
          <cell r="K63">
            <v>0.32476607988686124</v>
          </cell>
          <cell r="L63">
            <v>0.22417892894792907</v>
          </cell>
          <cell r="M63">
            <v>0.34350090875073974</v>
          </cell>
          <cell r="N63">
            <v>0.52751856114705731</v>
          </cell>
          <cell r="O63">
            <v>0.81413723755914813</v>
          </cell>
          <cell r="P63">
            <v>0.56910310376739748</v>
          </cell>
          <cell r="Q63">
            <v>0.30467575952895537</v>
          </cell>
          <cell r="R63">
            <v>0.37290539208903378</v>
          </cell>
          <cell r="S63">
            <v>0.54342622203767876</v>
          </cell>
          <cell r="T63">
            <v>0.76022740442525871</v>
          </cell>
          <cell r="U63">
            <v>0.55984703327961061</v>
          </cell>
          <cell r="V63">
            <v>0.57692622610435551</v>
          </cell>
          <cell r="W63">
            <v>0.37201976634398637</v>
          </cell>
          <cell r="X63">
            <v>0.26963174813441793</v>
          </cell>
          <cell r="Y63">
            <v>0.34990048025184839</v>
          </cell>
          <cell r="Z63">
            <v>0.25180000000000002</v>
          </cell>
          <cell r="AA63">
            <v>0.24840000000000001</v>
          </cell>
          <cell r="AB63">
            <v>0.2696633082872934</v>
          </cell>
          <cell r="AC63">
            <v>0.33187896960079466</v>
          </cell>
          <cell r="AD63">
            <v>0.24932755554944439</v>
          </cell>
          <cell r="AE63">
            <v>0.2462404319623952</v>
          </cell>
        </row>
        <row r="64">
          <cell r="H64">
            <v>0.22180508606162622</v>
          </cell>
          <cell r="I64">
            <v>0.20954592095313826</v>
          </cell>
          <cell r="J64">
            <v>0.14763498230042921</v>
          </cell>
          <cell r="K64">
            <v>0.13141872011313882</v>
          </cell>
          <cell r="L64">
            <v>9.0715471052070965E-2</v>
          </cell>
          <cell r="M64">
            <v>0.13899989124926035</v>
          </cell>
          <cell r="N64">
            <v>0.21346383885294262</v>
          </cell>
          <cell r="O64">
            <v>0.32944596244085222</v>
          </cell>
          <cell r="P64">
            <v>0.23029129623260253</v>
          </cell>
          <cell r="Q64">
            <v>0.12328904047104472</v>
          </cell>
          <cell r="R64">
            <v>0.15089860791096629</v>
          </cell>
          <cell r="S64">
            <v>0.2199009779623213</v>
          </cell>
          <cell r="T64">
            <v>0.30763099557474127</v>
          </cell>
          <cell r="U64">
            <v>0.22654576672038956</v>
          </cell>
          <cell r="V64">
            <v>0.23345697389564446</v>
          </cell>
          <cell r="W64">
            <v>0.15054023365601354</v>
          </cell>
          <cell r="X64">
            <v>0.1091082518655821</v>
          </cell>
          <cell r="Y64">
            <v>0.14158951974815162</v>
          </cell>
          <cell r="Z64">
            <v>0.25180000000000002</v>
          </cell>
          <cell r="AA64">
            <v>0.24840000000000001</v>
          </cell>
          <cell r="AB64">
            <v>0.2696633082872934</v>
          </cell>
          <cell r="AC64">
            <v>0.33187896960079466</v>
          </cell>
          <cell r="AD64">
            <v>0.24932755554944439</v>
          </cell>
          <cell r="AE64">
            <v>0.2462404319623952</v>
          </cell>
        </row>
        <row r="65">
          <cell r="H65">
            <v>0.23799999999999999</v>
          </cell>
          <cell r="I65">
            <v>0.17499999999999999</v>
          </cell>
          <cell r="J65">
            <v>0.22190000000000001</v>
          </cell>
          <cell r="K65">
            <v>0.18659999999999999</v>
          </cell>
          <cell r="L65">
            <v>0.33439999999999998</v>
          </cell>
          <cell r="M65">
            <v>0.22409999999999999</v>
          </cell>
          <cell r="N65">
            <v>0.1966</v>
          </cell>
          <cell r="O65">
            <v>0.28989999999999999</v>
          </cell>
          <cell r="P65">
            <v>0.19939999999999999</v>
          </cell>
          <cell r="Q65">
            <v>0.25030000000000002</v>
          </cell>
          <cell r="R65">
            <v>0.33189999999999997</v>
          </cell>
          <cell r="S65">
            <v>0.25900000000000001</v>
          </cell>
          <cell r="T65">
            <v>0.33539999999999998</v>
          </cell>
          <cell r="U65">
            <v>0.30019999999999997</v>
          </cell>
          <cell r="V65">
            <v>0.20430000000000001</v>
          </cell>
          <cell r="W65">
            <v>0.76816319999999993</v>
          </cell>
          <cell r="X65">
            <v>0.55674780000000001</v>
          </cell>
          <cell r="Y65">
            <v>0.72249029999999992</v>
          </cell>
          <cell r="Z65">
            <v>4.9535</v>
          </cell>
          <cell r="AA65">
            <v>6.3348999999999993</v>
          </cell>
          <cell r="AB65">
            <v>5.3609489217127075</v>
          </cell>
          <cell r="AC65">
            <v>5.1667008803991994</v>
          </cell>
          <cell r="AD65">
            <v>4.9269464144505486</v>
          </cell>
          <cell r="AE65">
            <v>5.1609522880376071</v>
          </cell>
        </row>
        <row r="66">
          <cell r="H66">
            <v>0.61850000000000005</v>
          </cell>
          <cell r="I66">
            <v>2.2084999999999999</v>
          </cell>
          <cell r="J66">
            <v>1.4847000000000001</v>
          </cell>
          <cell r="K66">
            <v>0.95320000000000005</v>
          </cell>
          <cell r="L66">
            <v>0.90810000000000002</v>
          </cell>
          <cell r="M66">
            <v>0.42230000000000001</v>
          </cell>
          <cell r="N66">
            <v>0.60639999999999994</v>
          </cell>
          <cell r="O66">
            <v>0.6167999999999999</v>
          </cell>
          <cell r="P66">
            <v>1.0635999999999999</v>
          </cell>
          <cell r="Q66">
            <v>1.0459000000000001</v>
          </cell>
          <cell r="R66">
            <v>2.0405000000000002</v>
          </cell>
          <cell r="S66">
            <v>2.3144</v>
          </cell>
          <cell r="T66">
            <v>1.7478</v>
          </cell>
          <cell r="U66">
            <v>1.9861</v>
          </cell>
          <cell r="V66">
            <v>1.1522000000000001</v>
          </cell>
          <cell r="W66">
            <v>0.38150000000000001</v>
          </cell>
          <cell r="X66">
            <v>0.92549999999999999</v>
          </cell>
          <cell r="Y66">
            <v>1.1422999999999999</v>
          </cell>
          <cell r="Z66">
            <v>1.5630999999999999</v>
          </cell>
          <cell r="AA66">
            <v>1.7925</v>
          </cell>
          <cell r="AB66">
            <v>1.7621433593581584</v>
          </cell>
          <cell r="AC66">
            <v>1.4336343163011998</v>
          </cell>
          <cell r="AD66">
            <v>1.3691762784064214</v>
          </cell>
          <cell r="AE66">
            <v>1.5800612145564872</v>
          </cell>
        </row>
        <row r="67">
          <cell r="H67">
            <v>0.43003140000000001</v>
          </cell>
          <cell r="I67">
            <v>0.38538420000000001</v>
          </cell>
          <cell r="J67">
            <v>0.66239400000000004</v>
          </cell>
          <cell r="K67">
            <v>0.43521479999999996</v>
          </cell>
          <cell r="L67">
            <v>0.36477779999999993</v>
          </cell>
          <cell r="M67">
            <v>0.67629059999999996</v>
          </cell>
          <cell r="N67">
            <v>0.52988339999999989</v>
          </cell>
          <cell r="O67">
            <v>0.50167679999999992</v>
          </cell>
          <cell r="P67">
            <v>0.38506620000000003</v>
          </cell>
          <cell r="Q67">
            <v>0.32744460000000003</v>
          </cell>
          <cell r="R67">
            <v>0.54336660000000003</v>
          </cell>
          <cell r="S67">
            <v>0.64827480000000004</v>
          </cell>
          <cell r="T67">
            <v>0.97781820000000008</v>
          </cell>
          <cell r="U67">
            <v>0.78724080000000007</v>
          </cell>
          <cell r="V67">
            <v>0.68166479999999996</v>
          </cell>
          <cell r="W67">
            <v>0.47345219999999999</v>
          </cell>
          <cell r="X67">
            <v>0.48302279999999997</v>
          </cell>
          <cell r="Y67">
            <v>0.4790682</v>
          </cell>
          <cell r="Z67">
            <v>3.056</v>
          </cell>
          <cell r="AA67">
            <v>2.3259000000000003</v>
          </cell>
          <cell r="AB67">
            <v>2.0441822700000003</v>
          </cell>
          <cell r="AC67">
            <v>2.0585218499999991</v>
          </cell>
          <cell r="AD67">
            <v>2.2333007499999997</v>
          </cell>
          <cell r="AE67">
            <v>2.33822785</v>
          </cell>
        </row>
        <row r="68">
          <cell r="H68">
            <v>0.92226859999999999</v>
          </cell>
          <cell r="I68">
            <v>0.82651580000000013</v>
          </cell>
          <cell r="J68">
            <v>1.420606</v>
          </cell>
          <cell r="K68">
            <v>0.93338520000000003</v>
          </cell>
          <cell r="L68">
            <v>0.78232219999999997</v>
          </cell>
          <cell r="M68">
            <v>1.4504094000000001</v>
          </cell>
          <cell r="N68">
            <v>1.1364166</v>
          </cell>
          <cell r="O68">
            <v>1.0759231999999999</v>
          </cell>
          <cell r="P68">
            <v>0.82583380000000006</v>
          </cell>
          <cell r="Q68">
            <v>0.70225540000000009</v>
          </cell>
          <cell r="R68">
            <v>1.1653334000000002</v>
          </cell>
          <cell r="S68">
            <v>1.3903251999999999</v>
          </cell>
          <cell r="T68">
            <v>2.0970818000000002</v>
          </cell>
          <cell r="U68">
            <v>1.6883592000000001</v>
          </cell>
          <cell r="V68">
            <v>1.4619352000000001</v>
          </cell>
          <cell r="W68">
            <v>1.5498478</v>
          </cell>
          <cell r="X68">
            <v>1.5811771999999999</v>
          </cell>
          <cell r="Y68">
            <v>1.5682318</v>
          </cell>
          <cell r="Z68">
            <v>3.056</v>
          </cell>
          <cell r="AA68">
            <v>2.3259000000000003</v>
          </cell>
          <cell r="AB68">
            <v>2.0441822700000003</v>
          </cell>
          <cell r="AC68">
            <v>2.0585218499999991</v>
          </cell>
          <cell r="AD68">
            <v>2.2333007499999997</v>
          </cell>
          <cell r="AE68">
            <v>2.33822785</v>
          </cell>
        </row>
        <row r="69">
          <cell r="H69">
            <v>1.112582</v>
          </cell>
          <cell r="I69">
            <v>0.80331799999999998</v>
          </cell>
          <cell r="J69">
            <v>0.79209799999999997</v>
          </cell>
          <cell r="K69">
            <v>1.4170180000000003</v>
          </cell>
          <cell r="L69">
            <v>2.0118140000000002</v>
          </cell>
          <cell r="M69">
            <v>1.9682630600000002</v>
          </cell>
          <cell r="N69">
            <v>1.356931568</v>
          </cell>
          <cell r="O69">
            <v>1.6115660000000003</v>
          </cell>
          <cell r="P69">
            <v>2.0560044800000004</v>
          </cell>
          <cell r="Q69">
            <v>2.2904100000000001</v>
          </cell>
          <cell r="R69">
            <v>2.4596072599999999</v>
          </cell>
          <cell r="S69">
            <v>3.8090502600000002</v>
          </cell>
          <cell r="T69">
            <v>4.7729200000000009</v>
          </cell>
          <cell r="U69">
            <v>4.5525319999999994</v>
          </cell>
          <cell r="V69">
            <v>3.3850400000000009</v>
          </cell>
          <cell r="W69">
            <v>2.8653000000000004</v>
          </cell>
          <cell r="X69">
            <v>1.9470999999999998</v>
          </cell>
          <cell r="Y69">
            <v>3.2425000000000002</v>
          </cell>
          <cell r="Z69">
            <v>1.5354000000000001</v>
          </cell>
          <cell r="AA69">
            <v>1.9370000000000001</v>
          </cell>
          <cell r="AB69">
            <v>2.3703669220352253</v>
          </cell>
          <cell r="AC69">
            <v>1.9890497993605087</v>
          </cell>
          <cell r="AD69">
            <v>2.1600621794832904</v>
          </cell>
          <cell r="AE69">
            <v>2.2621435716444833</v>
          </cell>
        </row>
        <row r="70">
          <cell r="H70">
            <v>2.1597179999999998</v>
          </cell>
          <cell r="I70">
            <v>1.559382</v>
          </cell>
          <cell r="J70">
            <v>1.5376019999999999</v>
          </cell>
          <cell r="K70">
            <v>2.7506820000000007</v>
          </cell>
          <cell r="L70">
            <v>3.9052860000000007</v>
          </cell>
          <cell r="M70">
            <v>3.8207459400000001</v>
          </cell>
          <cell r="N70">
            <v>2.634043632</v>
          </cell>
          <cell r="O70">
            <v>3.1283340000000002</v>
          </cell>
          <cell r="P70">
            <v>3.991067520000001</v>
          </cell>
          <cell r="Q70">
            <v>4.446089999999999</v>
          </cell>
          <cell r="R70">
            <v>4.7745317399999996</v>
          </cell>
          <cell r="S70">
            <v>7.3940387400000001</v>
          </cell>
          <cell r="T70">
            <v>9.2650800000000011</v>
          </cell>
          <cell r="U70">
            <v>8.8372679999999981</v>
          </cell>
          <cell r="V70">
            <v>6.5709600000000021</v>
          </cell>
          <cell r="W70">
            <v>4.5552000000000001</v>
          </cell>
          <cell r="X70">
            <v>5.4093999999999998</v>
          </cell>
          <cell r="Y70">
            <v>5.1186000000000007</v>
          </cell>
          <cell r="Z70">
            <v>1.7812999999999999</v>
          </cell>
          <cell r="AA70">
            <v>2.95</v>
          </cell>
          <cell r="AB70">
            <v>2.2861592609503698</v>
          </cell>
          <cell r="AC70">
            <v>2.5053125556405771</v>
          </cell>
          <cell r="AD70">
            <v>2.4712945670254456</v>
          </cell>
          <cell r="AE70">
            <v>2.4438312461536253</v>
          </cell>
        </row>
        <row r="92">
          <cell r="H92">
            <v>0.41436087365353341</v>
          </cell>
          <cell r="I92">
            <v>0.17461665398690543</v>
          </cell>
          <cell r="J92">
            <v>0.26404705837256015</v>
          </cell>
          <cell r="K92">
            <v>0.26172287837157698</v>
          </cell>
          <cell r="L92">
            <v>0.20771095617481719</v>
          </cell>
          <cell r="M92">
            <v>0.24565572097347629</v>
          </cell>
          <cell r="N92">
            <v>0.38202445624855086</v>
          </cell>
          <cell r="O92">
            <v>0.43265115974822654</v>
          </cell>
          <cell r="P92">
            <v>0.44386785453557986</v>
          </cell>
          <cell r="Q92">
            <v>0.36903936363436263</v>
          </cell>
          <cell r="R92">
            <v>0.5218289358729048</v>
          </cell>
          <cell r="S92">
            <v>0.56649361241353691</v>
          </cell>
          <cell r="T92">
            <v>0.68866463942173628</v>
          </cell>
          <cell r="U92">
            <v>1.031127510001379</v>
          </cell>
          <cell r="V92">
            <v>0.57467876806917317</v>
          </cell>
          <cell r="W92">
            <v>0.49454508368745087</v>
          </cell>
          <cell r="X92">
            <v>0.57525981306941887</v>
          </cell>
          <cell r="Y92">
            <v>0.81019904321227521</v>
          </cell>
          <cell r="Z92">
            <v>0.6358950000000001</v>
          </cell>
          <cell r="AA92">
            <v>0.73733399999999993</v>
          </cell>
          <cell r="AB92">
            <v>0.6518964294875611</v>
          </cell>
          <cell r="AC92">
            <v>0.67716166468748484</v>
          </cell>
          <cell r="AD92">
            <v>0.61357820737900048</v>
          </cell>
          <cell r="AE92">
            <v>0.62155831420158214</v>
          </cell>
        </row>
        <row r="93">
          <cell r="H93">
            <v>0.18668655354200558</v>
          </cell>
          <cell r="I93">
            <v>7.8671958180852486E-2</v>
          </cell>
          <cell r="J93">
            <v>0.11896402009639327</v>
          </cell>
          <cell r="K93">
            <v>0.11791688176412496</v>
          </cell>
          <cell r="L93">
            <v>9.3582297477281418E-2</v>
          </cell>
          <cell r="M93">
            <v>0.11067796894540068</v>
          </cell>
          <cell r="N93">
            <v>0.17211767239740325</v>
          </cell>
          <cell r="O93">
            <v>0.19492707693942124</v>
          </cell>
          <cell r="P93">
            <v>0.19998065758645517</v>
          </cell>
          <cell r="Q93">
            <v>0.1662673560627739</v>
          </cell>
          <cell r="R93">
            <v>0.23510531947101979</v>
          </cell>
          <cell r="S93">
            <v>0.25522858655200176</v>
          </cell>
          <cell r="T93">
            <v>0.31027164062645235</v>
          </cell>
          <cell r="U93">
            <v>0.46456519749850622</v>
          </cell>
          <cell r="V93">
            <v>0.25891633459172925</v>
          </cell>
          <cell r="W93">
            <v>0.22281282600526162</v>
          </cell>
          <cell r="X93">
            <v>0.25917811917479627</v>
          </cell>
          <cell r="Y93">
            <v>0.3650278698533686</v>
          </cell>
          <cell r="Z93">
            <v>0.79894500000000002</v>
          </cell>
          <cell r="AA93">
            <v>0.92639399999999994</v>
          </cell>
          <cell r="AB93">
            <v>0.81904936012539731</v>
          </cell>
          <cell r="AC93">
            <v>0.85079286076119875</v>
          </cell>
          <cell r="AD93">
            <v>0.77090595286079544</v>
          </cell>
          <cell r="AE93">
            <v>0.78093224091993652</v>
          </cell>
        </row>
        <row r="94">
          <cell r="H94">
            <v>0.21905257280446114</v>
          </cell>
          <cell r="I94">
            <v>9.2311387832242131E-2</v>
          </cell>
          <cell r="J94">
            <v>0.13958892153104671</v>
          </cell>
          <cell r="K94">
            <v>0.1383602398642981</v>
          </cell>
          <cell r="L94">
            <v>0.10980674634790144</v>
          </cell>
          <cell r="M94">
            <v>0.12986631008112301</v>
          </cell>
          <cell r="N94">
            <v>0.20195787135404591</v>
          </cell>
          <cell r="O94">
            <v>0.22872176331235222</v>
          </cell>
          <cell r="P94">
            <v>0.234651487877965</v>
          </cell>
          <cell r="Q94">
            <v>0.19509328030286358</v>
          </cell>
          <cell r="R94">
            <v>0.27586574465607538</v>
          </cell>
          <cell r="S94">
            <v>0.29947780103446142</v>
          </cell>
          <cell r="T94">
            <v>0.36406371995181136</v>
          </cell>
          <cell r="U94">
            <v>0.54510729250011491</v>
          </cell>
          <cell r="V94">
            <v>0.30380489733909782</v>
          </cell>
          <cell r="W94">
            <v>0.2614420903072876</v>
          </cell>
          <cell r="X94">
            <v>0.30411206775578492</v>
          </cell>
          <cell r="Y94">
            <v>0.42831308693435627</v>
          </cell>
          <cell r="Z94">
            <v>0.19566</v>
          </cell>
          <cell r="AA94">
            <v>0.22687199999999996</v>
          </cell>
          <cell r="AB94">
            <v>0.20058351676540342</v>
          </cell>
          <cell r="AC94">
            <v>0.20835743528845685</v>
          </cell>
          <cell r="AD94">
            <v>0.188793294578154</v>
          </cell>
          <cell r="AE94">
            <v>0.19124871206202526</v>
          </cell>
        </row>
        <row r="95">
          <cell r="H95">
            <v>0.16229015911096059</v>
          </cell>
          <cell r="I95">
            <v>0.13689095496788101</v>
          </cell>
          <cell r="J95">
            <v>0.1464880483900218</v>
          </cell>
          <cell r="K95">
            <v>0.12630105877793252</v>
          </cell>
          <cell r="L95">
            <v>5.3578256036020636E-2</v>
          </cell>
          <cell r="M95">
            <v>0.14473409683356164</v>
          </cell>
          <cell r="N95">
            <v>0.20832311411164292</v>
          </cell>
          <cell r="O95">
            <v>0.18181528021117813</v>
          </cell>
          <cell r="P95">
            <v>0.25346254662129836</v>
          </cell>
          <cell r="Q95">
            <v>0.21457777154883126</v>
          </cell>
          <cell r="R95">
            <v>0.21891301030159141</v>
          </cell>
          <cell r="S95">
            <v>0.34506514866435284</v>
          </cell>
          <cell r="T95">
            <v>0.4237613147259075</v>
          </cell>
          <cell r="U95">
            <v>0.29486242203887825</v>
          </cell>
          <cell r="V95">
            <v>0.25132802067051191</v>
          </cell>
          <cell r="W95">
            <v>0.19929265632196788</v>
          </cell>
          <cell r="X95">
            <v>0.28278808334118855</v>
          </cell>
          <cell r="Y95">
            <v>0.28374874501219671</v>
          </cell>
          <cell r="Z95">
            <v>0.38990000000000008</v>
          </cell>
          <cell r="AA95">
            <v>0.61124000000000001</v>
          </cell>
          <cell r="AB95">
            <v>0.48311013099802608</v>
          </cell>
          <cell r="AC95">
            <v>0.44265568341819511</v>
          </cell>
          <cell r="AD95">
            <v>0.44279982054836869</v>
          </cell>
          <cell r="AE95">
            <v>0.46242683685728003</v>
          </cell>
        </row>
        <row r="96">
          <cell r="H96">
            <v>0.29974721869213228</v>
          </cell>
          <cell r="I96">
            <v>0.25283531201468296</v>
          </cell>
          <cell r="J96">
            <v>0.27056098359313285</v>
          </cell>
          <cell r="K96">
            <v>0.23327595027294512</v>
          </cell>
          <cell r="L96">
            <v>9.8958145812104853E-2</v>
          </cell>
          <cell r="M96">
            <v>0.26732146430465759</v>
          </cell>
          <cell r="N96">
            <v>0.38476931926324892</v>
          </cell>
          <cell r="O96">
            <v>0.33580979190346144</v>
          </cell>
          <cell r="P96">
            <v>0.46814109868740644</v>
          </cell>
          <cell r="Q96">
            <v>0.39632156729196283</v>
          </cell>
          <cell r="R96">
            <v>0.40432868100498676</v>
          </cell>
          <cell r="S96">
            <v>0.63732957775343879</v>
          </cell>
          <cell r="T96">
            <v>0.78268008469672801</v>
          </cell>
          <cell r="U96">
            <v>0.54460597849651282</v>
          </cell>
          <cell r="V96">
            <v>0.46419866483633754</v>
          </cell>
          <cell r="W96">
            <v>0.36809021425281468</v>
          </cell>
          <cell r="X96">
            <v>0.52230487618688526</v>
          </cell>
          <cell r="Y96">
            <v>0.52407920228013871</v>
          </cell>
          <cell r="Z96">
            <v>0.18102500000000002</v>
          </cell>
          <cell r="AA96">
            <v>0.28378999999999999</v>
          </cell>
          <cell r="AB96">
            <v>0.22430113224908352</v>
          </cell>
          <cell r="AC96">
            <v>0.20551871015844772</v>
          </cell>
          <cell r="AD96">
            <v>0.20558563096888544</v>
          </cell>
          <cell r="AE96">
            <v>0.21469817425516571</v>
          </cell>
        </row>
        <row r="97">
          <cell r="H97">
            <v>7.4936804673033069E-2</v>
          </cell>
          <cell r="I97">
            <v>6.3208828003670739E-2</v>
          </cell>
          <cell r="J97">
            <v>6.7640245898283213E-2</v>
          </cell>
          <cell r="K97">
            <v>5.831898756823628E-2</v>
          </cell>
          <cell r="L97">
            <v>2.4739536453026213E-2</v>
          </cell>
          <cell r="M97">
            <v>6.6830366076164396E-2</v>
          </cell>
          <cell r="N97">
            <v>9.619232981581223E-2</v>
          </cell>
          <cell r="O97">
            <v>8.395244797586536E-2</v>
          </cell>
          <cell r="P97">
            <v>0.11703527467185161</v>
          </cell>
          <cell r="Q97">
            <v>9.9080391822990707E-2</v>
          </cell>
          <cell r="R97">
            <v>0.10108217025124669</v>
          </cell>
          <cell r="S97">
            <v>0.1593323944383597</v>
          </cell>
          <cell r="T97">
            <v>0.195670021174182</v>
          </cell>
          <cell r="U97">
            <v>0.13615149462412821</v>
          </cell>
          <cell r="V97">
            <v>0.11604966620908438</v>
          </cell>
          <cell r="W97">
            <v>9.2022553563203671E-2</v>
          </cell>
          <cell r="X97">
            <v>0.13057621904672131</v>
          </cell>
          <cell r="Y97">
            <v>0.13101980057003468</v>
          </cell>
          <cell r="Z97">
            <v>0.6266250000000001</v>
          </cell>
          <cell r="AA97">
            <v>0.98234999999999995</v>
          </cell>
          <cell r="AB97">
            <v>0.77642699624682754</v>
          </cell>
          <cell r="AC97">
            <v>0.71141091977924209</v>
          </cell>
          <cell r="AD97">
            <v>0.71164256873844955</v>
          </cell>
          <cell r="AE97">
            <v>0.74318598780634293</v>
          </cell>
        </row>
        <row r="98">
          <cell r="H98">
            <v>0.14468181752387402</v>
          </cell>
          <cell r="I98">
            <v>0.12203840501376527</v>
          </cell>
          <cell r="J98">
            <v>0.13059422211856206</v>
          </cell>
          <cell r="K98">
            <v>0.11259750338088605</v>
          </cell>
          <cell r="L98">
            <v>4.7765061698848296E-2</v>
          </cell>
          <cell r="M98">
            <v>0.12903057278561647</v>
          </cell>
          <cell r="N98">
            <v>0.18572023680929586</v>
          </cell>
          <cell r="O98">
            <v>0.1620884799094951</v>
          </cell>
          <cell r="P98">
            <v>0.22596208001944354</v>
          </cell>
          <cell r="Q98">
            <v>0.19129626933621519</v>
          </cell>
          <cell r="R98">
            <v>0.19516113844217509</v>
          </cell>
          <cell r="S98">
            <v>0.30762587914384881</v>
          </cell>
          <cell r="T98">
            <v>0.37778357940318252</v>
          </cell>
          <cell r="U98">
            <v>0.26287010484048079</v>
          </cell>
          <cell r="V98">
            <v>0.2240591482840664</v>
          </cell>
          <cell r="W98">
            <v>0.17766957586201376</v>
          </cell>
          <cell r="X98">
            <v>0.25210582142520493</v>
          </cell>
          <cell r="Y98">
            <v>0.25296225213763002</v>
          </cell>
          <cell r="Z98">
            <v>0.19495000000000004</v>
          </cell>
          <cell r="AA98">
            <v>0.30562</v>
          </cell>
          <cell r="AB98">
            <v>0.24155506549901304</v>
          </cell>
          <cell r="AC98">
            <v>0.22132784170909756</v>
          </cell>
          <cell r="AD98">
            <v>0.22139991027418435</v>
          </cell>
          <cell r="AE98">
            <v>0.23121341842864002</v>
          </cell>
        </row>
        <row r="99">
          <cell r="H99">
            <v>0.18433800000000003</v>
          </cell>
          <cell r="I99">
            <v>0.206844</v>
          </cell>
          <cell r="J99">
            <v>0.137214</v>
          </cell>
          <cell r="K99">
            <v>0.61676999999999993</v>
          </cell>
          <cell r="L99">
            <v>0.68554199999999998</v>
          </cell>
          <cell r="M99">
            <v>0.40642800000000001</v>
          </cell>
          <cell r="N99">
            <v>0.53598599999999996</v>
          </cell>
          <cell r="O99">
            <v>1.033296</v>
          </cell>
          <cell r="P99">
            <v>0.77985599999999999</v>
          </cell>
          <cell r="Q99">
            <v>0.64818600000000004</v>
          </cell>
          <cell r="R99">
            <v>0.78117599999999998</v>
          </cell>
          <cell r="S99">
            <v>0.39857400000000004</v>
          </cell>
          <cell r="T99">
            <v>0.61709999999999998</v>
          </cell>
          <cell r="U99">
            <v>0.37732200000000005</v>
          </cell>
          <cell r="V99">
            <v>0.84011400000000014</v>
          </cell>
          <cell r="W99">
            <v>0.93320000000000003</v>
          </cell>
          <cell r="X99">
            <v>1.1757</v>
          </cell>
          <cell r="Y99">
            <v>0.60420000000000007</v>
          </cell>
          <cell r="Z99">
            <v>0.75339999999999996</v>
          </cell>
          <cell r="AA99">
            <v>1.5335999999999999</v>
          </cell>
          <cell r="AB99">
            <v>1.2076663465344608</v>
          </cell>
          <cell r="AC99">
            <v>0.88413198109065294</v>
          </cell>
          <cell r="AD99">
            <v>0.97240838928959727</v>
          </cell>
          <cell r="AE99">
            <v>1.0165069098294888</v>
          </cell>
        </row>
        <row r="100">
          <cell r="H100">
            <v>9.4962000000000019E-2</v>
          </cell>
          <cell r="I100">
            <v>0.106556</v>
          </cell>
          <cell r="J100">
            <v>7.0686000000000013E-2</v>
          </cell>
          <cell r="K100">
            <v>0.31773000000000001</v>
          </cell>
          <cell r="L100">
            <v>0.35315800000000003</v>
          </cell>
          <cell r="M100">
            <v>0.20937199999999997</v>
          </cell>
          <cell r="N100">
            <v>0.27611400000000003</v>
          </cell>
          <cell r="O100">
            <v>0.532304</v>
          </cell>
          <cell r="P100">
            <v>0.40174399999999999</v>
          </cell>
          <cell r="Q100">
            <v>0.33391400000000004</v>
          </cell>
          <cell r="R100">
            <v>0.402424</v>
          </cell>
          <cell r="S100">
            <v>0.20532599999999998</v>
          </cell>
          <cell r="T100">
            <v>0.31790000000000002</v>
          </cell>
          <cell r="U100">
            <v>0.19437800000000005</v>
          </cell>
          <cell r="V100">
            <v>0.43278600000000006</v>
          </cell>
          <cell r="W100">
            <v>0.53679999999999994</v>
          </cell>
          <cell r="X100">
            <v>0.58729999999999993</v>
          </cell>
          <cell r="Y100">
            <v>0.3029</v>
          </cell>
          <cell r="Z100">
            <v>0.19550000000000001</v>
          </cell>
          <cell r="AA100">
            <v>0.11359999999999999</v>
          </cell>
          <cell r="AB100">
            <v>0.23634605624237559</v>
          </cell>
          <cell r="AC100">
            <v>0.27313452288332429</v>
          </cell>
          <cell r="AD100">
            <v>0.28219361090513184</v>
          </cell>
          <cell r="AE100">
            <v>0.26393138211722167</v>
          </cell>
        </row>
        <row r="101">
          <cell r="H101">
            <v>0.51962010000000003</v>
          </cell>
          <cell r="I101">
            <v>0.2356029</v>
          </cell>
          <cell r="J101">
            <v>0.29530000000000001</v>
          </cell>
          <cell r="K101">
            <v>0.39574090000000001</v>
          </cell>
          <cell r="L101">
            <v>0.68245239999999996</v>
          </cell>
          <cell r="M101">
            <v>0.37956290000000004</v>
          </cell>
          <cell r="N101">
            <v>0.31980000000000003</v>
          </cell>
          <cell r="O101">
            <v>0.7399</v>
          </cell>
          <cell r="P101">
            <v>0.63590000000000002</v>
          </cell>
          <cell r="Q101">
            <v>0.7046</v>
          </cell>
          <cell r="R101">
            <v>0.49339999999999995</v>
          </cell>
          <cell r="S101">
            <v>1.1999000000000002</v>
          </cell>
          <cell r="T101">
            <v>1.5182</v>
          </cell>
          <cell r="U101">
            <v>1.0499000000000001</v>
          </cell>
          <cell r="V101">
            <v>1.0911</v>
          </cell>
          <cell r="W101">
            <v>0.79139999999999999</v>
          </cell>
          <cell r="X101">
            <v>0.41299999999999998</v>
          </cell>
          <cell r="Y101">
            <v>0.74629999999999996</v>
          </cell>
          <cell r="Z101">
            <v>0.95779999999999998</v>
          </cell>
          <cell r="AA101">
            <v>1.0682</v>
          </cell>
          <cell r="AB101">
            <v>0.76954163000000042</v>
          </cell>
          <cell r="AC101">
            <v>0.65636095000000005</v>
          </cell>
          <cell r="AD101">
            <v>0.53005643999999963</v>
          </cell>
          <cell r="AE101">
            <v>0.52549197000000003</v>
          </cell>
        </row>
        <row r="102">
          <cell r="H102">
            <v>0.21296593880742018</v>
          </cell>
          <cell r="I102">
            <v>0.17963572713639753</v>
          </cell>
          <cell r="J102">
            <v>0.19222955304466666</v>
          </cell>
          <cell r="K102">
            <v>0.16573909165141087</v>
          </cell>
          <cell r="L102">
            <v>7.0308290156854247E-2</v>
          </cell>
          <cell r="M102">
            <v>0.18992792279246576</v>
          </cell>
          <cell r="N102">
            <v>0.27337287618122147</v>
          </cell>
          <cell r="O102">
            <v>0.23858786048286421</v>
          </cell>
          <cell r="P102">
            <v>0.33260728493597691</v>
          </cell>
          <cell r="Q102">
            <v>0.28158057651454166</v>
          </cell>
          <cell r="R102">
            <v>0.28726951166620807</v>
          </cell>
          <cell r="S102">
            <v>0.45281318188111136</v>
          </cell>
          <cell r="T102">
            <v>0.55608255432891829</v>
          </cell>
          <cell r="U102">
            <v>0.38693444428509655</v>
          </cell>
          <cell r="V102">
            <v>0.32980624434603434</v>
          </cell>
          <cell r="W102">
            <v>7.7976356796648869E-2</v>
          </cell>
          <cell r="X102">
            <v>0.10613982502339432</v>
          </cell>
          <cell r="Y102">
            <v>0.10925090581588365</v>
          </cell>
          <cell r="Z102">
            <v>0.1041</v>
          </cell>
          <cell r="AA102">
            <v>0.14449999999999999</v>
          </cell>
          <cell r="AB102">
            <v>0.12252214500704957</v>
          </cell>
          <cell r="AC102">
            <v>0.11151282493501802</v>
          </cell>
          <cell r="AD102">
            <v>0.10818632947011167</v>
          </cell>
          <cell r="AE102">
            <v>0.10758392265257145</v>
          </cell>
        </row>
        <row r="103">
          <cell r="H103">
            <v>8.6178061192579855E-2</v>
          </cell>
          <cell r="I103">
            <v>7.2690772863602482E-2</v>
          </cell>
          <cell r="J103">
            <v>7.7786946955333336E-2</v>
          </cell>
          <cell r="K103">
            <v>6.7067408348589097E-2</v>
          </cell>
          <cell r="L103">
            <v>2.8450709843145752E-2</v>
          </cell>
          <cell r="M103">
            <v>7.6855577207534248E-2</v>
          </cell>
          <cell r="N103">
            <v>0.11062212381877858</v>
          </cell>
          <cell r="O103">
            <v>9.6546139517135726E-2</v>
          </cell>
          <cell r="P103">
            <v>0.13459171506402304</v>
          </cell>
          <cell r="Q103">
            <v>0.11394342348545834</v>
          </cell>
          <cell r="R103">
            <v>0.11624548833379195</v>
          </cell>
          <cell r="S103">
            <v>0.18323381811888867</v>
          </cell>
          <cell r="T103">
            <v>0.22502244567108176</v>
          </cell>
          <cell r="U103">
            <v>0.15657555571490342</v>
          </cell>
          <cell r="V103">
            <v>0.13345825565396569</v>
          </cell>
          <cell r="W103">
            <v>3.1553643203351134E-2</v>
          </cell>
          <cell r="X103">
            <v>4.2950174976605679E-2</v>
          </cell>
          <cell r="Y103">
            <v>4.4209094184116358E-2</v>
          </cell>
          <cell r="Z103">
            <v>0.1041</v>
          </cell>
          <cell r="AA103">
            <v>0.14449999999999999</v>
          </cell>
          <cell r="AB103">
            <v>0.12252214500704957</v>
          </cell>
          <cell r="AC103">
            <v>0.11151282493501802</v>
          </cell>
          <cell r="AD103">
            <v>0.10818632947011167</v>
          </cell>
          <cell r="AE103">
            <v>0.10758392265257145</v>
          </cell>
        </row>
        <row r="104">
          <cell r="H104">
            <v>8.6474074074074148E-2</v>
          </cell>
          <cell r="I104">
            <v>8.6474074074074037E-2</v>
          </cell>
          <cell r="J104">
            <v>8.6474074074074148E-2</v>
          </cell>
          <cell r="K104">
            <v>8.6474074074074148E-2</v>
          </cell>
          <cell r="L104">
            <v>8.6474074074073926E-2</v>
          </cell>
          <cell r="M104">
            <v>8.6474074074074148E-2</v>
          </cell>
          <cell r="N104">
            <v>8.6474074074074148E-2</v>
          </cell>
          <cell r="O104">
            <v>8.6474074074073926E-2</v>
          </cell>
          <cell r="P104">
            <v>8.6474074074074148E-2</v>
          </cell>
          <cell r="Q104">
            <v>8.6474074074074148E-2</v>
          </cell>
          <cell r="R104">
            <v>8.6474074074073926E-2</v>
          </cell>
          <cell r="S104">
            <v>8.6474074074074148E-2</v>
          </cell>
          <cell r="T104">
            <v>8.6474074074074148E-2</v>
          </cell>
          <cell r="U104">
            <v>8.6474074074073926E-2</v>
          </cell>
          <cell r="V104">
            <v>8.6474074074073926E-2</v>
          </cell>
          <cell r="W104">
            <v>8.647407407407437E-2</v>
          </cell>
          <cell r="X104">
            <v>8.6474074074073926E-2</v>
          </cell>
          <cell r="Y104">
            <v>8.647407407407437E-2</v>
          </cell>
          <cell r="Z104">
            <v>8.6474074074073926E-2</v>
          </cell>
          <cell r="AA104">
            <v>8.6474074074073926E-2</v>
          </cell>
          <cell r="AB104">
            <v>8.6474074074073926E-2</v>
          </cell>
          <cell r="AC104">
            <v>8.647407407407437E-2</v>
          </cell>
          <cell r="AD104">
            <v>8.6474074074073926E-2</v>
          </cell>
          <cell r="AE104">
            <v>8.647407407407437E-2</v>
          </cell>
        </row>
        <row r="105">
          <cell r="H105">
            <v>0.29699999999999999</v>
          </cell>
          <cell r="I105">
            <v>0.18059999999999998</v>
          </cell>
          <cell r="J105">
            <v>9.4500000000000001E-2</v>
          </cell>
          <cell r="K105">
            <v>0.46850000000000003</v>
          </cell>
          <cell r="L105">
            <v>0.1009</v>
          </cell>
          <cell r="M105">
            <v>0.13689999999999999</v>
          </cell>
          <cell r="N105">
            <v>0.37169999999999997</v>
          </cell>
          <cell r="O105">
            <v>0.29910000000000003</v>
          </cell>
          <cell r="P105">
            <v>0.4612</v>
          </cell>
          <cell r="Q105">
            <v>0.78410000000000002</v>
          </cell>
          <cell r="R105">
            <v>0.1585</v>
          </cell>
          <cell r="S105">
            <v>0.14169999999999999</v>
          </cell>
          <cell r="T105">
            <v>0.24959999999999999</v>
          </cell>
          <cell r="U105">
            <v>0.2296</v>
          </cell>
          <cell r="V105">
            <v>0.22839999999999999</v>
          </cell>
          <cell r="W105">
            <v>0.24010000000000001</v>
          </cell>
          <cell r="X105">
            <v>0.247</v>
          </cell>
          <cell r="Y105">
            <v>0.36219999999999997</v>
          </cell>
          <cell r="Z105">
            <v>0.39089999999999997</v>
          </cell>
          <cell r="AA105">
            <v>0.62470000000000003</v>
          </cell>
          <cell r="AB105">
            <v>0.54312269999999974</v>
          </cell>
          <cell r="AC105">
            <v>0.43204304999999998</v>
          </cell>
          <cell r="AD105">
            <v>0.39338529000000044</v>
          </cell>
          <cell r="AE105">
            <v>0.43886131999999956</v>
          </cell>
        </row>
        <row r="106">
          <cell r="H106">
            <v>9.4114999999999976E-2</v>
          </cell>
          <cell r="I106">
            <v>3.5979999999999998E-2</v>
          </cell>
          <cell r="J106">
            <v>4.9454999999999999E-2</v>
          </cell>
          <cell r="K106">
            <v>1.6729999999999998E-2</v>
          </cell>
          <cell r="L106">
            <v>8.9494999999999991E-2</v>
          </cell>
          <cell r="M106">
            <v>0.18592000000000003</v>
          </cell>
          <cell r="N106">
            <v>0.22197</v>
          </cell>
          <cell r="O106">
            <v>6.1249999999999999E-2</v>
          </cell>
          <cell r="P106">
            <v>0.23075499999999996</v>
          </cell>
          <cell r="Q106">
            <v>0.19785499999999995</v>
          </cell>
          <cell r="R106">
            <v>0.15771000000000002</v>
          </cell>
          <cell r="S106">
            <v>0.15168999999999996</v>
          </cell>
          <cell r="T106">
            <v>0.16621499999999997</v>
          </cell>
          <cell r="U106">
            <v>0.24384500000000001</v>
          </cell>
          <cell r="V106">
            <v>0.190085</v>
          </cell>
          <cell r="W106">
            <v>0.16197999999999999</v>
          </cell>
          <cell r="X106">
            <v>0.14038499999999998</v>
          </cell>
          <cell r="Y106">
            <v>0.31633</v>
          </cell>
          <cell r="Z106">
            <v>0.6502</v>
          </cell>
          <cell r="AA106">
            <v>0.64700000000000002</v>
          </cell>
          <cell r="AB106">
            <v>0.45748749999999927</v>
          </cell>
          <cell r="AC106">
            <v>0.5602725700000003</v>
          </cell>
          <cell r="AD106">
            <v>0.47068721000000047</v>
          </cell>
          <cell r="AE106">
            <v>0.54478340999999997</v>
          </cell>
        </row>
        <row r="107">
          <cell r="H107">
            <v>0.174785</v>
          </cell>
          <cell r="I107">
            <v>6.6820000000000004E-2</v>
          </cell>
          <cell r="J107">
            <v>9.184500000000001E-2</v>
          </cell>
          <cell r="K107">
            <v>3.107E-2</v>
          </cell>
          <cell r="L107">
            <v>0.16620499999999999</v>
          </cell>
          <cell r="M107">
            <v>0.34528000000000003</v>
          </cell>
          <cell r="N107">
            <v>0.41223000000000004</v>
          </cell>
          <cell r="O107">
            <v>0.11375</v>
          </cell>
          <cell r="P107">
            <v>0.42854499999999995</v>
          </cell>
          <cell r="Q107">
            <v>0.36744499999999997</v>
          </cell>
          <cell r="R107">
            <v>0.29289000000000004</v>
          </cell>
          <cell r="S107">
            <v>0.28170999999999996</v>
          </cell>
          <cell r="T107">
            <v>0.30868499999999999</v>
          </cell>
          <cell r="U107">
            <v>0.45285500000000001</v>
          </cell>
          <cell r="V107">
            <v>0.35301500000000002</v>
          </cell>
          <cell r="W107">
            <v>0.35450480000000001</v>
          </cell>
          <cell r="X107">
            <v>0.30724260000000003</v>
          </cell>
          <cell r="Y107">
            <v>0.6923108</v>
          </cell>
          <cell r="Z107">
            <v>0.6502</v>
          </cell>
          <cell r="AA107">
            <v>0.64700000000000002</v>
          </cell>
          <cell r="AB107">
            <v>0.45748749999999927</v>
          </cell>
          <cell r="AC107">
            <v>0.5602725700000003</v>
          </cell>
          <cell r="AD107">
            <v>0.47068721000000047</v>
          </cell>
          <cell r="AE107">
            <v>0.54478340999999997</v>
          </cell>
        </row>
        <row r="108">
          <cell r="H108">
            <v>0.16187400000000002</v>
          </cell>
          <cell r="I108">
            <v>0.40232200000000001</v>
          </cell>
          <cell r="J108">
            <v>0.21423400000000004</v>
          </cell>
          <cell r="K108">
            <v>0.16636200000000001</v>
          </cell>
          <cell r="L108">
            <v>0.14161000000000001</v>
          </cell>
          <cell r="M108">
            <v>0.21616506400000002</v>
          </cell>
          <cell r="N108">
            <v>0.43234400000000001</v>
          </cell>
          <cell r="O108">
            <v>0.29482056200000006</v>
          </cell>
          <cell r="P108">
            <v>0.20296021200000003</v>
          </cell>
          <cell r="Q108">
            <v>0.39565800000000001</v>
          </cell>
          <cell r="R108">
            <v>0.36665600000000004</v>
          </cell>
          <cell r="S108">
            <v>0.54201909199999998</v>
          </cell>
          <cell r="T108">
            <v>0.55654331400000001</v>
          </cell>
          <cell r="U108">
            <v>0.70082122600000007</v>
          </cell>
          <cell r="V108">
            <v>0.47504799999999997</v>
          </cell>
          <cell r="W108">
            <v>0.35580000000000001</v>
          </cell>
          <cell r="X108">
            <v>0.66449999999999998</v>
          </cell>
          <cell r="Y108">
            <v>1.038</v>
          </cell>
          <cell r="Z108">
            <v>0.46650000000000003</v>
          </cell>
          <cell r="AA108">
            <v>0.95889999999999997</v>
          </cell>
          <cell r="AB108">
            <v>0.46645769387703823</v>
          </cell>
          <cell r="AC108">
            <v>0.49047162329837557</v>
          </cell>
          <cell r="AD108">
            <v>0.51237945405876495</v>
          </cell>
          <cell r="AE108">
            <v>0.52849590625857834</v>
          </cell>
        </row>
        <row r="109">
          <cell r="H109">
            <v>0.31422600000000006</v>
          </cell>
          <cell r="I109">
            <v>1.1833</v>
          </cell>
          <cell r="J109">
            <v>0.63009999999999999</v>
          </cell>
          <cell r="K109">
            <v>0.48930000000000001</v>
          </cell>
          <cell r="L109">
            <v>0.41649999999999998</v>
          </cell>
          <cell r="M109">
            <v>0.63577960000000011</v>
          </cell>
          <cell r="N109">
            <v>1.2715999999999998</v>
          </cell>
          <cell r="O109">
            <v>0.86711930000000004</v>
          </cell>
          <cell r="P109">
            <v>0.59694180000000008</v>
          </cell>
          <cell r="Q109">
            <v>1.1637</v>
          </cell>
          <cell r="R109">
            <v>1.0784</v>
          </cell>
          <cell r="S109">
            <v>1.5941737999999999</v>
          </cell>
          <cell r="T109">
            <v>1.6368920999999999</v>
          </cell>
          <cell r="U109">
            <v>2.0612388999999998</v>
          </cell>
          <cell r="V109">
            <v>1.3971999999999998</v>
          </cell>
          <cell r="W109">
            <v>1.0427</v>
          </cell>
          <cell r="X109">
            <v>0.80215000000000003</v>
          </cell>
          <cell r="Y109">
            <v>0.2843</v>
          </cell>
          <cell r="Z109">
            <v>0.34749999999999998</v>
          </cell>
          <cell r="AA109">
            <v>0.2964</v>
          </cell>
          <cell r="AB109">
            <v>0.53927991626881955</v>
          </cell>
          <cell r="AC109">
            <v>0.4102555079683779</v>
          </cell>
          <cell r="AD109">
            <v>0.42249327104785911</v>
          </cell>
          <cell r="AE109">
            <v>0.42234898958167211</v>
          </cell>
        </row>
        <row r="131">
          <cell r="H131">
            <v>2.7637531750820971E-2</v>
          </cell>
          <cell r="I131">
            <v>6.7805425246072637E-2</v>
          </cell>
          <cell r="J131">
            <v>4.9110933933817151E-2</v>
          </cell>
          <cell r="K131">
            <v>3.8348970016221416E-2</v>
          </cell>
          <cell r="L131">
            <v>6.6037027419237657E-2</v>
          </cell>
          <cell r="M131">
            <v>2.9153301316679522E-2</v>
          </cell>
          <cell r="N131">
            <v>7.9577902207574089E-2</v>
          </cell>
          <cell r="O131">
            <v>0.19129011921134953</v>
          </cell>
          <cell r="P131">
            <v>0.14137077484240779</v>
          </cell>
          <cell r="Q131">
            <v>0.21059091834994842</v>
          </cell>
          <cell r="R131">
            <v>0.10413336917448265</v>
          </cell>
          <cell r="S131">
            <v>0.21539085530850052</v>
          </cell>
          <cell r="T131">
            <v>0.19139117051574009</v>
          </cell>
          <cell r="U131">
            <v>0.25454823575984653</v>
          </cell>
          <cell r="V131">
            <v>0.21195511095922112</v>
          </cell>
          <cell r="W131">
            <v>0.19125980382003235</v>
          </cell>
          <cell r="X131">
            <v>0.26220792463265175</v>
          </cell>
          <cell r="Y131">
            <v>0.21725019930928702</v>
          </cell>
          <cell r="Z131">
            <v>2.7993000000000001E-2</v>
          </cell>
          <cell r="AA131">
            <v>4.1474999999999998E-2</v>
          </cell>
          <cell r="AB131">
            <v>4.0846333382852616E-2</v>
          </cell>
          <cell r="AC131">
            <v>5.0886648139373152E-2</v>
          </cell>
          <cell r="AD131">
            <v>5.2535476840249826E-2</v>
          </cell>
          <cell r="AE131">
            <v>5.8530607733513491E-2</v>
          </cell>
        </row>
        <row r="132">
          <cell r="H132">
            <v>1.245184060327729E-2</v>
          </cell>
          <cell r="I132">
            <v>3.0549122650087968E-2</v>
          </cell>
          <cell r="J132">
            <v>2.2126488238364762E-2</v>
          </cell>
          <cell r="K132">
            <v>1.7277782482426805E-2</v>
          </cell>
          <cell r="L132">
            <v>2.9752386962492529E-2</v>
          </cell>
          <cell r="M132">
            <v>1.3134756906930521E-2</v>
          </cell>
          <cell r="N132">
            <v>3.585310594179475E-2</v>
          </cell>
          <cell r="O132">
            <v>8.6184037521038065E-2</v>
          </cell>
          <cell r="P132">
            <v>6.3693327254058227E-2</v>
          </cell>
          <cell r="Q132">
            <v>9.4879838454222556E-2</v>
          </cell>
          <cell r="R132">
            <v>4.6916350060977136E-2</v>
          </cell>
          <cell r="S132">
            <v>9.7042406749124469E-2</v>
          </cell>
          <cell r="T132">
            <v>8.6229565274614936E-2</v>
          </cell>
          <cell r="U132">
            <v>0.11468441126016633</v>
          </cell>
          <cell r="V132">
            <v>9.5494463127510462E-2</v>
          </cell>
          <cell r="W132">
            <v>8.6170379194964994E-2</v>
          </cell>
          <cell r="X132">
            <v>0.11813541498129401</v>
          </cell>
          <cell r="Y132">
            <v>9.78801174149391E-2</v>
          </cell>
          <cell r="Z132">
            <v>8.2645999999999997E-2</v>
          </cell>
          <cell r="AA132">
            <v>0.12245</v>
          </cell>
          <cell r="AB132">
            <v>0.12059393665413629</v>
          </cell>
          <cell r="AC132">
            <v>0.15023677069719693</v>
          </cell>
          <cell r="AD132">
            <v>0.15510474114740425</v>
          </cell>
          <cell r="AE132">
            <v>0.17280465140370652</v>
          </cell>
        </row>
        <row r="133">
          <cell r="H133">
            <v>1.461062764590175E-2</v>
          </cell>
          <cell r="I133">
            <v>3.5845452103839388E-2</v>
          </cell>
          <cell r="J133">
            <v>2.5962577827818099E-2</v>
          </cell>
          <cell r="K133">
            <v>2.0273247501351788E-2</v>
          </cell>
          <cell r="L133">
            <v>3.4910585618269804E-2</v>
          </cell>
          <cell r="M133">
            <v>1.5411941776389961E-2</v>
          </cell>
          <cell r="N133">
            <v>4.2068991850631177E-2</v>
          </cell>
          <cell r="O133">
            <v>0.10112584326761248</v>
          </cell>
          <cell r="P133">
            <v>7.4735897903533979E-2</v>
          </cell>
          <cell r="Q133">
            <v>0.11132924319582904</v>
          </cell>
          <cell r="R133">
            <v>5.5050280764540223E-2</v>
          </cell>
          <cell r="S133">
            <v>0.11386673794237505</v>
          </cell>
          <cell r="T133">
            <v>0.10117926420964501</v>
          </cell>
          <cell r="U133">
            <v>0.13456735297998723</v>
          </cell>
          <cell r="V133">
            <v>0.11205042591326843</v>
          </cell>
          <cell r="W133">
            <v>0.10110981698500271</v>
          </cell>
          <cell r="X133">
            <v>0.13861666038605433</v>
          </cell>
          <cell r="Y133">
            <v>0.11484968327577393</v>
          </cell>
          <cell r="Z133">
            <v>2.2661000000000001E-2</v>
          </cell>
          <cell r="AA133">
            <v>3.3575000000000001E-2</v>
          </cell>
          <cell r="AB133">
            <v>3.3066079405166406E-2</v>
          </cell>
          <cell r="AC133">
            <v>4.1193953255683029E-2</v>
          </cell>
          <cell r="AD133">
            <v>4.2528719346868915E-2</v>
          </cell>
          <cell r="AE133">
            <v>4.7381920546177597E-2</v>
          </cell>
        </row>
        <row r="134">
          <cell r="H134">
            <v>4.7323598598832305E-2</v>
          </cell>
          <cell r="I134">
            <v>6.3539377139690933E-2</v>
          </cell>
          <cell r="J134">
            <v>7.4493301011168897E-2</v>
          </cell>
          <cell r="K134">
            <v>5.6242276796304551E-2</v>
          </cell>
          <cell r="L134">
            <v>4.7356692024425905E-2</v>
          </cell>
          <cell r="M134">
            <v>0.13958806915375851</v>
          </cell>
          <cell r="N134">
            <v>9.9958692005435654E-2</v>
          </cell>
          <cell r="O134">
            <v>0.13430966777158107</v>
          </cell>
          <cell r="P134">
            <v>6.0114207590754469E-2</v>
          </cell>
          <cell r="Q134">
            <v>5.8310615895903861E-2</v>
          </cell>
          <cell r="R134">
            <v>7.3368124540986873E-2</v>
          </cell>
          <cell r="S134">
            <v>0.10579968162270412</v>
          </cell>
          <cell r="T134">
            <v>0.13090104493544141</v>
          </cell>
          <cell r="U134">
            <v>0.18562102415444087</v>
          </cell>
          <cell r="V134">
            <v>6.9612020736114513E-2</v>
          </cell>
          <cell r="W134">
            <v>8.6866670950193486E-2</v>
          </cell>
          <cell r="X134">
            <v>0.15042390425477303</v>
          </cell>
          <cell r="Y134">
            <v>6.9917599237908579E-2</v>
          </cell>
          <cell r="Z134">
            <v>6.0696E-2</v>
          </cell>
          <cell r="AA134">
            <v>0.20314799999999997</v>
          </cell>
          <cell r="AB134">
            <v>0.13470040401937183</v>
          </cell>
          <cell r="AC134">
            <v>0.11643600922484103</v>
          </cell>
          <cell r="AD134">
            <v>0.11439186666203939</v>
          </cell>
          <cell r="AE134">
            <v>0.11940706859733403</v>
          </cell>
        </row>
        <row r="135">
          <cell r="H135">
            <v>8.7405897783390932E-2</v>
          </cell>
          <cell r="I135">
            <v>0.11735617045042701</v>
          </cell>
          <cell r="J135">
            <v>0.13758788525203705</v>
          </cell>
          <cell r="K135">
            <v>0.10387854775026077</v>
          </cell>
          <cell r="L135">
            <v>8.746702078883388E-2</v>
          </cell>
          <cell r="M135">
            <v>0.25781683695828184</v>
          </cell>
          <cell r="N135">
            <v>0.18462203794037227</v>
          </cell>
          <cell r="O135">
            <v>0.24806771759013438</v>
          </cell>
          <cell r="P135">
            <v>0.11102993938708366</v>
          </cell>
          <cell r="Q135">
            <v>0.10769873559044393</v>
          </cell>
          <cell r="R135">
            <v>0.1355097030669774</v>
          </cell>
          <cell r="S135">
            <v>0.19541024840104954</v>
          </cell>
          <cell r="T135">
            <v>0.24177204802951249</v>
          </cell>
          <cell r="U135">
            <v>0.34283893752939848</v>
          </cell>
          <cell r="V135">
            <v>0.12857224194920477</v>
          </cell>
          <cell r="W135">
            <v>0.16044129327991158</v>
          </cell>
          <cell r="X135">
            <v>0.27783044376924665</v>
          </cell>
          <cell r="Y135">
            <v>0.12913664034838468</v>
          </cell>
          <cell r="Z135">
            <v>3.0348E-2</v>
          </cell>
          <cell r="AA135">
            <v>0.10157399999999998</v>
          </cell>
          <cell r="AB135">
            <v>6.7350202009685917E-2</v>
          </cell>
          <cell r="AC135">
            <v>5.8218004612420514E-2</v>
          </cell>
          <cell r="AD135">
            <v>5.7195933331019695E-2</v>
          </cell>
          <cell r="AE135">
            <v>5.9703534298667017E-2</v>
          </cell>
        </row>
        <row r="136">
          <cell r="H136">
            <v>2.1851474445847733E-2</v>
          </cell>
          <cell r="I136">
            <v>2.9339042612606753E-2</v>
          </cell>
          <cell r="J136">
            <v>3.4396971313009263E-2</v>
          </cell>
          <cell r="K136">
            <v>2.5969636937565193E-2</v>
          </cell>
          <cell r="L136">
            <v>2.186675519720847E-2</v>
          </cell>
          <cell r="M136">
            <v>6.4454209239570459E-2</v>
          </cell>
          <cell r="N136">
            <v>4.6155509485093067E-2</v>
          </cell>
          <cell r="O136">
            <v>6.2016929397533595E-2</v>
          </cell>
          <cell r="P136">
            <v>2.7757484846770916E-2</v>
          </cell>
          <cell r="Q136">
            <v>2.6924683897610983E-2</v>
          </cell>
          <cell r="R136">
            <v>3.3877425766744351E-2</v>
          </cell>
          <cell r="S136">
            <v>4.8852562100262384E-2</v>
          </cell>
          <cell r="T136">
            <v>6.0443012007378123E-2</v>
          </cell>
          <cell r="U136">
            <v>8.570973438234962E-2</v>
          </cell>
          <cell r="V136">
            <v>3.2143060487301194E-2</v>
          </cell>
          <cell r="W136">
            <v>4.0110323319977895E-2</v>
          </cell>
          <cell r="X136">
            <v>6.9457610942311662E-2</v>
          </cell>
          <cell r="Y136">
            <v>3.228416008709617E-2</v>
          </cell>
          <cell r="Z136">
            <v>0.18546000000000001</v>
          </cell>
          <cell r="AA136">
            <v>0.62073</v>
          </cell>
          <cell r="AB136">
            <v>0.41158456783696956</v>
          </cell>
          <cell r="AC136">
            <v>0.35577669485368096</v>
          </cell>
          <cell r="AD136">
            <v>0.34953070368956485</v>
          </cell>
          <cell r="AE136">
            <v>0.36485493182518736</v>
          </cell>
        </row>
        <row r="137">
          <cell r="H137">
            <v>4.2189029171929009E-2</v>
          </cell>
          <cell r="I137">
            <v>5.6645409797275316E-2</v>
          </cell>
          <cell r="J137">
            <v>6.6410842423784755E-2</v>
          </cell>
          <cell r="K137">
            <v>5.0140038515869477E-2</v>
          </cell>
          <cell r="L137">
            <v>4.2218531989531759E-2</v>
          </cell>
          <cell r="M137">
            <v>0.12444288464838921</v>
          </cell>
          <cell r="N137">
            <v>8.9113260569099004E-2</v>
          </cell>
          <cell r="O137">
            <v>0.11973718524075097</v>
          </cell>
          <cell r="P137">
            <v>5.3591868175390939E-2</v>
          </cell>
          <cell r="Q137">
            <v>5.1983964616041198E-2</v>
          </cell>
          <cell r="R137">
            <v>6.5407746625291335E-2</v>
          </cell>
          <cell r="S137">
            <v>9.432050787598395E-2</v>
          </cell>
          <cell r="T137">
            <v>0.11669839502766798</v>
          </cell>
          <cell r="U137">
            <v>0.16548130393381105</v>
          </cell>
          <cell r="V137">
            <v>6.2059176827379478E-2</v>
          </cell>
          <cell r="W137">
            <v>7.7441712449917086E-2</v>
          </cell>
          <cell r="X137">
            <v>0.13410304103366871</v>
          </cell>
          <cell r="Y137">
            <v>6.2331600326610628E-2</v>
          </cell>
          <cell r="Z137">
            <v>6.0696E-2</v>
          </cell>
          <cell r="AA137">
            <v>0.20314799999999997</v>
          </cell>
          <cell r="AB137">
            <v>0.13470040401937183</v>
          </cell>
          <cell r="AC137">
            <v>0.11643600922484103</v>
          </cell>
          <cell r="AD137">
            <v>0.11439186666203939</v>
          </cell>
          <cell r="AE137">
            <v>0.11940706859733403</v>
          </cell>
        </row>
        <row r="138">
          <cell r="H138">
            <v>8.3687999999999999E-2</v>
          </cell>
          <cell r="I138">
            <v>7.8474000000000002E-2</v>
          </cell>
          <cell r="J138">
            <v>0.23700600000000002</v>
          </cell>
          <cell r="K138">
            <v>0.23515800000000001</v>
          </cell>
          <cell r="L138">
            <v>0.27984000000000003</v>
          </cell>
          <cell r="M138">
            <v>0.176814</v>
          </cell>
          <cell r="N138">
            <v>8.4347999999999992E-2</v>
          </cell>
          <cell r="O138">
            <v>0.40854000000000001</v>
          </cell>
          <cell r="P138">
            <v>0.225324</v>
          </cell>
          <cell r="Q138">
            <v>5.4120000000000001E-2</v>
          </cell>
          <cell r="R138">
            <v>0.40906799999999999</v>
          </cell>
          <cell r="S138">
            <v>0.27079799999999998</v>
          </cell>
          <cell r="T138">
            <v>0.207372</v>
          </cell>
          <cell r="U138">
            <v>0.19912200000000002</v>
          </cell>
          <cell r="V138">
            <v>0.15206400000000003</v>
          </cell>
          <cell r="W138">
            <v>0.27260000000000001</v>
          </cell>
          <cell r="X138">
            <v>0.189</v>
          </cell>
          <cell r="Y138">
            <v>0.1072</v>
          </cell>
          <cell r="Z138">
            <v>0.44969999999999999</v>
          </cell>
          <cell r="AA138">
            <v>0.112</v>
          </cell>
          <cell r="AB138">
            <v>0.4401652614761517</v>
          </cell>
          <cell r="AC138">
            <v>0.21984801303614007</v>
          </cell>
          <cell r="AD138">
            <v>0.15364627260124672</v>
          </cell>
          <cell r="AE138">
            <v>0.15855763042086438</v>
          </cell>
        </row>
        <row r="139">
          <cell r="H139">
            <v>4.3112000000000004E-2</v>
          </cell>
          <cell r="I139">
            <v>4.0426000000000004E-2</v>
          </cell>
          <cell r="J139">
            <v>0.12209400000000002</v>
          </cell>
          <cell r="K139">
            <v>0.12114200000000001</v>
          </cell>
          <cell r="L139">
            <v>0.14416000000000001</v>
          </cell>
          <cell r="M139">
            <v>9.1086E-2</v>
          </cell>
          <cell r="N139">
            <v>4.3452000000000005E-2</v>
          </cell>
          <cell r="O139">
            <v>0.21046000000000001</v>
          </cell>
          <cell r="P139">
            <v>0.11607600000000001</v>
          </cell>
          <cell r="Q139">
            <v>2.7880000000000002E-2</v>
          </cell>
          <cell r="R139">
            <v>0.210732</v>
          </cell>
          <cell r="S139">
            <v>0.13950200000000001</v>
          </cell>
          <cell r="T139">
            <v>0.10682800000000001</v>
          </cell>
          <cell r="U139">
            <v>0.102578</v>
          </cell>
          <cell r="V139">
            <v>7.8336000000000017E-2</v>
          </cell>
          <cell r="W139">
            <v>0.14680000000000001</v>
          </cell>
          <cell r="X139">
            <v>0.24359999999999998</v>
          </cell>
          <cell r="Y139">
            <v>0.1031</v>
          </cell>
          <cell r="Z139">
            <v>0.1915</v>
          </cell>
          <cell r="AA139">
            <v>0.29419999999999996</v>
          </cell>
          <cell r="AB139">
            <v>0.35744725178671727</v>
          </cell>
          <cell r="AC139">
            <v>0.22417923952580085</v>
          </cell>
          <cell r="AD139">
            <v>0.17356368464901417</v>
          </cell>
          <cell r="AE139">
            <v>0.17526384939785247</v>
          </cell>
        </row>
        <row r="140">
          <cell r="H140">
            <v>0.1671</v>
          </cell>
          <cell r="I140">
            <v>7.1599999999999997E-2</v>
          </cell>
          <cell r="J140">
            <v>0.26939999999999997</v>
          </cell>
          <cell r="K140">
            <v>4.3299999999999998E-2</v>
          </cell>
          <cell r="L140">
            <v>4.5899999999999996E-2</v>
          </cell>
          <cell r="M140">
            <v>9.9299999999999999E-2</v>
          </cell>
          <cell r="N140">
            <v>0.22140000000000001</v>
          </cell>
          <cell r="O140">
            <v>0.3105</v>
          </cell>
          <cell r="P140">
            <v>0.33019999999999999</v>
          </cell>
          <cell r="Q140">
            <v>0.38160000000000005</v>
          </cell>
          <cell r="R140">
            <v>0.1825</v>
          </cell>
          <cell r="S140">
            <v>0.3387</v>
          </cell>
          <cell r="T140">
            <v>0.48710000000000003</v>
          </cell>
          <cell r="U140">
            <v>0.3115</v>
          </cell>
          <cell r="V140">
            <v>0.2233</v>
          </cell>
          <cell r="W140">
            <v>0.1108</v>
          </cell>
          <cell r="X140">
            <v>0.22839999999999999</v>
          </cell>
          <cell r="Y140">
            <v>0.25869999999999999</v>
          </cell>
          <cell r="Z140">
            <v>7.1999999999999995E-2</v>
          </cell>
          <cell r="AA140">
            <v>0.26689999999999997</v>
          </cell>
          <cell r="AB140">
            <v>0.13994319</v>
          </cell>
          <cell r="AC140">
            <v>0.13183231000000001</v>
          </cell>
          <cell r="AD140">
            <v>0.11379148000000006</v>
          </cell>
          <cell r="AE140">
            <v>0.11830017999999998</v>
          </cell>
        </row>
        <row r="141">
          <cell r="H141">
            <v>6.2100589823534016E-2</v>
          </cell>
          <cell r="I141">
            <v>8.3379812909919804E-2</v>
          </cell>
          <cell r="J141">
            <v>9.7754145239702855E-2</v>
          </cell>
          <cell r="K141">
            <v>7.3804162521046185E-2</v>
          </cell>
          <cell r="L141">
            <v>6.2144016809424593E-2</v>
          </cell>
          <cell r="M141">
            <v>0.18317502648648007</v>
          </cell>
          <cell r="N141">
            <v>0.13117121088250666</v>
          </cell>
          <cell r="O141">
            <v>0.17624842223693205</v>
          </cell>
          <cell r="P141">
            <v>7.8885119870244436E-2</v>
          </cell>
          <cell r="Q141">
            <v>7.6518349139207631E-2</v>
          </cell>
          <cell r="R141">
            <v>9.6277627719423012E-2</v>
          </cell>
          <cell r="S141">
            <v>0.13883607389219457</v>
          </cell>
          <cell r="T141">
            <v>0.17177544269020198</v>
          </cell>
          <cell r="U141">
            <v>0.24358196386028133</v>
          </cell>
          <cell r="V141">
            <v>9.1348664820841821E-2</v>
          </cell>
          <cell r="W141">
            <v>3.3659473654209432E-2</v>
          </cell>
          <cell r="X141">
            <v>5.7814844658594489E-2</v>
          </cell>
          <cell r="Y141">
            <v>2.6639964131567617E-2</v>
          </cell>
          <cell r="Z141">
            <v>4.7600000000000003E-2</v>
          </cell>
          <cell r="AA141">
            <v>2.12E-2</v>
          </cell>
          <cell r="AB141">
            <v>3.7391982114600208E-2</v>
          </cell>
          <cell r="AC141">
            <v>3.8556202084216395E-2</v>
          </cell>
          <cell r="AD141">
            <v>3.9254739655337212E-2</v>
          </cell>
          <cell r="AE141">
            <v>3.9612886681477867E-2</v>
          </cell>
        </row>
        <row r="142">
          <cell r="H142">
            <v>2.5129410176465982E-2</v>
          </cell>
          <cell r="I142">
            <v>3.3740187090080198E-2</v>
          </cell>
          <cell r="J142">
            <v>3.9556854760297154E-2</v>
          </cell>
          <cell r="K142">
            <v>2.9865337478953799E-2</v>
          </cell>
          <cell r="L142">
            <v>2.5146983190575397E-2</v>
          </cell>
          <cell r="M142">
            <v>7.4122973513519944E-2</v>
          </cell>
          <cell r="N142">
            <v>5.3079289117493357E-2</v>
          </cell>
          <cell r="O142">
            <v>7.1320077763067966E-2</v>
          </cell>
          <cell r="P142">
            <v>3.1921380129755567E-2</v>
          </cell>
          <cell r="Q142">
            <v>3.0963650860792346E-2</v>
          </cell>
          <cell r="R142">
            <v>3.8959372280576977E-2</v>
          </cell>
          <cell r="S142">
            <v>5.6180926107805416E-2</v>
          </cell>
          <cell r="T142">
            <v>6.9510057309798035E-2</v>
          </cell>
          <cell r="U142">
            <v>9.8567036139718664E-2</v>
          </cell>
          <cell r="V142">
            <v>3.6964835179158176E-2</v>
          </cell>
          <cell r="W142">
            <v>1.3620526345790574E-2</v>
          </cell>
          <cell r="X142">
            <v>2.3395155341405505E-2</v>
          </cell>
          <cell r="Y142">
            <v>1.0780035868432387E-2</v>
          </cell>
          <cell r="Z142">
            <v>4.7600000000000003E-2</v>
          </cell>
          <cell r="AA142">
            <v>2.12E-2</v>
          </cell>
          <cell r="AB142">
            <v>3.7391982114600208E-2</v>
          </cell>
          <cell r="AC142">
            <v>3.8556202084216395E-2</v>
          </cell>
          <cell r="AD142">
            <v>3.9254739655337212E-2</v>
          </cell>
          <cell r="AE142">
            <v>3.9612886681477867E-2</v>
          </cell>
        </row>
        <row r="143">
          <cell r="H143">
            <v>1.8200000000000001E-2</v>
          </cell>
          <cell r="I143">
            <v>2.7699999999999999E-2</v>
          </cell>
          <cell r="J143">
            <v>1.0199999999999999E-2</v>
          </cell>
          <cell r="K143">
            <v>7.4000000000000003E-3</v>
          </cell>
          <cell r="L143">
            <v>3.2199999999999999E-2</v>
          </cell>
          <cell r="M143">
            <v>1.3099999999999999E-2</v>
          </cell>
          <cell r="N143">
            <v>7.7200000000000005E-2</v>
          </cell>
          <cell r="O143">
            <v>4.1299999999999996E-2</v>
          </cell>
          <cell r="P143">
            <v>4.8000000000000001E-2</v>
          </cell>
          <cell r="Q143">
            <v>4.5499999999999999E-2</v>
          </cell>
          <cell r="R143">
            <v>5.1299999999999998E-2</v>
          </cell>
          <cell r="S143">
            <v>5.0299999999999997E-2</v>
          </cell>
          <cell r="T143">
            <v>2.52E-2</v>
          </cell>
          <cell r="U143">
            <v>3.0499999999999999E-2</v>
          </cell>
          <cell r="V143">
            <v>2.5999999999999999E-2</v>
          </cell>
          <cell r="W143">
            <v>6.9501599999999997E-2</v>
          </cell>
          <cell r="X143">
            <v>0.11937869999999999</v>
          </cell>
          <cell r="Y143">
            <v>5.5007399999999998E-2</v>
          </cell>
          <cell r="Z143">
            <v>0.3372</v>
          </cell>
          <cell r="AA143">
            <v>1.1285999999999998</v>
          </cell>
          <cell r="AB143">
            <v>0.74833557788539917</v>
          </cell>
          <cell r="AC143">
            <v>0.64686671791578354</v>
          </cell>
          <cell r="AD143">
            <v>0.63551037034466329</v>
          </cell>
          <cell r="AE143">
            <v>0.66337260331852244</v>
          </cell>
        </row>
        <row r="144">
          <cell r="H144">
            <v>1.6199999999999999E-2</v>
          </cell>
          <cell r="I144">
            <v>7.2800000000000004E-2</v>
          </cell>
          <cell r="J144">
            <v>0.23139999999999999</v>
          </cell>
          <cell r="K144">
            <v>6.2899999999999998E-2</v>
          </cell>
          <cell r="L144">
            <v>8.0299999999999996E-2</v>
          </cell>
          <cell r="M144">
            <v>0.1036</v>
          </cell>
          <cell r="N144">
            <v>0.13750000000000001</v>
          </cell>
          <cell r="O144">
            <v>0.12790000000000001</v>
          </cell>
          <cell r="P144">
            <v>0.24299999999999999</v>
          </cell>
          <cell r="Q144">
            <v>0.21619999999999998</v>
          </cell>
          <cell r="R144">
            <v>0.15919999999999998</v>
          </cell>
          <cell r="S144">
            <v>0.2424</v>
          </cell>
          <cell r="T144">
            <v>0.153</v>
          </cell>
          <cell r="U144">
            <v>0.15630000000000002</v>
          </cell>
          <cell r="V144">
            <v>0.32839999999999997</v>
          </cell>
          <cell r="W144">
            <v>0.2853</v>
          </cell>
          <cell r="X144">
            <v>8.43E-2</v>
          </cell>
          <cell r="Y144">
            <v>0.13190000000000002</v>
          </cell>
          <cell r="Z144">
            <v>0.14849999999999999</v>
          </cell>
          <cell r="AA144">
            <v>0.33030000000000004</v>
          </cell>
          <cell r="AB144">
            <v>0.26767490999999999</v>
          </cell>
          <cell r="AC144">
            <v>0.22668945999999998</v>
          </cell>
          <cell r="AD144">
            <v>0.21574797999999998</v>
          </cell>
          <cell r="AE144">
            <v>0.248752</v>
          </cell>
        </row>
        <row r="145">
          <cell r="H145">
            <v>5.5926000000000003E-2</v>
          </cell>
          <cell r="I145">
            <v>7.7945400000000012E-2</v>
          </cell>
          <cell r="J145">
            <v>3.9616200000000004E-2</v>
          </cell>
          <cell r="K145">
            <v>3.7861200000000005E-2</v>
          </cell>
          <cell r="L145">
            <v>4.8601800000000001E-2</v>
          </cell>
          <cell r="M145">
            <v>4.8461400000000002E-2</v>
          </cell>
          <cell r="N145">
            <v>0.1010412</v>
          </cell>
          <cell r="O145">
            <v>5.0918399999999996E-2</v>
          </cell>
          <cell r="P145">
            <v>5.8921200000000007E-2</v>
          </cell>
          <cell r="Q145">
            <v>8.45442E-2</v>
          </cell>
          <cell r="R145">
            <v>9.3974400000000013E-2</v>
          </cell>
          <cell r="S145">
            <v>5.9202000000000005E-2</v>
          </cell>
          <cell r="T145">
            <v>7.4201400000000001E-2</v>
          </cell>
          <cell r="U145">
            <v>0.1071486</v>
          </cell>
          <cell r="V145">
            <v>0.11398140000000001</v>
          </cell>
          <cell r="W145">
            <v>9.4021200000000013E-2</v>
          </cell>
          <cell r="X145">
            <v>5.4498600000000001E-2</v>
          </cell>
          <cell r="Y145">
            <v>5.9061600000000006E-2</v>
          </cell>
          <cell r="Z145">
            <v>0.3604</v>
          </cell>
          <cell r="AA145">
            <v>0.33529999999999999</v>
          </cell>
          <cell r="AB145">
            <v>0.18800158000000008</v>
          </cell>
          <cell r="AC145">
            <v>0.1901061300000001</v>
          </cell>
          <cell r="AD145">
            <v>0.24725164000000002</v>
          </cell>
          <cell r="AE145">
            <v>0.28489977000000005</v>
          </cell>
        </row>
        <row r="146">
          <cell r="H146">
            <v>0.18307400000000001</v>
          </cell>
          <cell r="I146">
            <v>0.25515460000000001</v>
          </cell>
          <cell r="J146">
            <v>0.12968380000000002</v>
          </cell>
          <cell r="K146">
            <v>0.12393880000000002</v>
          </cell>
          <cell r="L146">
            <v>0.1590982</v>
          </cell>
          <cell r="M146">
            <v>0.15863859999999999</v>
          </cell>
          <cell r="N146">
            <v>0.33075880000000002</v>
          </cell>
          <cell r="O146">
            <v>0.16668160000000001</v>
          </cell>
          <cell r="P146">
            <v>0.19287880000000002</v>
          </cell>
          <cell r="Q146">
            <v>0.2767558</v>
          </cell>
          <cell r="R146">
            <v>0.3076256</v>
          </cell>
          <cell r="S146">
            <v>0.193798</v>
          </cell>
          <cell r="T146">
            <v>0.24289860000000002</v>
          </cell>
          <cell r="U146">
            <v>0.35075139999999999</v>
          </cell>
          <cell r="V146">
            <v>0.37311860000000002</v>
          </cell>
          <cell r="W146">
            <v>0.30777879999999996</v>
          </cell>
          <cell r="X146">
            <v>0.17840139999999999</v>
          </cell>
          <cell r="Y146">
            <v>0.19333839999999999</v>
          </cell>
          <cell r="Z146">
            <v>0.3604</v>
          </cell>
          <cell r="AA146">
            <v>0.33529999999999999</v>
          </cell>
          <cell r="AB146">
            <v>0.18800158000000008</v>
          </cell>
          <cell r="AC146">
            <v>0.1901061300000001</v>
          </cell>
          <cell r="AD146">
            <v>0.24725164000000002</v>
          </cell>
          <cell r="AE146">
            <v>0.28489977000000005</v>
          </cell>
        </row>
        <row r="147">
          <cell r="H147">
            <v>0.13889000000000001</v>
          </cell>
          <cell r="I147">
            <v>8.6394000000000026E-2</v>
          </cell>
          <cell r="J147">
            <v>8.9862000000000011E-2</v>
          </cell>
          <cell r="K147">
            <v>0.10047000000000002</v>
          </cell>
          <cell r="L147">
            <v>9.1595999999999997E-2</v>
          </cell>
          <cell r="M147">
            <v>5.3102692600000008E-2</v>
          </cell>
          <cell r="N147">
            <v>7.5077616799999997E-2</v>
          </cell>
          <cell r="O147">
            <v>0.14943000000000001</v>
          </cell>
          <cell r="P147">
            <v>0.19896800000000001</v>
          </cell>
          <cell r="Q147">
            <v>0.17751400000000001</v>
          </cell>
          <cell r="R147">
            <v>0.29961847200000008</v>
          </cell>
          <cell r="S147">
            <v>0.32215000000000005</v>
          </cell>
          <cell r="T147">
            <v>0.23167600000000005</v>
          </cell>
          <cell r="U147">
            <v>0.13569400000000001</v>
          </cell>
          <cell r="V147">
            <v>0.19543199999999999</v>
          </cell>
          <cell r="W147">
            <v>7.3900000000000007E-2</v>
          </cell>
          <cell r="X147">
            <v>0.19789999999999999</v>
          </cell>
          <cell r="Y147">
            <v>0.19040000000000001</v>
          </cell>
          <cell r="Z147">
            <v>0.27250000000000002</v>
          </cell>
          <cell r="AA147">
            <v>0.30969999999999998</v>
          </cell>
          <cell r="AB147">
            <v>0.14437921709174992</v>
          </cell>
          <cell r="AC147">
            <v>0.12593667786924057</v>
          </cell>
          <cell r="AD147">
            <v>0.11274781687252457</v>
          </cell>
          <cell r="AE147">
            <v>0.11357810546743598</v>
          </cell>
        </row>
        <row r="148">
          <cell r="H148">
            <v>0.26961000000000002</v>
          </cell>
          <cell r="I148">
            <v>0.16770600000000002</v>
          </cell>
          <cell r="J148">
            <v>0.17443800000000001</v>
          </cell>
          <cell r="K148">
            <v>0.19503000000000001</v>
          </cell>
          <cell r="L148">
            <v>0.17780399999999999</v>
          </cell>
          <cell r="M148">
            <v>0.10308169740000001</v>
          </cell>
          <cell r="N148">
            <v>0.14573890320000002</v>
          </cell>
          <cell r="O148">
            <v>0.29006999999999999</v>
          </cell>
          <cell r="P148">
            <v>0.38623200000000002</v>
          </cell>
          <cell r="Q148">
            <v>0.344586</v>
          </cell>
          <cell r="R148">
            <v>0.58161232800000007</v>
          </cell>
          <cell r="S148">
            <v>0.62535000000000007</v>
          </cell>
          <cell r="T148">
            <v>0.44972400000000012</v>
          </cell>
          <cell r="U148">
            <v>0.26340600000000003</v>
          </cell>
          <cell r="V148">
            <v>0.37936799999999998</v>
          </cell>
          <cell r="W148">
            <v>0.15509999999999999</v>
          </cell>
          <cell r="X148">
            <v>0.2155</v>
          </cell>
          <cell r="Y148">
            <v>0.21199999999999999</v>
          </cell>
          <cell r="Z148">
            <v>0.20980000000000001</v>
          </cell>
          <cell r="AA148">
            <v>0.19269999999999998</v>
          </cell>
          <cell r="AB148">
            <v>0.28119913349861531</v>
          </cell>
          <cell r="AC148">
            <v>0.25254892801661488</v>
          </cell>
          <cell r="AD148">
            <v>0.26806078039084402</v>
          </cell>
          <cell r="AE148">
            <v>0.28886737875496393</v>
          </cell>
        </row>
        <row r="168">
          <cell r="G168" t="str">
            <v>Western MT portion of state</v>
          </cell>
        </row>
        <row r="169">
          <cell r="H169">
            <v>5.8452515664333813</v>
          </cell>
          <cell r="I169">
            <v>2.3942560490388454</v>
          </cell>
          <cell r="J169">
            <v>3.2535508684892789</v>
          </cell>
          <cell r="K169">
            <v>3.8808061249763441</v>
          </cell>
          <cell r="L169">
            <v>2.6785158945721284</v>
          </cell>
          <cell r="M169">
            <v>2.1289433230787926</v>
          </cell>
          <cell r="N169">
            <v>1.9047034050448099</v>
          </cell>
          <cell r="O169">
            <v>2.9945048391710078</v>
          </cell>
          <cell r="P169">
            <v>3.7348996623363648</v>
          </cell>
          <cell r="Q169">
            <v>4.3096744291447084</v>
          </cell>
          <cell r="R169">
            <v>4.6932151602156393</v>
          </cell>
          <cell r="S169">
            <v>6.7040926655271003</v>
          </cell>
          <cell r="T169">
            <v>8.0155996509731651</v>
          </cell>
          <cell r="U169">
            <v>8.5121404979223296</v>
          </cell>
          <cell r="V169">
            <v>5.7106188925677364</v>
          </cell>
          <cell r="W169">
            <v>3.9531865469773946</v>
          </cell>
          <cell r="X169">
            <v>3.613957014984337</v>
          </cell>
          <cell r="Y169">
            <v>4.2577960031375479</v>
          </cell>
          <cell r="Z169">
            <v>2.9053730099999999</v>
          </cell>
          <cell r="AA169">
            <v>5.76397475</v>
          </cell>
          <cell r="AB169">
            <v>4.1477159651255757</v>
          </cell>
          <cell r="AC169">
            <v>4.3042855770003277</v>
          </cell>
          <cell r="AD169">
            <v>3.9757692712668407</v>
          </cell>
          <cell r="AE169">
            <v>3.9080659306945158</v>
          </cell>
        </row>
        <row r="170">
          <cell r="H170">
            <v>2.6335253613638385</v>
          </cell>
          <cell r="I170">
            <v>1.0787104635412517</v>
          </cell>
          <cell r="J170">
            <v>1.4658579924699486</v>
          </cell>
          <cell r="K170">
            <v>1.7484621896089618</v>
          </cell>
          <cell r="L170">
            <v>1.2067811725468609</v>
          </cell>
          <cell r="M170">
            <v>0.95917620833130801</v>
          </cell>
          <cell r="N170">
            <v>0.85814693620145599</v>
          </cell>
          <cell r="O170">
            <v>1.3491471408980753</v>
          </cell>
          <cell r="P170">
            <v>1.6827253491356049</v>
          </cell>
          <cell r="Q170">
            <v>1.9416849350932321</v>
          </cell>
          <cell r="R170">
            <v>2.1144857514330568</v>
          </cell>
          <cell r="S170">
            <v>3.0204684706789751</v>
          </cell>
          <cell r="T170">
            <v>3.6113561114457378</v>
          </cell>
          <cell r="U170">
            <v>3.8350681105841429</v>
          </cell>
          <cell r="V170">
            <v>2.5728678247182866</v>
          </cell>
          <cell r="W170">
            <v>1.7810725357744892</v>
          </cell>
          <cell r="X170">
            <v>1.628235730433635</v>
          </cell>
          <cell r="Y170">
            <v>1.9183115782676574</v>
          </cell>
          <cell r="Z170">
            <v>2.52049922</v>
          </cell>
          <cell r="AA170">
            <v>4.3866505</v>
          </cell>
          <cell r="AB170">
            <v>3.3467175863389964</v>
          </cell>
          <cell r="AC170">
            <v>3.4921085643107492</v>
          </cell>
          <cell r="AD170">
            <v>3.2325006595168051</v>
          </cell>
          <cell r="AE170">
            <v>3.2055077433563333</v>
          </cell>
        </row>
        <row r="171">
          <cell r="H171">
            <v>3.0901020722027819</v>
          </cell>
          <cell r="I171">
            <v>1.2657274874199036</v>
          </cell>
          <cell r="J171">
            <v>1.7199951390407733</v>
          </cell>
          <cell r="K171">
            <v>2.0515946854146958</v>
          </cell>
          <cell r="L171">
            <v>1.4160019328810107</v>
          </cell>
          <cell r="M171">
            <v>1.1254694685898994</v>
          </cell>
          <cell r="N171">
            <v>1.0069246587537342</v>
          </cell>
          <cell r="O171">
            <v>1.5830500199309174</v>
          </cell>
          <cell r="P171">
            <v>1.9744609885280306</v>
          </cell>
          <cell r="Q171">
            <v>2.2783166357620592</v>
          </cell>
          <cell r="R171">
            <v>2.4810760883513034</v>
          </cell>
          <cell r="S171">
            <v>3.5441298637939256</v>
          </cell>
          <cell r="T171">
            <v>4.2374602375810966</v>
          </cell>
          <cell r="U171">
            <v>4.4999573914935276</v>
          </cell>
          <cell r="V171">
            <v>3.0189282827139783</v>
          </cell>
          <cell r="W171">
            <v>2.0898587172481164</v>
          </cell>
          <cell r="X171">
            <v>1.9105244545820284</v>
          </cell>
          <cell r="Y171">
            <v>2.2508910185947957</v>
          </cell>
          <cell r="Z171">
            <v>0.65600877000000002</v>
          </cell>
          <cell r="AA171">
            <v>1.1345497499999999</v>
          </cell>
          <cell r="AB171">
            <v>0.87002001760199665</v>
          </cell>
          <cell r="AC171">
            <v>0.90846325570362163</v>
          </cell>
          <cell r="AD171">
            <v>0.8416976698075469</v>
          </cell>
          <cell r="AE171">
            <v>0.83495356000334453</v>
          </cell>
        </row>
        <row r="172">
          <cell r="H172">
            <v>1.9601639052244866</v>
          </cell>
          <cell r="I172">
            <v>1.8139548177464644</v>
          </cell>
          <cell r="J172">
            <v>1.5990745699068862</v>
          </cell>
          <cell r="K172">
            <v>1.2830229881440107</v>
          </cell>
          <cell r="L172">
            <v>0.979871173680254</v>
          </cell>
          <cell r="M172">
            <v>1.241660719000097</v>
          </cell>
          <cell r="N172">
            <v>1.8848305823635303</v>
          </cell>
          <cell r="O172">
            <v>2.4988567954738619</v>
          </cell>
          <cell r="P172">
            <v>2.288456066580165</v>
          </cell>
          <cell r="Q172">
            <v>1.2544054066975698</v>
          </cell>
          <cell r="R172">
            <v>1.5651299718837426</v>
          </cell>
          <cell r="S172">
            <v>2.1687149616138099</v>
          </cell>
          <cell r="T172">
            <v>2.726992850636329</v>
          </cell>
          <cell r="U172">
            <v>2.3639545922978495</v>
          </cell>
          <cell r="V172">
            <v>2.12134434059036</v>
          </cell>
          <cell r="W172">
            <v>1.7332075021200439</v>
          </cell>
          <cell r="X172">
            <v>1.6498023915828299</v>
          </cell>
          <cell r="Y172">
            <v>1.7728331175696301</v>
          </cell>
          <cell r="Z172">
            <v>3.0494837200000005</v>
          </cell>
          <cell r="AA172">
            <v>3.9300753599999996</v>
          </cell>
          <cell r="AB172">
            <v>3.2949268651724135</v>
          </cell>
          <cell r="AC172">
            <v>3.0804508752407767</v>
          </cell>
          <cell r="AD172">
            <v>2.9901146137661283</v>
          </cell>
          <cell r="AE172">
            <v>3.1209850609635708</v>
          </cell>
        </row>
        <row r="173">
          <cell r="H173">
            <v>3.620390059325949</v>
          </cell>
          <cell r="I173">
            <v>3.3503443118873304</v>
          </cell>
          <cell r="J173">
            <v>2.9534640759282804</v>
          </cell>
          <cell r="K173">
            <v>2.3697220726198811</v>
          </cell>
          <cell r="L173">
            <v>1.8098057244890269</v>
          </cell>
          <cell r="M173">
            <v>2.2933266509713843</v>
          </cell>
          <cell r="N173">
            <v>3.4812506677195292</v>
          </cell>
          <cell r="O173">
            <v>4.6153468482405211</v>
          </cell>
          <cell r="P173">
            <v>4.2267402091062101</v>
          </cell>
          <cell r="Q173">
            <v>2.3168658767096826</v>
          </cell>
          <cell r="R173">
            <v>2.8907689691960035</v>
          </cell>
          <cell r="S173">
            <v>4.0055803841765441</v>
          </cell>
          <cell r="T173">
            <v>5.0367103393662491</v>
          </cell>
          <cell r="U173">
            <v>4.366184727635269</v>
          </cell>
          <cell r="V173">
            <v>3.9180876367586932</v>
          </cell>
          <cell r="W173">
            <v>3.2012053658879802</v>
          </cell>
          <cell r="X173">
            <v>3.0471575169907066</v>
          </cell>
          <cell r="Y173">
            <v>3.2743932171110264</v>
          </cell>
          <cell r="Z173">
            <v>1.21717136</v>
          </cell>
          <cell r="AA173">
            <v>1.5786711799999997</v>
          </cell>
          <cell r="AB173">
            <v>1.3199722007364803</v>
          </cell>
          <cell r="AC173">
            <v>1.2300279538780112</v>
          </cell>
          <cell r="AD173">
            <v>1.196371930895225</v>
          </cell>
          <cell r="AE173">
            <v>1.248350009064233</v>
          </cell>
        </row>
        <row r="174">
          <cell r="H174">
            <v>0.90509751483148726</v>
          </cell>
          <cell r="I174">
            <v>0.8375860779718326</v>
          </cell>
          <cell r="J174">
            <v>0.7383660189820701</v>
          </cell>
          <cell r="K174">
            <v>0.59243051815497028</v>
          </cell>
          <cell r="L174">
            <v>0.45245143112225672</v>
          </cell>
          <cell r="M174">
            <v>0.57333166274284608</v>
          </cell>
          <cell r="N174">
            <v>0.87031266692988229</v>
          </cell>
          <cell r="O174">
            <v>1.1538367120601303</v>
          </cell>
          <cell r="P174">
            <v>1.0566850522765525</v>
          </cell>
          <cell r="Q174">
            <v>0.57921646917742065</v>
          </cell>
          <cell r="R174">
            <v>0.72269224229900086</v>
          </cell>
          <cell r="S174">
            <v>1.001395096044136</v>
          </cell>
          <cell r="T174">
            <v>1.2591775848415623</v>
          </cell>
          <cell r="U174">
            <v>1.0915461819088172</v>
          </cell>
          <cell r="V174">
            <v>0.9795219091896733</v>
          </cell>
          <cell r="W174">
            <v>0.80030134147199505</v>
          </cell>
          <cell r="X174">
            <v>0.76178937924767665</v>
          </cell>
          <cell r="Y174">
            <v>0.81859830427775659</v>
          </cell>
          <cell r="Z174">
            <v>4.4185782000000007</v>
          </cell>
          <cell r="AA174">
            <v>5.8084251000000009</v>
          </cell>
          <cell r="AB174">
            <v>4.8341193729503171</v>
          </cell>
          <cell r="AC174">
            <v>4.4973948910402894</v>
          </cell>
          <cell r="AD174">
            <v>4.3749492047650769</v>
          </cell>
          <cell r="AE174">
            <v>4.5648201170153557</v>
          </cell>
        </row>
        <row r="175">
          <cell r="H175">
            <v>1.7474878206180771</v>
          </cell>
          <cell r="I175">
            <v>1.6171422923943721</v>
          </cell>
          <cell r="J175">
            <v>1.4255763651827631</v>
          </cell>
          <cell r="K175">
            <v>1.1438161060811387</v>
          </cell>
          <cell r="L175">
            <v>0.87355600070846262</v>
          </cell>
          <cell r="M175">
            <v>1.1069416072856728</v>
          </cell>
          <cell r="N175">
            <v>1.6803280979870585</v>
          </cell>
          <cell r="O175">
            <v>2.2277329992254882</v>
          </cell>
          <cell r="P175">
            <v>2.0401605670370717</v>
          </cell>
          <cell r="Q175">
            <v>1.1183035074153274</v>
          </cell>
          <cell r="R175">
            <v>1.3953147266212531</v>
          </cell>
          <cell r="S175">
            <v>1.9334112681655102</v>
          </cell>
          <cell r="T175">
            <v>2.4311164901558593</v>
          </cell>
          <cell r="U175">
            <v>2.1074675681580644</v>
          </cell>
          <cell r="V175">
            <v>1.8911803184612741</v>
          </cell>
          <cell r="W175">
            <v>1.5451559905199812</v>
          </cell>
          <cell r="X175">
            <v>1.4708002621787872</v>
          </cell>
          <cell r="Y175">
            <v>1.580482261041587</v>
          </cell>
          <cell r="Z175">
            <v>1.38987072</v>
          </cell>
          <cell r="AA175">
            <v>1.8173303599999999</v>
          </cell>
          <cell r="AB175">
            <v>1.5136049433773811</v>
          </cell>
          <cell r="AC175">
            <v>1.4027949732052674</v>
          </cell>
          <cell r="AD175">
            <v>1.3671049082637361</v>
          </cell>
          <cell r="AE175">
            <v>1.4256651163527188</v>
          </cell>
        </row>
        <row r="176">
          <cell r="H176">
            <v>2.3326221600000001</v>
          </cell>
          <cell r="I176">
            <v>2.1343561800000002</v>
          </cell>
          <cell r="J176">
            <v>2.7849274200000003</v>
          </cell>
          <cell r="K176">
            <v>3.7213380599999999</v>
          </cell>
          <cell r="L176">
            <v>3.8396688000000001</v>
          </cell>
          <cell r="M176">
            <v>4.5304399799999997</v>
          </cell>
          <cell r="N176">
            <v>3.8655843599999997</v>
          </cell>
          <cell r="O176">
            <v>3.7622019600000001</v>
          </cell>
          <cell r="P176">
            <v>4.9317826799999995</v>
          </cell>
          <cell r="Q176">
            <v>3.5256144000000003</v>
          </cell>
          <cell r="R176">
            <v>4.1166087600000001</v>
          </cell>
          <cell r="S176">
            <v>3.6865428600000003</v>
          </cell>
          <cell r="T176">
            <v>4.4936060400000004</v>
          </cell>
          <cell r="U176">
            <v>4.0552175400000001</v>
          </cell>
          <cell r="V176">
            <v>4.7025844800000005</v>
          </cell>
          <cell r="W176">
            <v>5.7826820000000012</v>
          </cell>
          <cell r="X176">
            <v>6.4745300000000006</v>
          </cell>
          <cell r="Y176">
            <v>4.3306040000000001</v>
          </cell>
          <cell r="Z176">
            <v>5.0644289999999996</v>
          </cell>
          <cell r="AA176">
            <v>4.8802399999999997</v>
          </cell>
          <cell r="AB176">
            <v>5.314560624425317</v>
          </cell>
          <cell r="AC176">
            <v>5.8392883922912757</v>
          </cell>
          <cell r="AD176">
            <v>5.5907307068579604</v>
          </cell>
          <cell r="AE176">
            <v>5.3970025110934667</v>
          </cell>
        </row>
        <row r="177">
          <cell r="H177">
            <v>1.2016538399999999</v>
          </cell>
          <cell r="I177">
            <v>1.0995168200000001</v>
          </cell>
          <cell r="J177">
            <v>1.4346595800000002</v>
          </cell>
          <cell r="K177">
            <v>1.91705294</v>
          </cell>
          <cell r="L177">
            <v>1.9780112000000001</v>
          </cell>
          <cell r="M177">
            <v>2.3338630200000003</v>
          </cell>
          <cell r="N177">
            <v>1.99136164</v>
          </cell>
          <cell r="O177">
            <v>1.93810404</v>
          </cell>
          <cell r="P177">
            <v>2.5406153199999997</v>
          </cell>
          <cell r="Q177">
            <v>1.8162256000000001</v>
          </cell>
          <cell r="R177">
            <v>2.12067724</v>
          </cell>
          <cell r="S177">
            <v>1.8991281399999997</v>
          </cell>
          <cell r="T177">
            <v>2.3148879600000005</v>
          </cell>
          <cell r="U177">
            <v>2.0890514600000003</v>
          </cell>
          <cell r="V177">
            <v>2.4225435200000001</v>
          </cell>
          <cell r="W177">
            <v>2.7598760000000002</v>
          </cell>
          <cell r="X177">
            <v>3.2231519999999998</v>
          </cell>
          <cell r="Y177">
            <v>1.711967</v>
          </cell>
          <cell r="Z177">
            <v>2.2422549999999997</v>
          </cell>
          <cell r="AA177">
            <v>1.9980939999999998</v>
          </cell>
          <cell r="AB177">
            <v>2.2146394799898173</v>
          </cell>
          <cell r="AC177">
            <v>2.4529568455976025</v>
          </cell>
          <cell r="AD177">
            <v>2.3252751304701671</v>
          </cell>
          <cell r="AE177">
            <v>2.2545756506342292</v>
          </cell>
        </row>
        <row r="178">
          <cell r="H178">
            <v>7.7681670999999994</v>
          </cell>
          <cell r="I178">
            <v>6.1909778999999991</v>
          </cell>
          <cell r="J178">
            <v>6.2494579999999997</v>
          </cell>
          <cell r="K178">
            <v>6.6152219000000008</v>
          </cell>
          <cell r="L178">
            <v>5.5810154000000001</v>
          </cell>
          <cell r="M178">
            <v>5.2429889000000003</v>
          </cell>
          <cell r="N178">
            <v>4.4018980000000001</v>
          </cell>
          <cell r="O178">
            <v>6.0446849999999994</v>
          </cell>
          <cell r="P178">
            <v>9.751614</v>
          </cell>
          <cell r="Q178">
            <v>11.116424999999998</v>
          </cell>
          <cell r="R178">
            <v>11.370925</v>
          </cell>
          <cell r="S178">
            <v>11.869458999999999</v>
          </cell>
          <cell r="T178">
            <v>10.888947</v>
          </cell>
          <cell r="U178">
            <v>9.4940550000000012</v>
          </cell>
          <cell r="V178">
            <v>10.433181000000001</v>
          </cell>
          <cell r="W178">
            <v>5.9005559999999999</v>
          </cell>
          <cell r="X178">
            <v>6.8123880000000003</v>
          </cell>
          <cell r="Y178">
            <v>6.1123589999999997</v>
          </cell>
          <cell r="Z178">
            <v>9.229140000000001</v>
          </cell>
          <cell r="AA178">
            <v>8.458632999999999</v>
          </cell>
          <cell r="AB178">
            <v>8.0452519383000087</v>
          </cell>
          <cell r="AC178">
            <v>7.6519041966999959</v>
          </cell>
          <cell r="AD178">
            <v>7.4193123636000031</v>
          </cell>
          <cell r="AE178">
            <v>7.7886886725999984</v>
          </cell>
        </row>
        <row r="179">
          <cell r="H179">
            <v>0.94562667569891845</v>
          </cell>
          <cell r="I179">
            <v>0.87797440847584418</v>
          </cell>
          <cell r="J179">
            <v>0.76896588931383225</v>
          </cell>
          <cell r="K179">
            <v>0.63948110135578418</v>
          </cell>
          <cell r="L179">
            <v>0.43394926096228958</v>
          </cell>
          <cell r="M179">
            <v>0.70856563684818685</v>
          </cell>
          <cell r="N179">
            <v>0.99833300111063006</v>
          </cell>
          <cell r="O179">
            <v>1.2788148464054281</v>
          </cell>
          <cell r="P179">
            <v>1.1413744588863326</v>
          </cell>
          <cell r="Q179">
            <v>0.71823731071012475</v>
          </cell>
          <cell r="R179">
            <v>0.84101134433644587</v>
          </cell>
          <cell r="S179">
            <v>1.2251082266483837</v>
          </cell>
          <cell r="T179">
            <v>1.5651012636603874</v>
          </cell>
          <cell r="U179">
            <v>1.2759510039866273</v>
          </cell>
          <cell r="V179">
            <v>1.107505460703968</v>
          </cell>
          <cell r="W179">
            <v>0.63798485303363595</v>
          </cell>
          <cell r="X179">
            <v>0.62624539967892912</v>
          </cell>
          <cell r="Y179">
            <v>0.67166554183832972</v>
          </cell>
          <cell r="Z179">
            <v>0.492732</v>
          </cell>
          <cell r="AA179">
            <v>0.49918399999999996</v>
          </cell>
          <cell r="AB179">
            <v>0.51242220696340901</v>
          </cell>
          <cell r="AC179">
            <v>0.56820095103565071</v>
          </cell>
          <cell r="AD179">
            <v>0.49314781500982674</v>
          </cell>
          <cell r="AE179">
            <v>0.5050087559041242</v>
          </cell>
        </row>
        <row r="180">
          <cell r="H180">
            <v>0.38265402430108175</v>
          </cell>
          <cell r="I180">
            <v>0.35527809152415585</v>
          </cell>
          <cell r="J180">
            <v>0.31116708068616789</v>
          </cell>
          <cell r="K180">
            <v>0.25877021364421587</v>
          </cell>
          <cell r="L180">
            <v>0.17560040903771046</v>
          </cell>
          <cell r="M180">
            <v>0.28672572315181322</v>
          </cell>
          <cell r="N180">
            <v>0.4039819838893699</v>
          </cell>
          <cell r="O180">
            <v>0.51748079859457219</v>
          </cell>
          <cell r="P180">
            <v>0.46186464611366751</v>
          </cell>
          <cell r="Q180">
            <v>0.29063942928987535</v>
          </cell>
          <cell r="R180">
            <v>0.34032074566355414</v>
          </cell>
          <cell r="S180">
            <v>0.49574806335161636</v>
          </cell>
          <cell r="T180">
            <v>0.63332847133961268</v>
          </cell>
          <cell r="U180">
            <v>0.51632192601337268</v>
          </cell>
          <cell r="V180">
            <v>0.44815933429603194</v>
          </cell>
          <cell r="W180">
            <v>0.25816474696636388</v>
          </cell>
          <cell r="X180">
            <v>0.25341430032107087</v>
          </cell>
          <cell r="Y180">
            <v>0.27179385816167018</v>
          </cell>
          <cell r="Z180">
            <v>0.492732</v>
          </cell>
          <cell r="AA180">
            <v>0.49918399999999996</v>
          </cell>
          <cell r="AB180">
            <v>0.51242220696340901</v>
          </cell>
          <cell r="AC180">
            <v>0.56820095103565071</v>
          </cell>
          <cell r="AD180">
            <v>0.49314781500982674</v>
          </cell>
          <cell r="AE180">
            <v>0.5050087559041242</v>
          </cell>
        </row>
        <row r="181">
          <cell r="H181">
            <v>0.40274807407407415</v>
          </cell>
          <cell r="I181">
            <v>0.37036307407407404</v>
          </cell>
          <cell r="J181">
            <v>0.48768807407407411</v>
          </cell>
          <cell r="K181">
            <v>0.46379207407407413</v>
          </cell>
          <cell r="L181">
            <v>0.53812807407407393</v>
          </cell>
          <cell r="M181">
            <v>0.42164107407407414</v>
          </cell>
          <cell r="N181">
            <v>0.43037807407407414</v>
          </cell>
          <cell r="O181">
            <v>0.50291507407407388</v>
          </cell>
          <cell r="P181">
            <v>0.48163407407407416</v>
          </cell>
          <cell r="Q181">
            <v>0.45580907407407417</v>
          </cell>
          <cell r="R181">
            <v>0.6205150740740738</v>
          </cell>
          <cell r="S181">
            <v>0.56234507407407419</v>
          </cell>
          <cell r="T181">
            <v>0.58473807407407419</v>
          </cell>
          <cell r="U181">
            <v>0.5404590740740739</v>
          </cell>
          <cell r="V181">
            <v>0.42069407407407394</v>
          </cell>
          <cell r="W181">
            <v>1.2428048860740741</v>
          </cell>
          <cell r="X181">
            <v>1.1604115330740739</v>
          </cell>
          <cell r="Y181">
            <v>1.2477731920740742</v>
          </cell>
          <cell r="Z181">
            <v>8.7690780740740752</v>
          </cell>
          <cell r="AA181">
            <v>11.037976074074074</v>
          </cell>
          <cell r="AB181">
            <v>9.3237041313177169</v>
          </cell>
          <cell r="AC181">
            <v>8.7162296123734357</v>
          </cell>
          <cell r="AD181">
            <v>8.4335868012343536</v>
          </cell>
          <cell r="AE181">
            <v>8.7947699601225242</v>
          </cell>
        </row>
        <row r="182">
          <cell r="H182">
            <v>1.2680339999999999</v>
          </cell>
          <cell r="I182">
            <v>3.2701959999999999</v>
          </cell>
          <cell r="J182">
            <v>2.1934979999999999</v>
          </cell>
          <cell r="K182">
            <v>2.1689530000000001</v>
          </cell>
          <cell r="L182">
            <v>1.452771</v>
          </cell>
          <cell r="M182">
            <v>0.90405199999999997</v>
          </cell>
          <cell r="N182">
            <v>1.359175</v>
          </cell>
          <cell r="O182">
            <v>1.5139029999999998</v>
          </cell>
          <cell r="P182">
            <v>2.30301</v>
          </cell>
          <cell r="Q182">
            <v>2.7516340000000001</v>
          </cell>
          <cell r="R182">
            <v>4.7814439999999996</v>
          </cell>
          <cell r="S182">
            <v>4.4062680000000007</v>
          </cell>
          <cell r="T182">
            <v>3.36571</v>
          </cell>
          <cell r="U182">
            <v>3.4345909999999997</v>
          </cell>
          <cell r="V182">
            <v>2.0285880000000001</v>
          </cell>
          <cell r="W182">
            <v>0.95992100000000002</v>
          </cell>
          <cell r="X182">
            <v>1.6628509999999999</v>
          </cell>
          <cell r="Y182">
            <v>1.8797829999999998</v>
          </cell>
          <cell r="Z182">
            <v>2.3661449999999999</v>
          </cell>
          <cell r="AA182">
            <v>3.0826709999999999</v>
          </cell>
          <cell r="AB182">
            <v>3.0169681880581578</v>
          </cell>
          <cell r="AC182">
            <v>2.5401827085011996</v>
          </cell>
          <cell r="AD182">
            <v>2.2922556070064219</v>
          </cell>
          <cell r="AE182">
            <v>2.6029925645564869</v>
          </cell>
        </row>
        <row r="183">
          <cell r="H183">
            <v>0.75905672000000002</v>
          </cell>
          <cell r="I183">
            <v>0.75352307799999996</v>
          </cell>
          <cell r="J183">
            <v>1.0492427340000001</v>
          </cell>
          <cell r="K183">
            <v>0.82287268399999991</v>
          </cell>
          <cell r="L183">
            <v>0.67738382599999991</v>
          </cell>
          <cell r="M183">
            <v>1.2262085980000001</v>
          </cell>
          <cell r="N183">
            <v>0.94672238399999986</v>
          </cell>
          <cell r="O183">
            <v>0.94664478799999996</v>
          </cell>
          <cell r="P183">
            <v>0.89970378400000006</v>
          </cell>
          <cell r="Q183">
            <v>0.77038129399999988</v>
          </cell>
          <cell r="R183">
            <v>1.1871685080000001</v>
          </cell>
          <cell r="S183">
            <v>1.3819149399999999</v>
          </cell>
          <cell r="T183">
            <v>2.1635749979999996</v>
          </cell>
          <cell r="U183">
            <v>1.9397220020000001</v>
          </cell>
          <cell r="V183">
            <v>1.5831111979999999</v>
          </cell>
          <cell r="W183">
            <v>1.026218284</v>
          </cell>
          <cell r="X183">
            <v>1.045345602</v>
          </cell>
          <cell r="Y183">
            <v>1.134643912</v>
          </cell>
          <cell r="Z183">
            <v>7.6951280000000004</v>
          </cell>
          <cell r="AA183">
            <v>4.5313210000000002</v>
          </cell>
          <cell r="AB183">
            <v>4.4960725606</v>
          </cell>
          <cell r="AC183">
            <v>4.5696217040999993</v>
          </cell>
          <cell r="AD183">
            <v>4.8413475147999998</v>
          </cell>
          <cell r="AE183">
            <v>5.1556288689000001</v>
          </cell>
        </row>
        <row r="184">
          <cell r="H184">
            <v>1.5868732800000001</v>
          </cell>
          <cell r="I184">
            <v>1.5850439220000003</v>
          </cell>
          <cell r="J184">
            <v>2.1840582660000001</v>
          </cell>
          <cell r="K184">
            <v>1.6983533159999999</v>
          </cell>
          <cell r="L184">
            <v>1.4102051739999999</v>
          </cell>
          <cell r="M184">
            <v>2.5247384019999997</v>
          </cell>
          <cell r="N184">
            <v>1.9978036160000001</v>
          </cell>
          <cell r="O184">
            <v>1.9580872119999999</v>
          </cell>
          <cell r="P184">
            <v>1.839522216</v>
          </cell>
          <cell r="Q184">
            <v>1.601259706</v>
          </cell>
          <cell r="R184">
            <v>2.454743492</v>
          </cell>
          <cell r="S184">
            <v>2.82329506</v>
          </cell>
          <cell r="T184">
            <v>4.3995720020000002</v>
          </cell>
          <cell r="U184">
            <v>3.9502809980000002</v>
          </cell>
          <cell r="V184">
            <v>3.2548358020000001</v>
          </cell>
          <cell r="W184">
            <v>3.1835925159999996</v>
          </cell>
          <cell r="X184">
            <v>3.2696349979999999</v>
          </cell>
          <cell r="Y184">
            <v>3.3710648879999998</v>
          </cell>
          <cell r="Z184">
            <v>7.6951280000000004</v>
          </cell>
          <cell r="AA184">
            <v>4.5313210000000002</v>
          </cell>
          <cell r="AB184">
            <v>4.4960725606</v>
          </cell>
          <cell r="AC184">
            <v>4.5696217040999993</v>
          </cell>
          <cell r="AD184">
            <v>4.8413475147999998</v>
          </cell>
          <cell r="AE184">
            <v>5.1556288689000001</v>
          </cell>
        </row>
        <row r="185">
          <cell r="H185">
            <v>2.0197172999999999</v>
          </cell>
          <cell r="I185">
            <v>2.4033025800000001</v>
          </cell>
          <cell r="J185">
            <v>1.6100873399999998</v>
          </cell>
          <cell r="K185">
            <v>2.2882799</v>
          </cell>
          <cell r="L185">
            <v>2.8939977200000002</v>
          </cell>
          <cell r="M185">
            <v>2.6208346827820002</v>
          </cell>
          <cell r="N185">
            <v>2.808180909576</v>
          </cell>
          <cell r="O185">
            <v>2.4410076620000001</v>
          </cell>
          <cell r="P185">
            <v>3.4118360120000002</v>
          </cell>
          <cell r="Q185">
            <v>4.6980795400000002</v>
          </cell>
          <cell r="R185">
            <v>5.0203619890400004</v>
          </cell>
          <cell r="S185">
            <v>6.1223928520000008</v>
          </cell>
          <cell r="T185">
            <v>6.8415446340000008</v>
          </cell>
          <cell r="U185">
            <v>6.7605348059999999</v>
          </cell>
          <cell r="V185">
            <v>5.2803142400000009</v>
          </cell>
          <cell r="W185">
            <v>4.7062230000000014</v>
          </cell>
          <cell r="X185">
            <v>4.0795029999999999</v>
          </cell>
          <cell r="Y185">
            <v>5.6370279999999999</v>
          </cell>
          <cell r="Z185">
            <v>3.2726250000000001</v>
          </cell>
          <cell r="AA185">
            <v>4.1234289999999998</v>
          </cell>
          <cell r="AB185">
            <v>4.1990751697822688</v>
          </cell>
          <cell r="AC185">
            <v>3.9559845486033547</v>
          </cell>
          <cell r="AD185">
            <v>4.2245626971251937</v>
          </cell>
          <cell r="AE185">
            <v>4.3471217789162413</v>
          </cell>
        </row>
        <row r="186">
          <cell r="H186">
            <v>3.9206276999999998</v>
          </cell>
          <cell r="I186">
            <v>5.0675564199999998</v>
          </cell>
          <cell r="J186">
            <v>3.3396976600000001</v>
          </cell>
          <cell r="K186">
            <v>4.6083171000000016</v>
          </cell>
          <cell r="L186">
            <v>5.7593702800000006</v>
          </cell>
          <cell r="M186">
            <v>5.3036676835180003</v>
          </cell>
          <cell r="N186">
            <v>5.8835187068239998</v>
          </cell>
          <cell r="O186">
            <v>5.0332471999999999</v>
          </cell>
          <cell r="P186">
            <v>6.8259360000000013</v>
          </cell>
          <cell r="Q186">
            <v>9.5154594599999989</v>
          </cell>
          <cell r="R186">
            <v>10.112064566960001</v>
          </cell>
          <cell r="S186">
            <v>12.42666404</v>
          </cell>
          <cell r="T186">
            <v>13.837188780000002</v>
          </cell>
          <cell r="U186">
            <v>13.824212319999997</v>
          </cell>
          <cell r="V186">
            <v>10.725069760000002</v>
          </cell>
          <cell r="W186">
            <v>7.2359570000000009</v>
          </cell>
          <cell r="X186">
            <v>9.5127849999999992</v>
          </cell>
          <cell r="Y186">
            <v>8.7675900000000002</v>
          </cell>
          <cell r="Z186">
            <v>3.607186</v>
          </cell>
          <cell r="AA186">
            <v>4.0182390000000003</v>
          </cell>
          <cell r="AB186">
            <v>4.2711939641417151</v>
          </cell>
          <cell r="AC186">
            <v>4.5946027044206739</v>
          </cell>
          <cell r="AD186">
            <v>4.429112704129059</v>
          </cell>
          <cell r="AE186">
            <v>4.328169119778071</v>
          </cell>
        </row>
        <row r="207">
          <cell r="G207" t="str">
            <v>Base</v>
          </cell>
          <cell r="H207">
            <v>42.389799174074071</v>
          </cell>
          <cell r="I207">
            <v>36.465809974074077</v>
          </cell>
          <cell r="J207">
            <v>35.569335074074075</v>
          </cell>
          <cell r="K207">
            <v>38.272286974074078</v>
          </cell>
          <cell r="L207">
            <v>34.157084474074075</v>
          </cell>
          <cell r="M207">
            <v>35.53257534037408</v>
          </cell>
          <cell r="N207">
            <v>36.773434690474069</v>
          </cell>
          <cell r="O207">
            <v>42.359566936074067</v>
          </cell>
          <cell r="P207">
            <v>51.593021086074074</v>
          </cell>
          <cell r="Q207">
            <v>51.05823207407407</v>
          </cell>
          <cell r="R207">
            <v>58.828523630074066</v>
          </cell>
          <cell r="S207">
            <v>69.276658966074081</v>
          </cell>
          <cell r="T207">
            <v>78.406612488074074</v>
          </cell>
          <cell r="U207">
            <v>74.656716200074086</v>
          </cell>
          <cell r="V207">
            <v>62.619136074074078</v>
          </cell>
          <cell r="W207">
            <v>48.797968286074081</v>
          </cell>
          <cell r="X207">
            <v>52.20252758307408</v>
          </cell>
          <cell r="Y207">
            <v>51.00957789207407</v>
          </cell>
          <cell r="Z207">
            <v>67.083563074074078</v>
          </cell>
          <cell r="AA207">
            <v>72.079969074074057</v>
          </cell>
          <cell r="AB207">
            <v>65.729459982444979</v>
          </cell>
          <cell r="AC207">
            <v>64.942320409137878</v>
          </cell>
          <cell r="AD207">
            <v>63.362334928324181</v>
          </cell>
          <cell r="AE207">
            <v>65.142943044759335</v>
          </cell>
        </row>
        <row r="208">
          <cell r="G208" t="str">
            <v>Low</v>
          </cell>
          <cell r="H208">
            <v>42.389799174074071</v>
          </cell>
          <cell r="I208">
            <v>36.465809974074077</v>
          </cell>
          <cell r="J208">
            <v>35.569335074074075</v>
          </cell>
          <cell r="K208">
            <v>38.272286974074078</v>
          </cell>
          <cell r="L208">
            <v>34.157084474074075</v>
          </cell>
          <cell r="M208">
            <v>35.53257534037408</v>
          </cell>
          <cell r="N208">
            <v>36.773434690474069</v>
          </cell>
          <cell r="O208">
            <v>42.359566936074067</v>
          </cell>
          <cell r="P208">
            <v>51.593021086074074</v>
          </cell>
          <cell r="Q208">
            <v>51.05823207407407</v>
          </cell>
          <cell r="R208">
            <v>58.828523630074066</v>
          </cell>
          <cell r="S208">
            <v>69.276658966074081</v>
          </cell>
          <cell r="T208">
            <v>78.406612488074074</v>
          </cell>
          <cell r="U208">
            <v>74.656716200074086</v>
          </cell>
          <cell r="V208">
            <v>62.619136074074078</v>
          </cell>
          <cell r="W208">
            <v>48.797968286074081</v>
          </cell>
          <cell r="X208">
            <v>52.20252758307408</v>
          </cell>
          <cell r="Y208">
            <v>51.00957789207407</v>
          </cell>
          <cell r="Z208">
            <v>67.083563074074078</v>
          </cell>
          <cell r="AA208">
            <v>72.079969074074057</v>
          </cell>
          <cell r="AB208">
            <v>65.729459982444979</v>
          </cell>
          <cell r="AC208">
            <v>64.942320409137878</v>
          </cell>
          <cell r="AD208">
            <v>63.362334928324181</v>
          </cell>
          <cell r="AE208">
            <v>65.142943044759335</v>
          </cell>
        </row>
        <row r="209">
          <cell r="G209" t="str">
            <v>High</v>
          </cell>
          <cell r="H209">
            <v>42.389799174074071</v>
          </cell>
          <cell r="I209">
            <v>36.465809974074077</v>
          </cell>
          <cell r="J209">
            <v>35.569335074074075</v>
          </cell>
          <cell r="K209">
            <v>38.272286974074078</v>
          </cell>
          <cell r="L209">
            <v>34.157084474074075</v>
          </cell>
          <cell r="M209">
            <v>35.53257534037408</v>
          </cell>
          <cell r="N209">
            <v>36.773434690474069</v>
          </cell>
          <cell r="O209">
            <v>42.359566936074067</v>
          </cell>
          <cell r="P209">
            <v>51.593021086074074</v>
          </cell>
          <cell r="Q209">
            <v>51.05823207407407</v>
          </cell>
          <cell r="R209">
            <v>58.828523630074066</v>
          </cell>
          <cell r="S209">
            <v>69.276658966074081</v>
          </cell>
          <cell r="T209">
            <v>78.406612488074074</v>
          </cell>
          <cell r="U209">
            <v>74.656716200074086</v>
          </cell>
          <cell r="V209">
            <v>62.619136074074078</v>
          </cell>
          <cell r="W209">
            <v>48.797968286074081</v>
          </cell>
          <cell r="X209">
            <v>52.20252758307408</v>
          </cell>
          <cell r="Y209">
            <v>51.00957789207407</v>
          </cell>
          <cell r="Z209">
            <v>67.083563074074078</v>
          </cell>
          <cell r="AA209">
            <v>72.079969074074057</v>
          </cell>
          <cell r="AB209">
            <v>65.729459982444979</v>
          </cell>
          <cell r="AC209">
            <v>64.942320409137878</v>
          </cell>
          <cell r="AD209">
            <v>63.362334928324181</v>
          </cell>
          <cell r="AE209">
            <v>65.142943044759335</v>
          </cell>
        </row>
        <row r="210">
          <cell r="G210" t="str">
            <v>Base</v>
          </cell>
        </row>
        <row r="211">
          <cell r="G211" t="str">
            <v>Low</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row>
        <row r="212">
          <cell r="G212" t="str">
            <v>High</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row>
        <row r="214">
          <cell r="G214">
            <v>1986</v>
          </cell>
          <cell r="H214">
            <v>1987</v>
          </cell>
          <cell r="I214">
            <v>1988</v>
          </cell>
          <cell r="J214">
            <v>1989</v>
          </cell>
          <cell r="K214">
            <v>1990</v>
          </cell>
          <cell r="L214">
            <v>1991</v>
          </cell>
          <cell r="M214">
            <v>1992</v>
          </cell>
          <cell r="N214">
            <v>1993</v>
          </cell>
          <cell r="O214">
            <v>1994</v>
          </cell>
          <cell r="P214">
            <v>1995</v>
          </cell>
          <cell r="Q214">
            <v>1996</v>
          </cell>
          <cell r="R214">
            <v>1997</v>
          </cell>
          <cell r="S214">
            <v>1998</v>
          </cell>
          <cell r="T214">
            <v>1999</v>
          </cell>
          <cell r="U214">
            <v>2000</v>
          </cell>
          <cell r="V214">
            <v>2001</v>
          </cell>
          <cell r="W214">
            <v>2002</v>
          </cell>
          <cell r="X214">
            <v>2003</v>
          </cell>
          <cell r="Y214">
            <v>2004</v>
          </cell>
          <cell r="Z214">
            <v>2005</v>
          </cell>
          <cell r="AA214">
            <v>2006</v>
          </cell>
          <cell r="AB214">
            <v>2007</v>
          </cell>
          <cell r="AC214">
            <v>2008</v>
          </cell>
          <cell r="AD214">
            <v>2009</v>
          </cell>
          <cell r="AE214">
            <v>2010</v>
          </cell>
        </row>
        <row r="216">
          <cell r="G216">
            <v>208998.69198523989</v>
          </cell>
          <cell r="H216">
            <v>200145.98024940802</v>
          </cell>
          <cell r="I216">
            <v>204298.48758186327</v>
          </cell>
          <cell r="J216">
            <v>212514.47308934119</v>
          </cell>
          <cell r="K216">
            <v>218248.8879770175</v>
          </cell>
          <cell r="L216">
            <v>230735.79972918943</v>
          </cell>
          <cell r="M216">
            <v>231528.43027437758</v>
          </cell>
          <cell r="N216">
            <v>244878.83743148466</v>
          </cell>
          <cell r="O216">
            <v>242786.25970780815</v>
          </cell>
          <cell r="P216">
            <v>255559.09058324914</v>
          </cell>
          <cell r="Q216">
            <v>268008.32621918456</v>
          </cell>
          <cell r="R216">
            <v>265489.37581064156</v>
          </cell>
          <cell r="S216">
            <v>272482.6174634418</v>
          </cell>
          <cell r="T216">
            <v>284410.89610058442</v>
          </cell>
          <cell r="U216">
            <v>300017.95217937022</v>
          </cell>
          <cell r="V216">
            <v>317942.85702325829</v>
          </cell>
          <cell r="W216">
            <v>335695.10260296741</v>
          </cell>
          <cell r="X216">
            <v>348922.95366756298</v>
          </cell>
          <cell r="Y216">
            <v>353537.99027757213</v>
          </cell>
          <cell r="Z216">
            <v>354596.7797693297</v>
          </cell>
          <cell r="AA216">
            <v>359853.55392939574</v>
          </cell>
          <cell r="AB216">
            <v>355546.86718435638</v>
          </cell>
          <cell r="AC216">
            <v>351120.83370566339</v>
          </cell>
          <cell r="AD216">
            <v>353655.16843746061</v>
          </cell>
          <cell r="AE216">
            <v>360684.15806895884</v>
          </cell>
        </row>
        <row r="217">
          <cell r="G217">
            <v>73536.576809621445</v>
          </cell>
          <cell r="H217">
            <v>90173.965820167112</v>
          </cell>
          <cell r="I217">
            <v>92044.840537701777</v>
          </cell>
          <cell r="J217">
            <v>95746.478689050549</v>
          </cell>
          <cell r="K217">
            <v>98330.06758469365</v>
          </cell>
          <cell r="L217">
            <v>103955.93302619121</v>
          </cell>
          <cell r="M217">
            <v>104313.04556775086</v>
          </cell>
          <cell r="N217">
            <v>110327.95107407245</v>
          </cell>
          <cell r="O217">
            <v>109385.15905848605</v>
          </cell>
          <cell r="P217">
            <v>115139.84278160419</v>
          </cell>
          <cell r="Q217">
            <v>120748.73358881973</v>
          </cell>
          <cell r="R217">
            <v>119613.84320651177</v>
          </cell>
          <cell r="S217">
            <v>122764.58514490072</v>
          </cell>
          <cell r="T217">
            <v>128138.76347603065</v>
          </cell>
          <cell r="U217">
            <v>135170.38179605946</v>
          </cell>
          <cell r="V217">
            <v>143246.28596714657</v>
          </cell>
          <cell r="W217">
            <v>151244.40006437257</v>
          </cell>
          <cell r="X217">
            <v>157204.08902883093</v>
          </cell>
          <cell r="Y217">
            <v>159283.35213974226</v>
          </cell>
          <cell r="Z217">
            <v>162515.65727255808</v>
          </cell>
          <cell r="AA217">
            <v>167612.08530117007</v>
          </cell>
          <cell r="AB217">
            <v>168423.08861424751</v>
          </cell>
          <cell r="AC217">
            <v>169187.35438208625</v>
          </cell>
          <cell r="AD217">
            <v>173048.3572794295</v>
          </cell>
          <cell r="AE217">
            <v>179117.10252840212</v>
          </cell>
        </row>
        <row r="218">
          <cell r="G218">
            <v>104499.34599261994</v>
          </cell>
          <cell r="H218">
            <v>105807.50910078075</v>
          </cell>
          <cell r="I218">
            <v>108002.7390865257</v>
          </cell>
          <cell r="J218">
            <v>112346.13364419344</v>
          </cell>
          <cell r="K218">
            <v>115377.64171974598</v>
          </cell>
          <cell r="L218">
            <v>121978.86862029215</v>
          </cell>
          <cell r="M218">
            <v>122397.89409119615</v>
          </cell>
          <cell r="N218">
            <v>129455.60928994505</v>
          </cell>
          <cell r="O218">
            <v>128349.36455664544</v>
          </cell>
          <cell r="P218">
            <v>135101.74308261863</v>
          </cell>
          <cell r="Q218">
            <v>141683.05244094582</v>
          </cell>
          <cell r="R218">
            <v>140351.40507064035</v>
          </cell>
          <cell r="S218">
            <v>144048.39403289961</v>
          </cell>
          <cell r="T218">
            <v>150354.29859757473</v>
          </cell>
          <cell r="U218">
            <v>158604.99504441186</v>
          </cell>
          <cell r="V218">
            <v>168081.02613950011</v>
          </cell>
          <cell r="W218">
            <v>177465.78062417047</v>
          </cell>
          <cell r="X218">
            <v>184458.70633847601</v>
          </cell>
          <cell r="Y218">
            <v>186898.45320476568</v>
          </cell>
          <cell r="Z218">
            <v>186028.83658052023</v>
          </cell>
          <cell r="AA218">
            <v>187392.62346713556</v>
          </cell>
          <cell r="AB218">
            <v>183688.58010542323</v>
          </cell>
          <cell r="AC218">
            <v>179917.79537687683</v>
          </cell>
          <cell r="AD218">
            <v>179846.95356055681</v>
          </cell>
          <cell r="AE218">
            <v>182057.43147324634</v>
          </cell>
        </row>
        <row r="219">
          <cell r="G219">
            <v>13423.836588687245</v>
          </cell>
          <cell r="H219">
            <v>21791.875763514865</v>
          </cell>
          <cell r="I219">
            <v>22224.659925521173</v>
          </cell>
          <cell r="J219">
            <v>22732.952835002077</v>
          </cell>
          <cell r="K219">
            <v>23080.895311996119</v>
          </cell>
          <cell r="L219">
            <v>24394.967985397427</v>
          </cell>
          <cell r="M219">
            <v>24342.77819338522</v>
          </cell>
          <cell r="N219">
            <v>25847.114822320538</v>
          </cell>
          <cell r="O219">
            <v>25597.201842348808</v>
          </cell>
          <cell r="P219">
            <v>26685.15216798272</v>
          </cell>
          <cell r="Q219">
            <v>27183.979842094126</v>
          </cell>
          <cell r="R219">
            <v>26370.318525564584</v>
          </cell>
          <cell r="S219">
            <v>26408.046610476242</v>
          </cell>
          <cell r="T219">
            <v>27113.984701041256</v>
          </cell>
          <cell r="U219">
            <v>28084.473978898819</v>
          </cell>
          <cell r="V219">
            <v>29362.800335296797</v>
          </cell>
          <cell r="W219">
            <v>30805.387561284086</v>
          </cell>
          <cell r="X219">
            <v>32039.384416567875</v>
          </cell>
          <cell r="Y219">
            <v>32288.612309161115</v>
          </cell>
          <cell r="Z219">
            <v>32756.354184115167</v>
          </cell>
          <cell r="AA219">
            <v>33718.918515821199</v>
          </cell>
          <cell r="AB219">
            <v>33600.302576498187</v>
          </cell>
          <cell r="AC219">
            <v>33338.384168395656</v>
          </cell>
          <cell r="AD219">
            <v>33752.759044080267</v>
          </cell>
          <cell r="AE219">
            <v>34616.681984882525</v>
          </cell>
        </row>
        <row r="220">
          <cell r="G220">
            <v>42956.277083799177</v>
          </cell>
          <cell r="H220">
            <v>40249.231290308788</v>
          </cell>
          <cell r="I220">
            <v>41048.576423532184</v>
          </cell>
          <cell r="J220">
            <v>41987.384954699257</v>
          </cell>
          <cell r="K220">
            <v>42630.028909915964</v>
          </cell>
          <cell r="L220">
            <v>45057.099233644389</v>
          </cell>
          <cell r="M220">
            <v>44960.705557740206</v>
          </cell>
          <cell r="N220">
            <v>47739.190235863898</v>
          </cell>
          <cell r="O220">
            <v>47277.605127611147</v>
          </cell>
          <cell r="P220">
            <v>49287.03124420641</v>
          </cell>
          <cell r="Q220">
            <v>50208.35764342035</v>
          </cell>
          <cell r="R220">
            <v>48705.538754566136</v>
          </cell>
          <cell r="S220">
            <v>48775.221898515229</v>
          </cell>
          <cell r="T220">
            <v>50079.077784632274</v>
          </cell>
          <cell r="U220">
            <v>51871.555303921945</v>
          </cell>
          <cell r="V220">
            <v>54232.602775994215</v>
          </cell>
          <cell r="W220">
            <v>56897.037336162713</v>
          </cell>
          <cell r="X220">
            <v>59176.208958597657</v>
          </cell>
          <cell r="Y220">
            <v>59636.528721881943</v>
          </cell>
          <cell r="Z220">
            <v>59267.380594230824</v>
          </cell>
          <cell r="AA220">
            <v>59661.108667141169</v>
          </cell>
          <cell r="AB220">
            <v>58346.611071043306</v>
          </cell>
          <cell r="AC220">
            <v>56953.433458145395</v>
          </cell>
          <cell r="AD220">
            <v>56761.820168837978</v>
          </cell>
          <cell r="AE220">
            <v>57298.25438694148</v>
          </cell>
        </row>
        <row r="221">
          <cell r="G221">
            <v>10739.069270949794</v>
          </cell>
          <cell r="H221">
            <v>10062.307822577197</v>
          </cell>
          <cell r="I221">
            <v>10262.144105883046</v>
          </cell>
          <cell r="J221">
            <v>10496.846238674814</v>
          </cell>
          <cell r="K221">
            <v>10657.507227478991</v>
          </cell>
          <cell r="L221">
            <v>11264.274808411097</v>
          </cell>
          <cell r="M221">
            <v>11240.176389435052</v>
          </cell>
          <cell r="N221">
            <v>11934.797558965975</v>
          </cell>
          <cell r="O221">
            <v>11819.401281902787</v>
          </cell>
          <cell r="P221">
            <v>12321.757811051602</v>
          </cell>
          <cell r="Q221">
            <v>12552.089410855087</v>
          </cell>
          <cell r="R221">
            <v>12176.384688641534</v>
          </cell>
          <cell r="S221">
            <v>12193.805474628807</v>
          </cell>
          <cell r="T221">
            <v>12519.769446158069</v>
          </cell>
          <cell r="U221">
            <v>12967.888825980486</v>
          </cell>
          <cell r="V221">
            <v>13558.150693998554</v>
          </cell>
          <cell r="W221">
            <v>14224.259334040678</v>
          </cell>
          <cell r="X221">
            <v>14794.052239649414</v>
          </cell>
          <cell r="Y221">
            <v>14909.132180470486</v>
          </cell>
          <cell r="Z221">
            <v>16089.783930114661</v>
          </cell>
          <cell r="AA221">
            <v>17617.092653342384</v>
          </cell>
          <cell r="AB221">
            <v>18419.311769849035</v>
          </cell>
          <cell r="AC221">
            <v>19009.848165719726</v>
          </cell>
          <cell r="AD221">
            <v>19949.851202602753</v>
          </cell>
          <cell r="AE221">
            <v>21177.433659989274</v>
          </cell>
        </row>
        <row r="222">
          <cell r="G222">
            <v>22373.060981145409</v>
          </cell>
          <cell r="H222">
            <v>19427.476132820269</v>
          </cell>
          <cell r="I222">
            <v>19813.303588395116</v>
          </cell>
          <cell r="J222">
            <v>20266.447157796101</v>
          </cell>
          <cell r="K222">
            <v>20576.638177640001</v>
          </cell>
          <cell r="L222">
            <v>21748.135105042526</v>
          </cell>
          <cell r="M222">
            <v>21701.60786022446</v>
          </cell>
          <cell r="N222">
            <v>23042.725268910268</v>
          </cell>
          <cell r="O222">
            <v>22819.927630635757</v>
          </cell>
          <cell r="P222">
            <v>23789.836288996135</v>
          </cell>
          <cell r="Q222">
            <v>24234.541592860558</v>
          </cell>
          <cell r="R222">
            <v>23509.161823876082</v>
          </cell>
          <cell r="S222">
            <v>23542.796444278309</v>
          </cell>
          <cell r="T222">
            <v>24172.140863938701</v>
          </cell>
          <cell r="U222">
            <v>25037.332896388816</v>
          </cell>
          <cell r="V222">
            <v>26176.96195119722</v>
          </cell>
          <cell r="W222">
            <v>27463.02971362921</v>
          </cell>
          <cell r="X222">
            <v>28563.138979768595</v>
          </cell>
          <cell r="Y222">
            <v>28785.325862051341</v>
          </cell>
          <cell r="Z222">
            <v>28924.071606197242</v>
          </cell>
          <cell r="AA222">
            <v>29469.866159102188</v>
          </cell>
          <cell r="AB222">
            <v>29116.933433380244</v>
          </cell>
          <cell r="AC222">
            <v>28678.217716061263</v>
          </cell>
          <cell r="AD222">
            <v>28831.690819149815</v>
          </cell>
          <cell r="AE222">
            <v>29362.860829323748</v>
          </cell>
        </row>
        <row r="223">
          <cell r="G223">
            <v>4115.706901028545</v>
          </cell>
          <cell r="H223">
            <v>4205.010520242442</v>
          </cell>
          <cell r="I223">
            <v>4292.0902136220993</v>
          </cell>
          <cell r="J223">
            <v>4385.1340717390349</v>
          </cell>
          <cell r="K223">
            <v>4578.7455890095252</v>
          </cell>
          <cell r="L223">
            <v>4925.2542379471824</v>
          </cell>
          <cell r="M223">
            <v>5059.9086971479355</v>
          </cell>
          <cell r="N223">
            <v>5491.2305796720329</v>
          </cell>
          <cell r="O223">
            <v>5593.5954805401325</v>
          </cell>
          <cell r="P223">
            <v>5926.3175733184044</v>
          </cell>
          <cell r="Q223">
            <v>6182.9348882424329</v>
          </cell>
          <cell r="R223">
            <v>6169.7723192810736</v>
          </cell>
          <cell r="S223">
            <v>6245.6036993975076</v>
          </cell>
          <cell r="T223">
            <v>6577.8422959626059</v>
          </cell>
          <cell r="U223">
            <v>6928.8339007962168</v>
          </cell>
          <cell r="V223">
            <v>7490.3140941843267</v>
          </cell>
          <cell r="W223">
            <v>8257.6043067687824</v>
          </cell>
          <cell r="X223">
            <v>8802.0048065065639</v>
          </cell>
          <cell r="Y223">
            <v>9009.5800347258555</v>
          </cell>
          <cell r="Z223">
            <v>9145.9892087019052</v>
          </cell>
          <cell r="AA223">
            <v>9211.6710302419669</v>
          </cell>
          <cell r="AB223">
            <v>9178.9855009367984</v>
          </cell>
          <cell r="AC223">
            <v>9148.5358510380192</v>
          </cell>
          <cell r="AD223">
            <v>9307.2672479613648</v>
          </cell>
          <cell r="AE223">
            <v>9585.7986641014031</v>
          </cell>
        </row>
        <row r="224">
          <cell r="G224">
            <v>7052.2389172900575</v>
          </cell>
          <cell r="H224">
            <v>7205.2601294462738</v>
          </cell>
          <cell r="I224">
            <v>7354.4706581173587</v>
          </cell>
          <cell r="J224">
            <v>7513.9007470440247</v>
          </cell>
          <cell r="K224">
            <v>7845.6529125321231</v>
          </cell>
          <cell r="L224">
            <v>8439.3933896795734</v>
          </cell>
          <cell r="M224">
            <v>8670.1229922479361</v>
          </cell>
          <cell r="N224">
            <v>9409.1904328995261</v>
          </cell>
          <cell r="O224">
            <v>9584.5920722840365</v>
          </cell>
          <cell r="P224">
            <v>10154.709368719003</v>
          </cell>
          <cell r="Q224">
            <v>10594.421587950512</v>
          </cell>
          <cell r="R224">
            <v>10571.867605533151</v>
          </cell>
          <cell r="S224">
            <v>10701.80421736411</v>
          </cell>
          <cell r="T224">
            <v>11271.093045957972</v>
          </cell>
          <cell r="U224">
            <v>11872.515040957445</v>
          </cell>
          <cell r="V224">
            <v>12834.607961157768</v>
          </cell>
          <cell r="W224">
            <v>14047.589314524124</v>
          </cell>
          <cell r="X224">
            <v>15152.652396838437</v>
          </cell>
          <cell r="Y224">
            <v>15479.510456527292</v>
          </cell>
          <cell r="Z224">
            <v>15798.174448709171</v>
          </cell>
          <cell r="AA224">
            <v>16024.318633545427</v>
          </cell>
          <cell r="AB224">
            <v>15915.266706434264</v>
          </cell>
          <cell r="AC224">
            <v>15890.102655033168</v>
          </cell>
          <cell r="AD224">
            <v>16206.894670169306</v>
          </cell>
          <cell r="AE224">
            <v>16751.236087215875</v>
          </cell>
        </row>
        <row r="225">
          <cell r="G225">
            <v>50887.549088008323</v>
          </cell>
          <cell r="H225">
            <v>52096.128378848516</v>
          </cell>
          <cell r="I225">
            <v>53891.473390088919</v>
          </cell>
          <cell r="J225">
            <v>55301.704088136066</v>
          </cell>
          <cell r="K225">
            <v>56320.720929326286</v>
          </cell>
          <cell r="L225">
            <v>59598.948196798665</v>
          </cell>
          <cell r="M225">
            <v>59875.038133999398</v>
          </cell>
          <cell r="N225">
            <v>63090.538108352572</v>
          </cell>
          <cell r="O225">
            <v>62290.990920621967</v>
          </cell>
          <cell r="P225">
            <v>65911.63038498332</v>
          </cell>
          <cell r="Q225">
            <v>68983.639135362406</v>
          </cell>
          <cell r="R225">
            <v>69732.96582170199</v>
          </cell>
          <cell r="S225">
            <v>71331.440918664593</v>
          </cell>
          <cell r="T225">
            <v>74031.11753504441</v>
          </cell>
          <cell r="U225">
            <v>76942.356081206293</v>
          </cell>
          <cell r="V225">
            <v>81143.432123224557</v>
          </cell>
          <cell r="W225">
            <v>85690.254182846576</v>
          </cell>
          <cell r="X225">
            <v>88772.478710730531</v>
          </cell>
          <cell r="Y225">
            <v>89611.133454044131</v>
          </cell>
          <cell r="Z225">
            <v>90910.782716700836</v>
          </cell>
          <cell r="AA225">
            <v>92712.944275381815</v>
          </cell>
          <cell r="AB225">
            <v>92106.864078517261</v>
          </cell>
          <cell r="AC225">
            <v>91226.675126907721</v>
          </cell>
          <cell r="AD225">
            <v>92126.824590314762</v>
          </cell>
          <cell r="AE225">
            <v>94226.839366206506</v>
          </cell>
        </row>
        <row r="226">
          <cell r="G226">
            <v>19812.879259651741</v>
          </cell>
          <cell r="H226">
            <v>18032.884427272984</v>
          </cell>
          <cell r="I226">
            <v>18390.850686182566</v>
          </cell>
          <cell r="J226">
            <v>18811.272058336421</v>
          </cell>
          <cell r="K226">
            <v>19099.063705396456</v>
          </cell>
          <cell r="L226">
            <v>20186.310587606091</v>
          </cell>
          <cell r="M226">
            <v>20143.040724556799</v>
          </cell>
          <cell r="N226">
            <v>21387.69116528075</v>
          </cell>
          <cell r="O226">
            <v>21180.748251774428</v>
          </cell>
          <cell r="P226">
            <v>22080.758751653964</v>
          </cell>
          <cell r="Q226">
            <v>22493.41427857352</v>
          </cell>
          <cell r="R226">
            <v>21820.012288958882</v>
          </cell>
          <cell r="S226">
            <v>21851.072681430713</v>
          </cell>
          <cell r="T226">
            <v>22435.037007354465</v>
          </cell>
          <cell r="U226">
            <v>23237.856100070774</v>
          </cell>
          <cell r="V226">
            <v>24295.423566588957</v>
          </cell>
          <cell r="W226">
            <v>25676.409631101869</v>
          </cell>
          <cell r="X226">
            <v>26947.489232296917</v>
          </cell>
          <cell r="Y226">
            <v>27352.311253779546</v>
          </cell>
          <cell r="Z226">
            <v>27335.965576247774</v>
          </cell>
          <cell r="AA226">
            <v>27602.57300118457</v>
          </cell>
          <cell r="AB226">
            <v>27114.80587866436</v>
          </cell>
          <cell r="AC226">
            <v>26610.841990217854</v>
          </cell>
          <cell r="AD226">
            <v>26693.236756604154</v>
          </cell>
          <cell r="AE226">
            <v>27154.544217813003</v>
          </cell>
        </row>
        <row r="227">
          <cell r="G227">
            <v>7419.0906995658279</v>
          </cell>
          <cell r="H227">
            <v>10929.866269561855</v>
          </cell>
          <cell r="I227">
            <v>11146.832299299163</v>
          </cell>
          <cell r="J227">
            <v>11401.652840795985</v>
          </cell>
          <cell r="K227">
            <v>11576.085512870666</v>
          </cell>
          <cell r="L227">
            <v>12235.073988756241</v>
          </cell>
          <cell r="M227">
            <v>12208.847800786238</v>
          </cell>
          <cell r="N227">
            <v>12963.239752020037</v>
          </cell>
          <cell r="O227">
            <v>12837.810102693569</v>
          </cell>
          <cell r="P227">
            <v>13383.313205347922</v>
          </cell>
          <cell r="Q227">
            <v>13633.426809902779</v>
          </cell>
          <cell r="R227">
            <v>13225.27282201311</v>
          </cell>
          <cell r="S227">
            <v>13244.098758449756</v>
          </cell>
          <cell r="T227">
            <v>13598.043908726899</v>
          </cell>
          <cell r="U227">
            <v>14084.638571795298</v>
          </cell>
          <cell r="V227">
            <v>14725.638131610645</v>
          </cell>
          <cell r="W227">
            <v>15562.664125213003</v>
          </cell>
          <cell r="X227">
            <v>16333.074988492226</v>
          </cell>
          <cell r="Y227">
            <v>16578.44064674971</v>
          </cell>
          <cell r="Z227">
            <v>16857.311575218704</v>
          </cell>
          <cell r="AA227">
            <v>17266.656645919924</v>
          </cell>
          <cell r="AB227">
            <v>17209.046241024487</v>
          </cell>
          <cell r="AC227">
            <v>17136.3703707032</v>
          </cell>
          <cell r="AD227">
            <v>17456.408368183093</v>
          </cell>
          <cell r="AE227">
            <v>18058.866872371669</v>
          </cell>
        </row>
        <row r="228">
          <cell r="G228">
            <v>83364.422267462985</v>
          </cell>
          <cell r="H228">
            <v>83832.227579195271</v>
          </cell>
          <cell r="I228">
            <v>84473.651357137482</v>
          </cell>
          <cell r="J228">
            <v>85669.000717749455</v>
          </cell>
          <cell r="K228">
            <v>86953.915160136385</v>
          </cell>
          <cell r="L228">
            <v>91285.461447874812</v>
          </cell>
          <cell r="M228">
            <v>90938.245242666802</v>
          </cell>
          <cell r="N228">
            <v>95719.927133708654</v>
          </cell>
          <cell r="O228">
            <v>93952.396537730761</v>
          </cell>
          <cell r="P228">
            <v>96705.968870619268</v>
          </cell>
          <cell r="Q228">
            <v>98084.385907262404</v>
          </cell>
          <cell r="R228">
            <v>94854.133820205563</v>
          </cell>
          <cell r="S228">
            <v>94531.289301758676</v>
          </cell>
          <cell r="T228">
            <v>96314.095346684699</v>
          </cell>
          <cell r="U228">
            <v>98468.71184276056</v>
          </cell>
          <cell r="V228">
            <v>101998.44637128555</v>
          </cell>
          <cell r="W228">
            <v>108335.20040286546</v>
          </cell>
          <cell r="X228">
            <v>114395.71234984108</v>
          </cell>
          <cell r="Y228">
            <v>116727.38959742447</v>
          </cell>
          <cell r="Z228">
            <v>141998.01843454241</v>
          </cell>
          <cell r="AA228">
            <v>171946.05794425026</v>
          </cell>
          <cell r="AB228">
            <v>192464.78312542022</v>
          </cell>
          <cell r="AC228">
            <v>208908.64373695463</v>
          </cell>
          <cell r="AD228">
            <v>228706.45614921703</v>
          </cell>
          <cell r="AE228">
            <v>252084.95499626573</v>
          </cell>
        </row>
        <row r="229">
          <cell r="G229">
            <v>12778.134917081974</v>
          </cell>
          <cell r="H229">
            <v>12894.186073617273</v>
          </cell>
          <cell r="I229">
            <v>13178.009408971293</v>
          </cell>
          <cell r="J229">
            <v>13341.082749817862</v>
          </cell>
          <cell r="K229">
            <v>13581.568601140933</v>
          </cell>
          <cell r="L229">
            <v>14287.410756019724</v>
          </cell>
          <cell r="M229">
            <v>14217.523844548945</v>
          </cell>
          <cell r="N229">
            <v>14955.493690163396</v>
          </cell>
          <cell r="O229">
            <v>14749.068526871995</v>
          </cell>
          <cell r="P229">
            <v>15217.615920965041</v>
          </cell>
          <cell r="Q229">
            <v>15615.500853886677</v>
          </cell>
          <cell r="R229">
            <v>15768.602167633129</v>
          </cell>
          <cell r="S229">
            <v>16113.909210513591</v>
          </cell>
          <cell r="T229">
            <v>16679.827859739111</v>
          </cell>
          <cell r="U229">
            <v>17277.728711114269</v>
          </cell>
          <cell r="V229">
            <v>17914.590049087761</v>
          </cell>
          <cell r="W229">
            <v>18631.873619577422</v>
          </cell>
          <cell r="X229">
            <v>19246.310352174143</v>
          </cell>
          <cell r="Y229">
            <v>19226.799168199374</v>
          </cell>
          <cell r="Z229">
            <v>19109.077435323827</v>
          </cell>
          <cell r="AA229">
            <v>19277.963444280296</v>
          </cell>
          <cell r="AB229">
            <v>18940.524142835653</v>
          </cell>
          <cell r="AC229">
            <v>18579.144573461443</v>
          </cell>
          <cell r="AD229">
            <v>18559.369474301344</v>
          </cell>
          <cell r="AE229">
            <v>18786.218095097855</v>
          </cell>
        </row>
        <row r="230">
          <cell r="G230">
            <v>19927.728810231933</v>
          </cell>
          <cell r="H230">
            <v>20387.498878375507</v>
          </cell>
          <cell r="I230">
            <v>21039.067675030969</v>
          </cell>
          <cell r="J230">
            <v>21751.96518935723</v>
          </cell>
          <cell r="K230">
            <v>22543.066584433152</v>
          </cell>
          <cell r="L230">
            <v>23942.959888780144</v>
          </cell>
          <cell r="M230">
            <v>24443.241717863308</v>
          </cell>
          <cell r="N230">
            <v>25857.012921133639</v>
          </cell>
          <cell r="O230">
            <v>26019.551101581019</v>
          </cell>
          <cell r="P230">
            <v>27043.216886545717</v>
          </cell>
          <cell r="Q230">
            <v>27714.128414291805</v>
          </cell>
          <cell r="R230">
            <v>27458.778506721221</v>
          </cell>
          <cell r="S230">
            <v>28235.725930746761</v>
          </cell>
          <cell r="T230">
            <v>30700.328022192367</v>
          </cell>
          <cell r="U230">
            <v>33048.146988518049</v>
          </cell>
          <cell r="V230">
            <v>35494.528422093819</v>
          </cell>
          <cell r="W230">
            <v>37620.955907392017</v>
          </cell>
          <cell r="X230">
            <v>39513.733368011992</v>
          </cell>
          <cell r="Y230">
            <v>40010.808440145935</v>
          </cell>
          <cell r="Z230">
            <v>48908.818659119788</v>
          </cell>
          <cell r="AA230">
            <v>52282.519633483942</v>
          </cell>
          <cell r="AB230">
            <v>55374.912449867224</v>
          </cell>
          <cell r="AC230">
            <v>58076.99156480789</v>
          </cell>
          <cell r="AD230">
            <v>62210.734014487818</v>
          </cell>
          <cell r="AE230">
            <v>67374.994373915324</v>
          </cell>
        </row>
        <row r="231">
          <cell r="G231">
            <v>45108.374295171176</v>
          </cell>
          <cell r="H231">
            <v>46149.56065856183</v>
          </cell>
          <cell r="I231">
            <v>47625.090696060222</v>
          </cell>
          <cell r="J231">
            <v>49239.504556032982</v>
          </cell>
          <cell r="K231">
            <v>51031.017404918923</v>
          </cell>
          <cell r="L231">
            <v>54200.373325811925</v>
          </cell>
          <cell r="M231">
            <v>55333.543476117171</v>
          </cell>
          <cell r="N231">
            <v>58534.252384181593</v>
          </cell>
          <cell r="O231">
            <v>58902.884869384878</v>
          </cell>
          <cell r="P231">
            <v>61220.727174027903</v>
          </cell>
          <cell r="Q231">
            <v>62739.911562789377</v>
          </cell>
          <cell r="R231">
            <v>62162.601935177241</v>
          </cell>
          <cell r="S231">
            <v>63922.405058420525</v>
          </cell>
          <cell r="T231">
            <v>69503.539738679581</v>
          </cell>
          <cell r="U231">
            <v>74820.119795511695</v>
          </cell>
          <cell r="V231">
            <v>80359.598457471366</v>
          </cell>
          <cell r="W231">
            <v>86541.70128799032</v>
          </cell>
          <cell r="X231">
            <v>92483.477913026232</v>
          </cell>
          <cell r="Y231">
            <v>94848.756057148668</v>
          </cell>
          <cell r="Z231">
            <v>104876.15733776866</v>
          </cell>
          <cell r="AA231">
            <v>108880.94517899094</v>
          </cell>
          <cell r="AB231">
            <v>111269.29774283603</v>
          </cell>
          <cell r="AC231">
            <v>113174.32196937493</v>
          </cell>
          <cell r="AD231">
            <v>117725.13831993856</v>
          </cell>
          <cell r="AE231">
            <v>124056.03016699647</v>
          </cell>
        </row>
        <row r="232">
          <cell r="G232">
            <v>14732.614363471273</v>
          </cell>
          <cell r="H232">
            <v>15190.025849992297</v>
          </cell>
          <cell r="I232">
            <v>15978.652657210951</v>
          </cell>
          <cell r="J232">
            <v>16358.081684185232</v>
          </cell>
          <cell r="K232">
            <v>16802.815184019466</v>
          </cell>
          <cell r="L232">
            <v>17995.075095351578</v>
          </cell>
          <cell r="M232">
            <v>18068.872042573646</v>
          </cell>
          <cell r="N232">
            <v>19587.401185481136</v>
          </cell>
          <cell r="O232">
            <v>19396.744558816688</v>
          </cell>
          <cell r="P232">
            <v>20469.625724466405</v>
          </cell>
          <cell r="Q232">
            <v>22021.466826109994</v>
          </cell>
          <cell r="R232">
            <v>22443.493824552352</v>
          </cell>
          <cell r="S232">
            <v>23154.520006260926</v>
          </cell>
          <cell r="T232">
            <v>24297.299686122278</v>
          </cell>
          <cell r="U232">
            <v>25604.628317990238</v>
          </cell>
          <cell r="V232">
            <v>27252.115344501475</v>
          </cell>
          <cell r="W232">
            <v>29326.592850202847</v>
          </cell>
          <cell r="X232">
            <v>31071.045803116915</v>
          </cell>
          <cell r="Y232">
            <v>31809.338088577882</v>
          </cell>
          <cell r="Z232">
            <v>32253.678455315665</v>
          </cell>
          <cell r="AA232">
            <v>33031.407872308417</v>
          </cell>
          <cell r="AB232">
            <v>33044.701825989607</v>
          </cell>
          <cell r="AC232">
            <v>33079.38765057132</v>
          </cell>
          <cell r="AD232">
            <v>33840.932034592515</v>
          </cell>
          <cell r="AE232">
            <v>35028.551814055783</v>
          </cell>
        </row>
        <row r="233">
          <cell r="G233">
            <v>30607.73667734694</v>
          </cell>
          <cell r="H233">
            <v>31558.031715771514</v>
          </cell>
          <cell r="I233">
            <v>33196.443002222775</v>
          </cell>
          <cell r="J233">
            <v>33984.725615128584</v>
          </cell>
          <cell r="K233">
            <v>34908.681507727801</v>
          </cell>
          <cell r="L233">
            <v>37385.660577205868</v>
          </cell>
          <cell r="M233">
            <v>37538.977393382476</v>
          </cell>
          <cell r="N233">
            <v>40693.796965544178</v>
          </cell>
          <cell r="O233">
            <v>40297.698372262203</v>
          </cell>
          <cell r="P233">
            <v>42526.662179644067</v>
          </cell>
          <cell r="Q233">
            <v>45750.688997447731</v>
          </cell>
          <cell r="R233">
            <v>46627.471007780034</v>
          </cell>
          <cell r="S233">
            <v>48104.663147852298</v>
          </cell>
          <cell r="T233">
            <v>50478.844583575272</v>
          </cell>
          <cell r="U233">
            <v>53194.884624247505</v>
          </cell>
          <cell r="V233">
            <v>56617.620592401901</v>
          </cell>
          <cell r="W233">
            <v>59923.157134890702</v>
          </cell>
          <cell r="X233">
            <v>63973.486449511773</v>
          </cell>
          <cell r="Y233">
            <v>66181.538107032015</v>
          </cell>
          <cell r="Z233">
            <v>66453.563269918333</v>
          </cell>
          <cell r="AA233">
            <v>66959.267579956038</v>
          </cell>
          <cell r="AB233">
            <v>66094.364426773463</v>
          </cell>
          <cell r="AC233">
            <v>65334.982685483985</v>
          </cell>
          <cell r="AD233">
            <v>65811.632936669848</v>
          </cell>
          <cell r="AE233">
            <v>67051.855449590992</v>
          </cell>
        </row>
        <row r="236">
          <cell r="G236">
            <v>365235.87759901345</v>
          </cell>
          <cell r="H236">
            <v>354859.62782446295</v>
          </cell>
          <cell r="I236">
            <v>359099.12116031331</v>
          </cell>
          <cell r="J236">
            <v>363684.89253116085</v>
          </cell>
          <cell r="K236">
            <v>371183.65691280959</v>
          </cell>
          <cell r="L236">
            <v>393810.14448577375</v>
          </cell>
          <cell r="M236">
            <v>392919.76472724194</v>
          </cell>
          <cell r="N236">
            <v>416337.28299488511</v>
          </cell>
          <cell r="O236">
            <v>415847.40765335562</v>
          </cell>
          <cell r="P236">
            <v>440930.75205977412</v>
          </cell>
          <cell r="Q236">
            <v>462610.57949277834</v>
          </cell>
          <cell r="R236">
            <v>464545.80548638868</v>
          </cell>
          <cell r="S236">
            <v>474100.778496566</v>
          </cell>
          <cell r="T236">
            <v>490120.37038982578</v>
          </cell>
          <cell r="U236">
            <v>507824.3128671766</v>
          </cell>
          <cell r="V236">
            <v>523265.66056981642</v>
          </cell>
          <cell r="W236">
            <v>547621.81359517598</v>
          </cell>
          <cell r="X236">
            <v>577195.13074333861</v>
          </cell>
          <cell r="Y236">
            <v>597901.31757310289</v>
          </cell>
          <cell r="Z236">
            <v>606724.96847552957</v>
          </cell>
          <cell r="AA236">
            <v>621130.50828699535</v>
          </cell>
          <cell r="AB236">
            <v>615303.10013566166</v>
          </cell>
          <cell r="AC236">
            <v>604685.27239587845</v>
          </cell>
          <cell r="AD236">
            <v>611946.42316720472</v>
          </cell>
          <cell r="AE236">
            <v>621775.7724142184</v>
          </cell>
        </row>
        <row r="237">
          <cell r="G237">
            <v>128508.91989594916</v>
          </cell>
          <cell r="H237">
            <v>159878.80401357694</v>
          </cell>
          <cell r="I237">
            <v>161788.86949021256</v>
          </cell>
          <cell r="J237">
            <v>163854.9474116308</v>
          </cell>
          <cell r="K237">
            <v>167233.44805501943</v>
          </cell>
          <cell r="L237">
            <v>177427.60791020317</v>
          </cell>
          <cell r="M237">
            <v>177026.45534239855</v>
          </cell>
          <cell r="N237">
            <v>187577.00694092782</v>
          </cell>
          <cell r="O237">
            <v>187356.29802512456</v>
          </cell>
          <cell r="P237">
            <v>198657.37256252611</v>
          </cell>
          <cell r="Q237">
            <v>208425.02323177626</v>
          </cell>
          <cell r="R237">
            <v>209296.92184490184</v>
          </cell>
          <cell r="S237">
            <v>213601.82873615521</v>
          </cell>
          <cell r="T237">
            <v>220819.31134577713</v>
          </cell>
          <cell r="U237">
            <v>228795.66291599342</v>
          </cell>
          <cell r="V237">
            <v>235752.62282205813</v>
          </cell>
          <cell r="W237">
            <v>246726.06784295075</v>
          </cell>
          <cell r="X237">
            <v>260050.0590936582</v>
          </cell>
          <cell r="Y237">
            <v>269379.04477264325</v>
          </cell>
          <cell r="Z237">
            <v>274246.47257606586</v>
          </cell>
          <cell r="AA237">
            <v>283323.60322947107</v>
          </cell>
          <cell r="AB237">
            <v>282176.62280447973</v>
          </cell>
          <cell r="AC237">
            <v>278788.25314832455</v>
          </cell>
          <cell r="AD237">
            <v>283474.80692722125</v>
          </cell>
          <cell r="AE237">
            <v>289306.68472038873</v>
          </cell>
        </row>
        <row r="238">
          <cell r="G238">
            <v>182617.93879950672</v>
          </cell>
          <cell r="H238">
            <v>187597.13911690007</v>
          </cell>
          <cell r="I238">
            <v>189838.35439964873</v>
          </cell>
          <cell r="J238">
            <v>192262.63014803207</v>
          </cell>
          <cell r="K238">
            <v>196226.86455117722</v>
          </cell>
          <cell r="L238">
            <v>208188.39526396897</v>
          </cell>
          <cell r="M238">
            <v>207717.6945070184</v>
          </cell>
          <cell r="N238">
            <v>220097.40492705166</v>
          </cell>
          <cell r="O238">
            <v>219838.43150379052</v>
          </cell>
          <cell r="P238">
            <v>233098.78371397682</v>
          </cell>
          <cell r="Q238">
            <v>244559.86095151352</v>
          </cell>
          <cell r="R238">
            <v>245582.9214280509</v>
          </cell>
          <cell r="S238">
            <v>250634.17398117352</v>
          </cell>
          <cell r="T238">
            <v>259102.95818021009</v>
          </cell>
          <cell r="U238">
            <v>268462.17714857374</v>
          </cell>
          <cell r="V238">
            <v>276625.27158364275</v>
          </cell>
          <cell r="W238">
            <v>289501.19284710946</v>
          </cell>
          <cell r="X238">
            <v>305135.17669927207</v>
          </cell>
          <cell r="Y238">
            <v>316081.53719425993</v>
          </cell>
          <cell r="Z238">
            <v>318864.90587520832</v>
          </cell>
          <cell r="AA238">
            <v>321024.71413024032</v>
          </cell>
          <cell r="AB238">
            <v>314825.8482508192</v>
          </cell>
          <cell r="AC238">
            <v>306269.79725356057</v>
          </cell>
          <cell r="AD238">
            <v>307123.92753089877</v>
          </cell>
          <cell r="AE238">
            <v>309360.53101240424</v>
          </cell>
        </row>
        <row r="239">
          <cell r="G239">
            <v>22826.038376498713</v>
          </cell>
          <cell r="H239">
            <v>37085.098831852469</v>
          </cell>
          <cell r="I239">
            <v>37893.103890682374</v>
          </cell>
          <cell r="J239">
            <v>38462.381555532207</v>
          </cell>
          <cell r="K239">
            <v>38969.129623895285</v>
          </cell>
          <cell r="L239">
            <v>41122.671401230393</v>
          </cell>
          <cell r="M239">
            <v>41185.78757641455</v>
          </cell>
          <cell r="N239">
            <v>44212.728429698531</v>
          </cell>
          <cell r="O239">
            <v>44951.843483761288</v>
          </cell>
          <cell r="P239">
            <v>48023.926933948365</v>
          </cell>
          <cell r="Q239">
            <v>50150.466781839837</v>
          </cell>
          <cell r="R239">
            <v>50124.859380140115</v>
          </cell>
          <cell r="S239">
            <v>50689.163852827936</v>
          </cell>
          <cell r="T239">
            <v>51823.573400304151</v>
          </cell>
          <cell r="U239">
            <v>52861.045289321017</v>
          </cell>
          <cell r="V239">
            <v>54320.35492645581</v>
          </cell>
          <cell r="W239">
            <v>56926.871894878575</v>
          </cell>
          <cell r="X239">
            <v>59891.068626553875</v>
          </cell>
          <cell r="Y239">
            <v>62046.543913457623</v>
          </cell>
          <cell r="Z239">
            <v>63939.99342109407</v>
          </cell>
          <cell r="AA239">
            <v>65822.79068051881</v>
          </cell>
          <cell r="AB239">
            <v>65849.37613974858</v>
          </cell>
          <cell r="AC239">
            <v>65246.726750042319</v>
          </cell>
          <cell r="AD239">
            <v>66564.13506297869</v>
          </cell>
          <cell r="AE239">
            <v>68260.473116669134</v>
          </cell>
        </row>
        <row r="240">
          <cell r="G240">
            <v>73043.322804795869</v>
          </cell>
          <cell r="H240">
            <v>68495.559377511716</v>
          </cell>
          <cell r="I240">
            <v>69987.931252677838</v>
          </cell>
          <cell r="J240">
            <v>71039.377610467272</v>
          </cell>
          <cell r="K240">
            <v>71975.332845840443</v>
          </cell>
          <cell r="L240">
            <v>75952.888611573333</v>
          </cell>
          <cell r="M240">
            <v>76069.463135066151</v>
          </cell>
          <cell r="N240">
            <v>81660.172435542656</v>
          </cell>
          <cell r="O240">
            <v>83025.305620219151</v>
          </cell>
          <cell r="P240">
            <v>88699.392544701768</v>
          </cell>
          <cell r="Q240">
            <v>92627.076196842638</v>
          </cell>
          <cell r="R240">
            <v>92579.779752748451</v>
          </cell>
          <cell r="S240">
            <v>93622.040707511944</v>
          </cell>
          <cell r="T240">
            <v>95717.276232429431</v>
          </cell>
          <cell r="U240">
            <v>97633.469518009108</v>
          </cell>
          <cell r="V240">
            <v>100328.79009282413</v>
          </cell>
          <cell r="W240">
            <v>105142.983485933</v>
          </cell>
          <cell r="X240">
            <v>110617.80543966891</v>
          </cell>
          <cell r="Y240">
            <v>114598.93236534574</v>
          </cell>
          <cell r="Z240">
            <v>115858.64768204739</v>
          </cell>
          <cell r="AA240">
            <v>116478.30055393775</v>
          </cell>
          <cell r="AB240">
            <v>114286.39036749169</v>
          </cell>
          <cell r="AC240">
            <v>111201.59592874881</v>
          </cell>
          <cell r="AD240">
            <v>111549.77156105102</v>
          </cell>
          <cell r="AE240">
            <v>112441.44112659105</v>
          </cell>
        </row>
        <row r="241">
          <cell r="G241">
            <v>18260.830701198967</v>
          </cell>
          <cell r="H241">
            <v>17123.889844377929</v>
          </cell>
          <cell r="I241">
            <v>17496.982813169459</v>
          </cell>
          <cell r="J241">
            <v>17759.844402616818</v>
          </cell>
          <cell r="K241">
            <v>17993.833211460111</v>
          </cell>
          <cell r="L241">
            <v>18988.222152893333</v>
          </cell>
          <cell r="M241">
            <v>19017.365783766538</v>
          </cell>
          <cell r="N241">
            <v>20415.043108885664</v>
          </cell>
          <cell r="O241">
            <v>20756.326405054788</v>
          </cell>
          <cell r="P241">
            <v>22174.848136175442</v>
          </cell>
          <cell r="Q241">
            <v>23156.769049210659</v>
          </cell>
          <cell r="R241">
            <v>23144.944938187113</v>
          </cell>
          <cell r="S241">
            <v>23405.510176877986</v>
          </cell>
          <cell r="T241">
            <v>23929.319058107358</v>
          </cell>
          <cell r="U241">
            <v>24408.367379502277</v>
          </cell>
          <cell r="V241">
            <v>25082.197523206032</v>
          </cell>
          <cell r="W241">
            <v>26285.74587148325</v>
          </cell>
          <cell r="X241">
            <v>27654.451359917228</v>
          </cell>
          <cell r="Y241">
            <v>28649.733091336435</v>
          </cell>
          <cell r="Z241">
            <v>30793.004144602553</v>
          </cell>
          <cell r="AA241">
            <v>33283.211347743643</v>
          </cell>
          <cell r="AB241">
            <v>34566.484046841208</v>
          </cell>
          <cell r="AC241">
            <v>35406.47476373057</v>
          </cell>
          <cell r="AD241">
            <v>37197.32778087561</v>
          </cell>
          <cell r="AE241">
            <v>39251.843081514526</v>
          </cell>
        </row>
        <row r="242">
          <cell r="G242">
            <v>38043.397294164519</v>
          </cell>
          <cell r="H242">
            <v>33061.397754723999</v>
          </cell>
          <cell r="I242">
            <v>33781.73496506628</v>
          </cell>
          <cell r="J242">
            <v>34289.246496741514</v>
          </cell>
          <cell r="K242">
            <v>34741.012838946874</v>
          </cell>
          <cell r="L242">
            <v>36660.897200175481</v>
          </cell>
          <cell r="M242">
            <v>36717.165325062553</v>
          </cell>
          <cell r="N242">
            <v>39415.685719579902</v>
          </cell>
          <cell r="O242">
            <v>40074.60743095701</v>
          </cell>
          <cell r="P242">
            <v>42813.372489743997</v>
          </cell>
          <cell r="Q242">
            <v>44709.184607467789</v>
          </cell>
          <cell r="R242">
            <v>44686.35558665546</v>
          </cell>
          <cell r="S242">
            <v>45189.43351320739</v>
          </cell>
          <cell r="T242">
            <v>46200.760608112003</v>
          </cell>
          <cell r="U242">
            <v>47125.667696472541</v>
          </cell>
          <cell r="V242">
            <v>48426.643502937863</v>
          </cell>
          <cell r="W242">
            <v>50750.35563966936</v>
          </cell>
          <cell r="X242">
            <v>53392.939595384662</v>
          </cell>
          <cell r="Y242">
            <v>55314.547682069737</v>
          </cell>
          <cell r="Z242">
            <v>56206.338067598081</v>
          </cell>
          <cell r="AA242">
            <v>56867.860447024854</v>
          </cell>
          <cell r="AB242">
            <v>56094.0735060183</v>
          </cell>
          <cell r="AC242">
            <v>54855.157088644417</v>
          </cell>
          <cell r="AD242">
            <v>55287.638953758076</v>
          </cell>
          <cell r="AE242">
            <v>56002.286494712542</v>
          </cell>
        </row>
        <row r="243">
          <cell r="G243">
            <v>4628.0563230687512</v>
          </cell>
          <cell r="H243">
            <v>4701.4044369701423</v>
          </cell>
          <cell r="I243">
            <v>4765.7538702829233</v>
          </cell>
          <cell r="J243">
            <v>4856.2183556535629</v>
          </cell>
          <cell r="K243">
            <v>4946.6084717631393</v>
          </cell>
          <cell r="L243">
            <v>5278.2857012813538</v>
          </cell>
          <cell r="M243">
            <v>5357.0931278130192</v>
          </cell>
          <cell r="N243">
            <v>5747.3914872416699</v>
          </cell>
          <cell r="O243">
            <v>5732.4673645938337</v>
          </cell>
          <cell r="P243">
            <v>6142.1880301032079</v>
          </cell>
          <cell r="Q243">
            <v>6440.7376439136387</v>
          </cell>
          <cell r="R243">
            <v>6446.5319933809833</v>
          </cell>
          <cell r="S243">
            <v>6508.8716791976822</v>
          </cell>
          <cell r="T243">
            <v>6604.0308077340533</v>
          </cell>
          <cell r="U243">
            <v>6726.1553145885591</v>
          </cell>
          <cell r="V243">
            <v>6888.1269957209943</v>
          </cell>
          <cell r="W243">
            <v>7236.5674433278036</v>
          </cell>
          <cell r="X243">
            <v>7730.2118587169389</v>
          </cell>
          <cell r="Y243">
            <v>8038.0237502793789</v>
          </cell>
          <cell r="Z243">
            <v>8252.3093205514033</v>
          </cell>
          <cell r="AA243">
            <v>8409.382277396091</v>
          </cell>
          <cell r="AB243">
            <v>8362.9356517854412</v>
          </cell>
          <cell r="AC243">
            <v>8292.2030909308778</v>
          </cell>
          <cell r="AD243">
            <v>8458.0331189855751</v>
          </cell>
          <cell r="AE243">
            <v>8650.3301626552002</v>
          </cell>
        </row>
        <row r="244">
          <cell r="G244">
            <v>15523.354711945038</v>
          </cell>
          <cell r="H244">
            <v>15769.377817555918</v>
          </cell>
          <cell r="I244">
            <v>15985.217688356061</v>
          </cell>
          <cell r="J244">
            <v>16288.652261578984</v>
          </cell>
          <cell r="K244">
            <v>16591.837386580326</v>
          </cell>
          <cell r="L244">
            <v>17704.344003671897</v>
          </cell>
          <cell r="M244">
            <v>17968.678651002941</v>
          </cell>
          <cell r="N244">
            <v>19277.81135250035</v>
          </cell>
          <cell r="O244">
            <v>19227.753091871116</v>
          </cell>
          <cell r="P244">
            <v>20602.031791076501</v>
          </cell>
          <cell r="Q244">
            <v>21603.422273554581</v>
          </cell>
          <cell r="R244">
            <v>21622.857590635365</v>
          </cell>
          <cell r="S244">
            <v>21831.956397566515</v>
          </cell>
          <cell r="T244">
            <v>22151.137670055909</v>
          </cell>
          <cell r="U244">
            <v>22560.765796117001</v>
          </cell>
          <cell r="V244">
            <v>23104.048695889851</v>
          </cell>
          <cell r="W244">
            <v>24222.842301479006</v>
          </cell>
          <cell r="X244">
            <v>25741.472768522566</v>
          </cell>
          <cell r="Y244">
            <v>26592.666617849558</v>
          </cell>
          <cell r="Z244">
            <v>27217.575877861957</v>
          </cell>
          <cell r="AA244">
            <v>27703.370878767415</v>
          </cell>
          <cell r="AB244">
            <v>27506.937031022229</v>
          </cell>
          <cell r="AC244">
            <v>27126.465394959287</v>
          </cell>
          <cell r="AD244">
            <v>27532.444745598816</v>
          </cell>
          <cell r="AE244">
            <v>28038.123006593294</v>
          </cell>
        </row>
        <row r="245">
          <cell r="G245">
            <v>42989.038650593269</v>
          </cell>
          <cell r="H245">
            <v>46177.524094383676</v>
          </cell>
          <cell r="I245">
            <v>48049.097799709365</v>
          </cell>
          <cell r="J245">
            <v>50221.351556134323</v>
          </cell>
          <cell r="K245">
            <v>53009.132948004757</v>
          </cell>
          <cell r="L245">
            <v>57640.128982233764</v>
          </cell>
          <cell r="M245">
            <v>59025.056673692248</v>
          </cell>
          <cell r="N245">
            <v>64140.796106645364</v>
          </cell>
          <cell r="O245">
            <v>65738.378600449563</v>
          </cell>
          <cell r="P245">
            <v>72214.596280012745</v>
          </cell>
          <cell r="Q245">
            <v>79060.97595669709</v>
          </cell>
          <cell r="R245">
            <v>81293.356899375809</v>
          </cell>
          <cell r="S245">
            <v>84841.963710676544</v>
          </cell>
          <cell r="T245">
            <v>88452.881885079623</v>
          </cell>
          <cell r="U245">
            <v>92105.077335115246</v>
          </cell>
          <cell r="V245">
            <v>97065.846332970599</v>
          </cell>
          <cell r="W245">
            <v>102052.43951083547</v>
          </cell>
          <cell r="X245">
            <v>109775.5245398815</v>
          </cell>
          <cell r="Y245">
            <v>114575.40812346498</v>
          </cell>
          <cell r="Z245">
            <v>118916.91832645051</v>
          </cell>
          <cell r="AA245">
            <v>122334.77011979968</v>
          </cell>
          <cell r="AB245">
            <v>122593.4152380662</v>
          </cell>
          <cell r="AC245">
            <v>121709.85508655623</v>
          </cell>
          <cell r="AD245">
            <v>124569.45637297981</v>
          </cell>
          <cell r="AE245">
            <v>128234.69570832193</v>
          </cell>
        </row>
        <row r="246">
          <cell r="G246">
            <v>33299.04878638684</v>
          </cell>
          <cell r="H246">
            <v>30330.448544332252</v>
          </cell>
          <cell r="I246">
            <v>30989.602297357953</v>
          </cell>
          <cell r="J246">
            <v>31454.007198291205</v>
          </cell>
          <cell r="K246">
            <v>31867.401752508187</v>
          </cell>
          <cell r="L246">
            <v>33627.757716878958</v>
          </cell>
          <cell r="M246">
            <v>33678.283068356512</v>
          </cell>
          <cell r="N246">
            <v>36151.728628515026</v>
          </cell>
          <cell r="O246">
            <v>36753.502636978956</v>
          </cell>
          <cell r="P246">
            <v>39263.465870843895</v>
          </cell>
          <cell r="Q246">
            <v>41001.093157340103</v>
          </cell>
          <cell r="R246">
            <v>40978.97325122216</v>
          </cell>
          <cell r="S246">
            <v>41438.624077021566</v>
          </cell>
          <cell r="T246">
            <v>42363.69971619008</v>
          </cell>
          <cell r="U246">
            <v>43210.133146248801</v>
          </cell>
          <cell r="V246">
            <v>44401.32382270151</v>
          </cell>
          <cell r="W246">
            <v>46342.560297745775</v>
          </cell>
          <cell r="X246">
            <v>48642.611386782039</v>
          </cell>
          <cell r="Y246">
            <v>50263.175879098308</v>
          </cell>
          <cell r="Z246">
            <v>50977.817961385736</v>
          </cell>
          <cell r="AA246">
            <v>51339.024248911577</v>
          </cell>
          <cell r="AB246">
            <v>50538.39378639061</v>
          </cell>
          <cell r="AC246">
            <v>49436.659552163255</v>
          </cell>
          <cell r="AD246">
            <v>49738.779482392318</v>
          </cell>
          <cell r="AE246">
            <v>50267.876249741275</v>
          </cell>
        </row>
        <row r="247">
          <cell r="G247">
            <v>10691.658369472056</v>
          </cell>
          <cell r="H247">
            <v>15762.991449869804</v>
          </cell>
          <cell r="I247">
            <v>16105.559247965732</v>
          </cell>
          <cell r="J247">
            <v>16346.914415265306</v>
          </cell>
          <cell r="K247">
            <v>16561.759072574627</v>
          </cell>
          <cell r="L247">
            <v>17476.631003154402</v>
          </cell>
          <cell r="M247">
            <v>17502.889457004119</v>
          </cell>
          <cell r="N247">
            <v>18788.360100786689</v>
          </cell>
          <cell r="O247">
            <v>19101.107158790332</v>
          </cell>
          <cell r="P247">
            <v>20405.55634743558</v>
          </cell>
          <cell r="Q247">
            <v>21308.615991280461</v>
          </cell>
          <cell r="R247">
            <v>21297.120088392661</v>
          </cell>
          <cell r="S247">
            <v>21536.004522508803</v>
          </cell>
          <cell r="T247">
            <v>22016.774181070974</v>
          </cell>
          <cell r="U247">
            <v>22456.672816311991</v>
          </cell>
          <cell r="V247">
            <v>23075.744717627389</v>
          </cell>
          <cell r="W247">
            <v>24084.621784300914</v>
          </cell>
          <cell r="X247">
            <v>25279.97785026049</v>
          </cell>
          <cell r="Y247">
            <v>26122.198966740394</v>
          </cell>
          <cell r="Z247">
            <v>26801.516390175642</v>
          </cell>
          <cell r="AA247">
            <v>27292.56324226594</v>
          </cell>
          <cell r="AB247">
            <v>27183.612671531475</v>
          </cell>
          <cell r="AC247">
            <v>26965.245592442159</v>
          </cell>
          <cell r="AD247">
            <v>27407.916763462723</v>
          </cell>
          <cell r="AE247">
            <v>27972.689694185861</v>
          </cell>
        </row>
        <row r="248">
          <cell r="G248">
            <v>112714.25036667172</v>
          </cell>
          <cell r="H248">
            <v>114141.16481280299</v>
          </cell>
          <cell r="I248">
            <v>115190.36661142894</v>
          </cell>
          <cell r="J248">
            <v>116520.75449208662</v>
          </cell>
          <cell r="K248">
            <v>117639.50338136432</v>
          </cell>
          <cell r="L248">
            <v>125133.03018357205</v>
          </cell>
          <cell r="M248">
            <v>125028.1219180683</v>
          </cell>
          <cell r="N248">
            <v>132782.30628235237</v>
          </cell>
          <cell r="O248">
            <v>132776.26779086614</v>
          </cell>
          <cell r="P248">
            <v>140250.1217333712</v>
          </cell>
          <cell r="Q248">
            <v>146590.53423395441</v>
          </cell>
          <cell r="R248">
            <v>146845.81875868811</v>
          </cell>
          <cell r="S248">
            <v>147443.91759888123</v>
          </cell>
          <cell r="T248">
            <v>149119.28301449967</v>
          </cell>
          <cell r="U248">
            <v>151298.35382192422</v>
          </cell>
          <cell r="V248">
            <v>153935.93009441264</v>
          </cell>
          <cell r="W248">
            <v>164146.30188532348</v>
          </cell>
          <cell r="X248">
            <v>174886.41228830878</v>
          </cell>
          <cell r="Y248">
            <v>184122.16950487869</v>
          </cell>
          <cell r="Z248">
            <v>222578.6043170327</v>
          </cell>
          <cell r="AA248">
            <v>270108.4559566789</v>
          </cell>
          <cell r="AB248">
            <v>303077.22933959612</v>
          </cell>
          <cell r="AC248">
            <v>330226.38848079956</v>
          </cell>
          <cell r="AD248">
            <v>364736.77247703593</v>
          </cell>
          <cell r="AE248">
            <v>402666.75528648176</v>
          </cell>
        </row>
        <row r="249">
          <cell r="G249">
            <v>14752.415649731582</v>
          </cell>
          <cell r="H249">
            <v>14949.486256197217</v>
          </cell>
          <cell r="I249">
            <v>15653.173296422536</v>
          </cell>
          <cell r="J249">
            <v>16126.238339946436</v>
          </cell>
          <cell r="K249">
            <v>16429.953298851924</v>
          </cell>
          <cell r="L249">
            <v>17486.291276105734</v>
          </cell>
          <cell r="M249">
            <v>17416.657106211544</v>
          </cell>
          <cell r="N249">
            <v>18528.371104601782</v>
          </cell>
          <cell r="O249">
            <v>18478.233325586072</v>
          </cell>
          <cell r="P249">
            <v>19711.765341966311</v>
          </cell>
          <cell r="Q249">
            <v>20744.547614122177</v>
          </cell>
          <cell r="R249">
            <v>21201.557636324564</v>
          </cell>
          <cell r="S249">
            <v>21869.370611957627</v>
          </cell>
          <cell r="T249">
            <v>22409.704663340748</v>
          </cell>
          <cell r="U249">
            <v>23146.437011872487</v>
          </cell>
          <cell r="V249">
            <v>23754.6214532173</v>
          </cell>
          <cell r="W249">
            <v>24638.42210750085</v>
          </cell>
          <cell r="X249">
            <v>25998.629422016213</v>
          </cell>
          <cell r="Y249">
            <v>27022.019736324251</v>
          </cell>
          <cell r="Z249">
            <v>27815.476693020497</v>
          </cell>
          <cell r="AA249">
            <v>28513.040758287032</v>
          </cell>
          <cell r="AB249">
            <v>28522.892788035613</v>
          </cell>
          <cell r="AC249">
            <v>28160.258081621505</v>
          </cell>
          <cell r="AD249">
            <v>28635.095426973003</v>
          </cell>
          <cell r="AE249">
            <v>29323.666041989127</v>
          </cell>
        </row>
        <row r="250">
          <cell r="G250">
            <v>34875.560548544068</v>
          </cell>
          <cell r="H250">
            <v>35490.215717743871</v>
          </cell>
          <cell r="I250">
            <v>36041.055471905849</v>
          </cell>
          <cell r="J250">
            <v>36987.832605266187</v>
          </cell>
          <cell r="K250">
            <v>37609.896544160554</v>
          </cell>
          <cell r="L250">
            <v>39880.544867932578</v>
          </cell>
          <cell r="M250">
            <v>40403.524766928334</v>
          </cell>
          <cell r="N250">
            <v>43318.517315310317</v>
          </cell>
          <cell r="O250">
            <v>43477.324084102991</v>
          </cell>
          <cell r="P250">
            <v>46102.792950617768</v>
          </cell>
          <cell r="Q250">
            <v>48157.744443856565</v>
          </cell>
          <cell r="R250">
            <v>48381.995246132137</v>
          </cell>
          <cell r="S250">
            <v>49049.199908716473</v>
          </cell>
          <cell r="T250">
            <v>50428.752236485008</v>
          </cell>
          <cell r="U250">
            <v>51749.10969971741</v>
          </cell>
          <cell r="V250">
            <v>53283.685692529973</v>
          </cell>
          <cell r="W250">
            <v>55740.603359634508</v>
          </cell>
          <cell r="X250">
            <v>58846.279199835903</v>
          </cell>
          <cell r="Y250">
            <v>60989.003348343955</v>
          </cell>
          <cell r="Z250">
            <v>66855.58838065021</v>
          </cell>
          <cell r="AA250">
            <v>70982.670891079164</v>
          </cell>
          <cell r="AB250">
            <v>72875.175932513535</v>
          </cell>
          <cell r="AC250">
            <v>74055.453637505809</v>
          </cell>
          <cell r="AD250">
            <v>77727.363212703494</v>
          </cell>
          <cell r="AE250">
            <v>81944.81933887284</v>
          </cell>
        </row>
        <row r="251">
          <cell r="G251">
            <v>95092.731567875642</v>
          </cell>
          <cell r="H251">
            <v>96766.415545228316</v>
          </cell>
          <cell r="I251">
            <v>98266.332436564364</v>
          </cell>
          <cell r="J251">
            <v>100844.37260873445</v>
          </cell>
          <cell r="K251">
            <v>102538.23040020447</v>
          </cell>
          <cell r="L251">
            <v>108726.98855621848</v>
          </cell>
          <cell r="M251">
            <v>110149.4485241012</v>
          </cell>
          <cell r="N251">
            <v>118093.70785323142</v>
          </cell>
          <cell r="O251">
            <v>118524.17778565657</v>
          </cell>
          <cell r="P251">
            <v>125679.56328821628</v>
          </cell>
          <cell r="Q251">
            <v>131279.82577985615</v>
          </cell>
          <cell r="R251">
            <v>131888.41597728548</v>
          </cell>
          <cell r="S251">
            <v>133704.03605860649</v>
          </cell>
          <cell r="T251">
            <v>137459.9244662337</v>
          </cell>
          <cell r="U251">
            <v>141055.35189563283</v>
          </cell>
          <cell r="V251">
            <v>145235.13322236884</v>
          </cell>
          <cell r="W251">
            <v>153068.71128711573</v>
          </cell>
          <cell r="X251">
            <v>162786.7828709142</v>
          </cell>
          <cell r="Y251">
            <v>169902.61285857085</v>
          </cell>
          <cell r="Z251">
            <v>177924.99831106921</v>
          </cell>
          <cell r="AA251">
            <v>183099.6511936677</v>
          </cell>
          <cell r="AB251">
            <v>183290.58023238834</v>
          </cell>
          <cell r="AC251">
            <v>181910.0452579376</v>
          </cell>
          <cell r="AD251">
            <v>186440.59700101402</v>
          </cell>
          <cell r="AE251">
            <v>192071.4052546951</v>
          </cell>
        </row>
        <row r="252">
          <cell r="G252">
            <v>20269.095261833754</v>
          </cell>
          <cell r="H252">
            <v>20530.532236312658</v>
          </cell>
          <cell r="I252">
            <v>20719.297673345118</v>
          </cell>
          <cell r="J252">
            <v>20905.426610008475</v>
          </cell>
          <cell r="K252">
            <v>21238.400627835614</v>
          </cell>
          <cell r="L252">
            <v>22707.133589089823</v>
          </cell>
          <cell r="M252">
            <v>22914.0953188536</v>
          </cell>
          <cell r="N252">
            <v>24446.984147439664</v>
          </cell>
          <cell r="O252">
            <v>24508.760457259279</v>
          </cell>
          <cell r="P252">
            <v>26182.572155659302</v>
          </cell>
          <cell r="Q252">
            <v>27665.032170520342</v>
          </cell>
          <cell r="R252">
            <v>27944.373484518161</v>
          </cell>
          <cell r="S252">
            <v>28737.453154020208</v>
          </cell>
          <cell r="T252">
            <v>29887.275798005736</v>
          </cell>
          <cell r="U252">
            <v>31124.852838925988</v>
          </cell>
          <cell r="V252">
            <v>32286.30287308092</v>
          </cell>
          <cell r="W252">
            <v>34084.157085432591</v>
          </cell>
          <cell r="X252">
            <v>36026.430975225201</v>
          </cell>
          <cell r="Y252">
            <v>37766.179529638641</v>
          </cell>
          <cell r="Z252">
            <v>38453.867170200647</v>
          </cell>
          <cell r="AA252">
            <v>38998.349356101215</v>
          </cell>
          <cell r="AB252">
            <v>38753.276478936947</v>
          </cell>
          <cell r="AC252">
            <v>38078.707519783769</v>
          </cell>
          <cell r="AD252">
            <v>38623.220290712226</v>
          </cell>
          <cell r="AE252">
            <v>39376.63752481604</v>
          </cell>
        </row>
        <row r="253">
          <cell r="G253">
            <v>111590.53378044043</v>
          </cell>
          <cell r="H253">
            <v>113029.8625297102</v>
          </cell>
          <cell r="I253">
            <v>114069.10160800362</v>
          </cell>
          <cell r="J253">
            <v>115093.82555971152</v>
          </cell>
          <cell r="K253">
            <v>116926.99807700257</v>
          </cell>
          <cell r="L253">
            <v>125013.03709404237</v>
          </cell>
          <cell r="M253">
            <v>126152.45499099954</v>
          </cell>
          <cell r="N253">
            <v>134591.7010648037</v>
          </cell>
          <cell r="O253">
            <v>134931.80758158234</v>
          </cell>
          <cell r="P253">
            <v>144146.89776985085</v>
          </cell>
          <cell r="Q253">
            <v>152308.51042347541</v>
          </cell>
          <cell r="R253">
            <v>153846.41065697235</v>
          </cell>
          <cell r="S253">
            <v>158212.67281652676</v>
          </cell>
          <cell r="T253">
            <v>164542.96634653877</v>
          </cell>
          <cell r="U253">
            <v>171356.38750849618</v>
          </cell>
          <cell r="V253">
            <v>177750.69507853885</v>
          </cell>
          <cell r="W253">
            <v>186860.74176010364</v>
          </cell>
          <cell r="X253">
            <v>198849.0352817431</v>
          </cell>
          <cell r="Y253">
            <v>207459.88509259641</v>
          </cell>
          <cell r="Z253">
            <v>210238.94541030767</v>
          </cell>
          <cell r="AA253">
            <v>212559.78193989891</v>
          </cell>
          <cell r="AB253">
            <v>209370.44418938732</v>
          </cell>
          <cell r="AC253">
            <v>204710.6763606098</v>
          </cell>
          <cell r="AD253">
            <v>206356.08182021734</v>
          </cell>
          <cell r="AE253">
            <v>208941.43593905578</v>
          </cell>
        </row>
        <row r="256">
          <cell r="G256">
            <v>41700.08658172701</v>
          </cell>
          <cell r="H256">
            <v>42703.510343600574</v>
          </cell>
          <cell r="I256">
            <v>44257.002746285623</v>
          </cell>
          <cell r="J256">
            <v>46606.120598262525</v>
          </cell>
          <cell r="K256">
            <v>48934.561178675896</v>
          </cell>
          <cell r="L256">
            <v>49695.768483822583</v>
          </cell>
          <cell r="M256">
            <v>49546.517070036483</v>
          </cell>
          <cell r="N256">
            <v>52273.811962574538</v>
          </cell>
          <cell r="O256">
            <v>52585.807956194207</v>
          </cell>
          <cell r="P256">
            <v>56289.490101634299</v>
          </cell>
          <cell r="Q256">
            <v>59687.816054859606</v>
          </cell>
          <cell r="R256">
            <v>62488.410252297035</v>
          </cell>
          <cell r="S256">
            <v>66288.542174939212</v>
          </cell>
          <cell r="T256">
            <v>70860.892025420588</v>
          </cell>
          <cell r="U256">
            <v>78425.921481403377</v>
          </cell>
          <cell r="V256">
            <v>82710.375879353072</v>
          </cell>
          <cell r="W256">
            <v>87029.28237334211</v>
          </cell>
          <cell r="X256">
            <v>91919.753724823735</v>
          </cell>
          <cell r="Y256">
            <v>97412.530517584542</v>
          </cell>
          <cell r="Z256">
            <v>101803.61807623306</v>
          </cell>
          <cell r="AA256">
            <v>106254.40114189948</v>
          </cell>
          <cell r="AB256">
            <v>108563.77406324894</v>
          </cell>
          <cell r="AC256">
            <v>110216.79388037193</v>
          </cell>
          <cell r="AD256">
            <v>113386.61374144799</v>
          </cell>
          <cell r="AE256">
            <v>117712.63216067546</v>
          </cell>
        </row>
        <row r="257">
          <cell r="G257">
            <v>14672.252686163205</v>
          </cell>
          <cell r="H257">
            <v>19239.68134321988</v>
          </cell>
          <cell r="I257">
            <v>19939.593330695461</v>
          </cell>
          <cell r="J257">
            <v>20997.967186756636</v>
          </cell>
          <cell r="K257">
            <v>22047.02508465117</v>
          </cell>
          <cell r="L257">
            <v>22389.980168889302</v>
          </cell>
          <cell r="M257">
            <v>22322.736290852939</v>
          </cell>
          <cell r="N257">
            <v>23551.49440088233</v>
          </cell>
          <cell r="O257">
            <v>23692.06138119155</v>
          </cell>
          <cell r="P257">
            <v>25360.721959712802</v>
          </cell>
          <cell r="Q257">
            <v>26891.807060548002</v>
          </cell>
          <cell r="R257">
            <v>28153.589511143226</v>
          </cell>
          <cell r="S257">
            <v>29865.70466667843</v>
          </cell>
          <cell r="T257">
            <v>31925.735643175518</v>
          </cell>
          <cell r="U257">
            <v>35334.09141800685</v>
          </cell>
          <cell r="V257">
            <v>37264.413695563177</v>
          </cell>
          <cell r="W257">
            <v>39210.258054186605</v>
          </cell>
          <cell r="X257">
            <v>41413.615803083063</v>
          </cell>
          <cell r="Y257">
            <v>43888.336834956921</v>
          </cell>
          <cell r="Z257">
            <v>49736.807319184532</v>
          </cell>
          <cell r="AA257">
            <v>56142.539444000598</v>
          </cell>
          <cell r="AB257">
            <v>60827.935304007333</v>
          </cell>
          <cell r="AC257">
            <v>65095.991258090726</v>
          </cell>
          <cell r="AD257">
            <v>69834.495854563807</v>
          </cell>
          <cell r="AE257">
            <v>75291.428799324145</v>
          </cell>
        </row>
        <row r="258">
          <cell r="G258">
            <v>20850.043290863505</v>
          </cell>
          <cell r="H258">
            <v>22575.282569679115</v>
          </cell>
          <cell r="I258">
            <v>23396.538941304792</v>
          </cell>
          <cell r="J258">
            <v>24638.404044926261</v>
          </cell>
          <cell r="K258">
            <v>25869.338074156876</v>
          </cell>
          <cell r="L258">
            <v>26271.751596359642</v>
          </cell>
          <cell r="M258">
            <v>26192.849585423435</v>
          </cell>
          <cell r="N258">
            <v>27634.638617624529</v>
          </cell>
          <cell r="O258">
            <v>27799.575824423198</v>
          </cell>
          <cell r="P258">
            <v>29757.533620136724</v>
          </cell>
          <cell r="Q258">
            <v>31554.064351232275</v>
          </cell>
          <cell r="R258">
            <v>33034.603184256543</v>
          </cell>
          <cell r="S258">
            <v>35043.549316914716</v>
          </cell>
          <cell r="T258">
            <v>37460.729755981731</v>
          </cell>
          <cell r="U258">
            <v>41459.995302130206</v>
          </cell>
          <cell r="V258">
            <v>43724.979325981389</v>
          </cell>
          <cell r="W258">
            <v>46008.176508351571</v>
          </cell>
          <cell r="X258">
            <v>48593.532413997003</v>
          </cell>
          <cell r="Y258">
            <v>51497.298104241556</v>
          </cell>
          <cell r="Z258">
            <v>52757.518908787002</v>
          </cell>
          <cell r="AA258">
            <v>53903.877954527678</v>
          </cell>
          <cell r="AB258">
            <v>54125.33752447724</v>
          </cell>
          <cell r="AC258">
            <v>54033.163247066717</v>
          </cell>
          <cell r="AD258">
            <v>54801.231162971046</v>
          </cell>
          <cell r="AE258">
            <v>56126.369631058922</v>
          </cell>
        </row>
        <row r="259">
          <cell r="G259">
            <v>3084.9199261436966</v>
          </cell>
          <cell r="H259">
            <v>5192.3238248352354</v>
          </cell>
          <cell r="I259">
            <v>5441.9087153135188</v>
          </cell>
          <cell r="J259">
            <v>5708.9913981860245</v>
          </cell>
          <cell r="K259">
            <v>5939.2683798155113</v>
          </cell>
          <cell r="L259">
            <v>5907.767503560216</v>
          </cell>
          <cell r="M259">
            <v>5893.8371432833674</v>
          </cell>
          <cell r="N259">
            <v>6195.5678689534261</v>
          </cell>
          <cell r="O259">
            <v>6123.6377703355965</v>
          </cell>
          <cell r="P259">
            <v>6556.9250028957049</v>
          </cell>
          <cell r="Q259">
            <v>6960.5527448298462</v>
          </cell>
          <cell r="R259">
            <v>7163.8361106454095</v>
          </cell>
          <cell r="S259">
            <v>7643.6281214589717</v>
          </cell>
          <cell r="T259">
            <v>8227.1598087030998</v>
          </cell>
          <cell r="U259">
            <v>8657.9336583136501</v>
          </cell>
          <cell r="V259">
            <v>9040.8792984394131</v>
          </cell>
          <cell r="W259">
            <v>9412.5989064156402</v>
          </cell>
          <cell r="X259">
            <v>9908.961078993003</v>
          </cell>
          <cell r="Y259">
            <v>10279.707681731243</v>
          </cell>
          <cell r="Z259">
            <v>10839.759702525946</v>
          </cell>
          <cell r="AA259">
            <v>11663.103603960732</v>
          </cell>
          <cell r="AB259">
            <v>12117.020713681366</v>
          </cell>
          <cell r="AC259">
            <v>12408.832497687614</v>
          </cell>
          <cell r="AD259">
            <v>12917.727582640358</v>
          </cell>
          <cell r="AE259">
            <v>13578.615297081387</v>
          </cell>
        </row>
        <row r="260">
          <cell r="G260">
            <v>9871.7437636598297</v>
          </cell>
          <cell r="H260">
            <v>9590.1355545478818</v>
          </cell>
          <cell r="I260">
            <v>10051.114686975101</v>
          </cell>
          <cell r="J260">
            <v>10544.41195028686</v>
          </cell>
          <cell r="K260">
            <v>10969.729696910446</v>
          </cell>
          <cell r="L260">
            <v>10911.548103549427</v>
          </cell>
          <cell r="M260">
            <v>10885.818960320785</v>
          </cell>
          <cell r="N260">
            <v>11443.110581137555</v>
          </cell>
          <cell r="O260">
            <v>11310.256887980453</v>
          </cell>
          <cell r="P260">
            <v>12110.53118413112</v>
          </cell>
          <cell r="Q260">
            <v>12856.024895484399</v>
          </cell>
          <cell r="R260">
            <v>13231.48588365146</v>
          </cell>
          <cell r="S260">
            <v>14117.653730056369</v>
          </cell>
          <cell r="T260">
            <v>15195.427029610313</v>
          </cell>
          <cell r="U260">
            <v>15991.059149348286</v>
          </cell>
          <cell r="V260">
            <v>16698.353363407765</v>
          </cell>
          <cell r="W260">
            <v>17384.91328321179</v>
          </cell>
          <cell r="X260">
            <v>18301.685942189361</v>
          </cell>
          <cell r="Y260">
            <v>18986.448737537681</v>
          </cell>
          <cell r="Z260">
            <v>19186.457357777792</v>
          </cell>
          <cell r="AA260">
            <v>19421.389500806956</v>
          </cell>
          <cell r="AB260">
            <v>19309.143644282176</v>
          </cell>
          <cell r="AC260">
            <v>19047.886232108558</v>
          </cell>
          <cell r="AD260">
            <v>19147.291907871771</v>
          </cell>
          <cell r="AE260">
            <v>19450.207372063909</v>
          </cell>
        </row>
        <row r="261">
          <cell r="G261">
            <v>2467.9359409149574</v>
          </cell>
          <cell r="H261">
            <v>2397.5338886369705</v>
          </cell>
          <cell r="I261">
            <v>2512.7786717437752</v>
          </cell>
          <cell r="J261">
            <v>2636.1029875717149</v>
          </cell>
          <cell r="K261">
            <v>2742.4324242276116</v>
          </cell>
          <cell r="L261">
            <v>2727.8870258873567</v>
          </cell>
          <cell r="M261">
            <v>2721.4547400801962</v>
          </cell>
          <cell r="N261">
            <v>2860.7776452843887</v>
          </cell>
          <cell r="O261">
            <v>2827.5642219951133</v>
          </cell>
          <cell r="P261">
            <v>3027.6327960327799</v>
          </cell>
          <cell r="Q261">
            <v>3214.0062238710998</v>
          </cell>
          <cell r="R261">
            <v>3307.8714709128649</v>
          </cell>
          <cell r="S261">
            <v>3529.4134325140922</v>
          </cell>
          <cell r="T261">
            <v>3798.8567574025783</v>
          </cell>
          <cell r="U261">
            <v>3997.7647873370715</v>
          </cell>
          <cell r="V261">
            <v>4174.5883408519412</v>
          </cell>
          <cell r="W261">
            <v>4346.2283208029476</v>
          </cell>
          <cell r="X261">
            <v>4575.4214855473401</v>
          </cell>
          <cell r="Y261">
            <v>4746.6121843844203</v>
          </cell>
          <cell r="Z261">
            <v>5696.4113678519134</v>
          </cell>
          <cell r="AA261">
            <v>7141.6915145381108</v>
          </cell>
          <cell r="AB261">
            <v>8138.7616941484803</v>
          </cell>
          <cell r="AC261">
            <v>8936.3970229625047</v>
          </cell>
          <cell r="AD261">
            <v>9867.6418435425585</v>
          </cell>
          <cell r="AE261">
            <v>10933.03441460919</v>
          </cell>
        </row>
        <row r="262">
          <cell r="G262">
            <v>5141.5332102394941</v>
          </cell>
          <cell r="H262">
            <v>4628.9611906538521</v>
          </cell>
          <cell r="I262">
            <v>4851.4663368605652</v>
          </cell>
          <cell r="J262">
            <v>5089.5707801541757</v>
          </cell>
          <cell r="K262">
            <v>5294.8629088856933</v>
          </cell>
          <cell r="L262">
            <v>5266.7798503984886</v>
          </cell>
          <cell r="M262">
            <v>5254.3609221365559</v>
          </cell>
          <cell r="N262">
            <v>5523.3541256178196</v>
          </cell>
          <cell r="O262">
            <v>5459.2283803495338</v>
          </cell>
          <cell r="P262">
            <v>5845.504323759169</v>
          </cell>
          <cell r="Q262">
            <v>6205.3388055662963</v>
          </cell>
          <cell r="R262">
            <v>6386.5661024010788</v>
          </cell>
          <cell r="S262">
            <v>6814.3010959349658</v>
          </cell>
          <cell r="T262">
            <v>7334.5201009303946</v>
          </cell>
          <cell r="U262">
            <v>7718.5553612618451</v>
          </cell>
          <cell r="V262">
            <v>8059.9517313791303</v>
          </cell>
          <cell r="W262">
            <v>8391.3400841041475</v>
          </cell>
          <cell r="X262">
            <v>8833.8473912138234</v>
          </cell>
          <cell r="Y262">
            <v>9164.3683089257556</v>
          </cell>
          <cell r="Z262">
            <v>9427.4013538185536</v>
          </cell>
          <cell r="AA262">
            <v>9797.3565548521656</v>
          </cell>
          <cell r="AB262">
            <v>9932.861944815053</v>
          </cell>
          <cell r="AC262">
            <v>9966.4333527343661</v>
          </cell>
          <cell r="AD262">
            <v>10182.127978430055</v>
          </cell>
          <cell r="AE262">
            <v>10511.460426461397</v>
          </cell>
        </row>
        <row r="263">
          <cell r="G263">
            <v>38695.862157504649</v>
          </cell>
          <cell r="H263">
            <v>39188.4671848789</v>
          </cell>
          <cell r="I263">
            <v>39741.214823901777</v>
          </cell>
          <cell r="J263">
            <v>40107.89074653374</v>
          </cell>
          <cell r="K263">
            <v>41756.080499778414</v>
          </cell>
          <cell r="L263">
            <v>42655.293736363157</v>
          </cell>
          <cell r="M263">
            <v>41788.422279535007</v>
          </cell>
          <cell r="N263">
            <v>42758.588014985733</v>
          </cell>
          <cell r="O263">
            <v>42675.647914828987</v>
          </cell>
          <cell r="P263">
            <v>44698.188170030255</v>
          </cell>
          <cell r="Q263">
            <v>46622.423951739962</v>
          </cell>
          <cell r="R263">
            <v>47476.187309589091</v>
          </cell>
          <cell r="S263">
            <v>47987.913010357173</v>
          </cell>
          <cell r="T263">
            <v>48926.548887985504</v>
          </cell>
          <cell r="U263">
            <v>49631.181693389517</v>
          </cell>
          <cell r="V263">
            <v>51502.693953272537</v>
          </cell>
          <cell r="W263">
            <v>53982.101264314697</v>
          </cell>
          <cell r="X263">
            <v>56987.497434832425</v>
          </cell>
          <cell r="Y263">
            <v>57959.733733594301</v>
          </cell>
          <cell r="Z263">
            <v>59424.072963241932</v>
          </cell>
          <cell r="AA263">
            <v>62248.204735016327</v>
          </cell>
          <cell r="AB263">
            <v>63461.255420553018</v>
          </cell>
          <cell r="AC263">
            <v>63503.996144116907</v>
          </cell>
          <cell r="AD263">
            <v>64899.250469511047</v>
          </cell>
          <cell r="AE263">
            <v>67021.594229596027</v>
          </cell>
        </row>
        <row r="264">
          <cell r="G264">
            <v>15817.337232070206</v>
          </cell>
          <cell r="H264">
            <v>16018.694674591499</v>
          </cell>
          <cell r="I264">
            <v>16244.636036876404</v>
          </cell>
          <cell r="J264">
            <v>16394.518644467444</v>
          </cell>
          <cell r="K264">
            <v>17068.233395760493</v>
          </cell>
          <cell r="L264">
            <v>17435.796184482177</v>
          </cell>
          <cell r="M264">
            <v>17081.453435541836</v>
          </cell>
          <cell r="N264">
            <v>17478.018798168017</v>
          </cell>
          <cell r="O264">
            <v>17444.116167212251</v>
          </cell>
          <cell r="P264">
            <v>18270.850590436661</v>
          </cell>
          <cell r="Q264">
            <v>19057.402034863284</v>
          </cell>
          <cell r="R264">
            <v>19406.386711636154</v>
          </cell>
          <cell r="S264">
            <v>19615.559928824609</v>
          </cell>
          <cell r="T264">
            <v>19999.237133227925</v>
          </cell>
          <cell r="U264">
            <v>20287.263141344494</v>
          </cell>
          <cell r="V264">
            <v>21052.263296348981</v>
          </cell>
          <cell r="W264">
            <v>22167.22763662495</v>
          </cell>
          <cell r="X264">
            <v>23362.862099979786</v>
          </cell>
          <cell r="Y264">
            <v>23744.685317019321</v>
          </cell>
          <cell r="Z264">
            <v>23996.322284808713</v>
          </cell>
          <cell r="AA264">
            <v>23948.878801276289</v>
          </cell>
          <cell r="AB264">
            <v>23807.88839224822</v>
          </cell>
          <cell r="AC264">
            <v>23579.111074955865</v>
          </cell>
          <cell r="AD264">
            <v>23808.133708016674</v>
          </cell>
          <cell r="AE264">
            <v>24242.268569309461</v>
          </cell>
        </row>
        <row r="265">
          <cell r="G265">
            <v>5322.184838687871</v>
          </cell>
          <cell r="H265">
            <v>5545.0304646425429</v>
          </cell>
          <cell r="I265">
            <v>5646.0717363855647</v>
          </cell>
          <cell r="J265">
            <v>5772.714861515663</v>
          </cell>
          <cell r="K265">
            <v>5942.4333319450498</v>
          </cell>
          <cell r="L265">
            <v>6101.6843781988837</v>
          </cell>
          <cell r="M265">
            <v>5984.6208573422091</v>
          </cell>
          <cell r="N265">
            <v>6060.5218777927839</v>
          </cell>
          <cell r="O265">
            <v>5984.088884824102</v>
          </cell>
          <cell r="P265">
            <v>6250.5787353942815</v>
          </cell>
          <cell r="Q265">
            <v>6572.719636686692</v>
          </cell>
          <cell r="R265">
            <v>6621.4012106557939</v>
          </cell>
          <cell r="S265">
            <v>7007.3620811741166</v>
          </cell>
          <cell r="T265">
            <v>7493.6319939120322</v>
          </cell>
          <cell r="U265">
            <v>7852.5601573598751</v>
          </cell>
          <cell r="V265">
            <v>8244.2529789954897</v>
          </cell>
          <cell r="W265">
            <v>8590.1003647840844</v>
          </cell>
          <cell r="X265">
            <v>8791.169223543573</v>
          </cell>
          <cell r="Y265">
            <v>9001.664162895453</v>
          </cell>
          <cell r="Z265">
            <v>9312.348144124393</v>
          </cell>
          <cell r="AA265">
            <v>9600.2460714418157</v>
          </cell>
          <cell r="AB265">
            <v>9649.7064927956617</v>
          </cell>
          <cell r="AC265">
            <v>9594.2324440334487</v>
          </cell>
          <cell r="AD265">
            <v>9674.6836717986062</v>
          </cell>
          <cell r="AE265">
            <v>9849.4812135498341</v>
          </cell>
        </row>
        <row r="266">
          <cell r="G266">
            <v>40188.47897715179</v>
          </cell>
          <cell r="H266">
            <v>37894.786608260598</v>
          </cell>
          <cell r="I266">
            <v>39692.417744606828</v>
          </cell>
          <cell r="J266">
            <v>41616.076447625463</v>
          </cell>
          <cell r="K266">
            <v>43274.642682815946</v>
          </cell>
          <cell r="L266">
            <v>43037.119273569937</v>
          </cell>
          <cell r="M266">
            <v>42915.311055033781</v>
          </cell>
          <cell r="N266">
            <v>45084.536114695635</v>
          </cell>
          <cell r="O266">
            <v>44539.564838901228</v>
          </cell>
          <cell r="P266">
            <v>47662.286009123229</v>
          </cell>
          <cell r="Q266">
            <v>50573.227173981133</v>
          </cell>
          <cell r="R266">
            <v>52028.353540521784</v>
          </cell>
          <cell r="S266">
            <v>55480.383681701147</v>
          </cell>
          <cell r="T266">
            <v>59679.121785217372</v>
          </cell>
          <cell r="U266">
            <v>62780.458365300248</v>
          </cell>
          <cell r="V266">
            <v>65538.345071305797</v>
          </cell>
          <cell r="W266">
            <v>66650.46253738238</v>
          </cell>
          <cell r="X266">
            <v>67942.572302651621</v>
          </cell>
          <cell r="Y266">
            <v>68392.695694490918</v>
          </cell>
          <cell r="Z266">
            <v>68988.233738220995</v>
          </cell>
          <cell r="AA266">
            <v>69484.825010124769</v>
          </cell>
          <cell r="AB266">
            <v>68888.699697287899</v>
          </cell>
          <cell r="AC266">
            <v>67780.569700880937</v>
          </cell>
          <cell r="AD266">
            <v>67936.197356717166</v>
          </cell>
          <cell r="AE266">
            <v>68764.752407722292</v>
          </cell>
        </row>
        <row r="267">
          <cell r="G267">
            <v>1188.7545350603505</v>
          </cell>
          <cell r="H267">
            <v>1814.3315151782574</v>
          </cell>
          <cell r="I267">
            <v>1900.3987322087844</v>
          </cell>
          <cell r="J267">
            <v>1992.499913445489</v>
          </cell>
          <cell r="K267">
            <v>2071.9089630760959</v>
          </cell>
          <cell r="L267">
            <v>2060.5367864375899</v>
          </cell>
          <cell r="M267">
            <v>2054.7048367295088</v>
          </cell>
          <cell r="N267">
            <v>2158.5632758848569</v>
          </cell>
          <cell r="O267">
            <v>2132.4710703590135</v>
          </cell>
          <cell r="P267">
            <v>2281.9811201401903</v>
          </cell>
          <cell r="Q267">
            <v>2421.3515393175903</v>
          </cell>
          <cell r="R267">
            <v>2491.0202684932815</v>
          </cell>
          <cell r="S267">
            <v>2656.2970159581087</v>
          </cell>
          <cell r="T267">
            <v>2857.3247442295396</v>
          </cell>
          <cell r="U267">
            <v>3005.8109398265065</v>
          </cell>
          <cell r="V267">
            <v>3137.8533977435613</v>
          </cell>
          <cell r="W267">
            <v>3191.0995022312723</v>
          </cell>
          <cell r="X267">
            <v>3252.9633013979505</v>
          </cell>
          <cell r="Y267">
            <v>3274.5143676165139</v>
          </cell>
          <cell r="Z267">
            <v>3365.3187326417874</v>
          </cell>
          <cell r="AA267">
            <v>3474.0116701583424</v>
          </cell>
          <cell r="AB267">
            <v>3512.953897458478</v>
          </cell>
          <cell r="AC267">
            <v>3516.3128897770621</v>
          </cell>
          <cell r="AD267">
            <v>3581.1158402421911</v>
          </cell>
          <cell r="AE267">
            <v>3680.4791879235472</v>
          </cell>
        </row>
        <row r="268">
          <cell r="G268">
            <v>3849.7950827751201</v>
          </cell>
          <cell r="H268">
            <v>3906.2891171259025</v>
          </cell>
          <cell r="I268">
            <v>3961.8719573742533</v>
          </cell>
          <cell r="J268">
            <v>4034.5396870432041</v>
          </cell>
          <cell r="K268">
            <v>4138.6436132460585</v>
          </cell>
          <cell r="L268">
            <v>4100.6830786251285</v>
          </cell>
          <cell r="M268">
            <v>4035.3829999262734</v>
          </cell>
          <cell r="N268">
            <v>4110.6521986094058</v>
          </cell>
          <cell r="O268">
            <v>4006.1320247028834</v>
          </cell>
          <cell r="P268">
            <v>4254.9883579236111</v>
          </cell>
          <cell r="Q268">
            <v>4437.9947273019006</v>
          </cell>
          <cell r="R268">
            <v>4680.7221218276991</v>
          </cell>
          <cell r="S268">
            <v>4828.4799985370428</v>
          </cell>
          <cell r="T268">
            <v>5017.4618558662078</v>
          </cell>
          <cell r="U268">
            <v>5345.4511655331662</v>
          </cell>
          <cell r="V268">
            <v>5516.9923667331486</v>
          </cell>
          <cell r="W268">
            <v>5867.6518045882958</v>
          </cell>
          <cell r="X268">
            <v>6329.7630600932562</v>
          </cell>
          <cell r="Y268">
            <v>6722.9459400846354</v>
          </cell>
          <cell r="Z268">
            <v>6861.7784227451157</v>
          </cell>
          <cell r="AA268">
            <v>6955.8284829545846</v>
          </cell>
          <cell r="AB268">
            <v>6957.0865987713378</v>
          </cell>
          <cell r="AC268">
            <v>6912.3452832716694</v>
          </cell>
          <cell r="AD268">
            <v>6996.4987096325658</v>
          </cell>
          <cell r="AE268">
            <v>7149.722042615902</v>
          </cell>
        </row>
        <row r="269">
          <cell r="G269">
            <v>534.44742790618818</v>
          </cell>
          <cell r="H269">
            <v>549.59350482299533</v>
          </cell>
          <cell r="I269">
            <v>558.80354351382152</v>
          </cell>
          <cell r="J269">
            <v>563.62274980553275</v>
          </cell>
          <cell r="K269">
            <v>587.5147936961863</v>
          </cell>
          <cell r="L269">
            <v>579.97784016970309</v>
          </cell>
          <cell r="M269">
            <v>560.90805620046797</v>
          </cell>
          <cell r="N269">
            <v>573.68000690966471</v>
          </cell>
          <cell r="O269">
            <v>553.53475886949707</v>
          </cell>
          <cell r="P269">
            <v>576.68826299924194</v>
          </cell>
          <cell r="Q269">
            <v>617.12387357911405</v>
          </cell>
          <cell r="R269">
            <v>611.47974591985735</v>
          </cell>
          <cell r="S269">
            <v>612.49116303855203</v>
          </cell>
          <cell r="T269">
            <v>617.39099685506926</v>
          </cell>
          <cell r="U269">
            <v>625.42155541820807</v>
          </cell>
          <cell r="V269">
            <v>634.89317973156528</v>
          </cell>
          <cell r="W269">
            <v>649.66639439859387</v>
          </cell>
          <cell r="X269">
            <v>664.18689457805033</v>
          </cell>
          <cell r="Y269">
            <v>675.222447049018</v>
          </cell>
          <cell r="Z269">
            <v>689.29368563316996</v>
          </cell>
          <cell r="AA269">
            <v>708.88049415932687</v>
          </cell>
          <cell r="AB269">
            <v>715.26417571277989</v>
          </cell>
          <cell r="AC269">
            <v>712.08311568624777</v>
          </cell>
          <cell r="AD269">
            <v>720.56979461845128</v>
          </cell>
          <cell r="AE269">
            <v>738.00039313122193</v>
          </cell>
        </row>
        <row r="270">
          <cell r="G270">
            <v>3115.2089672205038</v>
          </cell>
          <cell r="H270">
            <v>3197.5651166446492</v>
          </cell>
          <cell r="I270">
            <v>3229.0497286223444</v>
          </cell>
          <cell r="J270">
            <v>3272.3257565644481</v>
          </cell>
          <cell r="K270">
            <v>3286.9654885929872</v>
          </cell>
          <cell r="L270">
            <v>3293.264126133221</v>
          </cell>
          <cell r="M270">
            <v>3300.0809674539782</v>
          </cell>
          <cell r="N270">
            <v>3451.930911696365</v>
          </cell>
          <cell r="O270">
            <v>3297.3681869148945</v>
          </cell>
          <cell r="P270">
            <v>3489.5232829070401</v>
          </cell>
          <cell r="Q270">
            <v>3673.2929341504673</v>
          </cell>
          <cell r="R270">
            <v>3717.6174958107317</v>
          </cell>
          <cell r="S270">
            <v>3800.0880835238581</v>
          </cell>
          <cell r="T270">
            <v>3887.0650904153217</v>
          </cell>
          <cell r="U270">
            <v>4056.124578585614</v>
          </cell>
          <cell r="V270">
            <v>4194.5406633190933</v>
          </cell>
          <cell r="W270">
            <v>4344.0884180067906</v>
          </cell>
          <cell r="X270">
            <v>4474.3387921523226</v>
          </cell>
          <cell r="Y270">
            <v>4678.5785905776456</v>
          </cell>
          <cell r="Z270">
            <v>5141.8087527319158</v>
          </cell>
          <cell r="AA270">
            <v>5563.8893544924167</v>
          </cell>
          <cell r="AB270">
            <v>5764.1241758474371</v>
          </cell>
          <cell r="AC270">
            <v>5987.6855187118917</v>
          </cell>
          <cell r="AD270">
            <v>6250.8438285058528</v>
          </cell>
          <cell r="AE270">
            <v>6624.8401927575715</v>
          </cell>
        </row>
        <row r="271">
          <cell r="G271">
            <v>11420.491920913755</v>
          </cell>
          <cell r="H271">
            <v>11592.720625003223</v>
          </cell>
          <cell r="I271">
            <v>11658.563357544677</v>
          </cell>
          <cell r="J271">
            <v>11749.065090113814</v>
          </cell>
          <cell r="K271">
            <v>11779.680679758576</v>
          </cell>
          <cell r="L271">
            <v>11687.872839212228</v>
          </cell>
          <cell r="M271">
            <v>11490.221763086443</v>
          </cell>
          <cell r="N271">
            <v>11768.452142521628</v>
          </cell>
          <cell r="O271">
            <v>11179.822225067792</v>
          </cell>
          <cell r="P271">
            <v>11601.176974790342</v>
          </cell>
          <cell r="Q271">
            <v>12023.171597635273</v>
          </cell>
          <cell r="R271">
            <v>12026.872322236679</v>
          </cell>
          <cell r="S271">
            <v>12163.184919060364</v>
          </cell>
          <cell r="T271">
            <v>12304.230792458153</v>
          </cell>
          <cell r="U271">
            <v>12644.901097631564</v>
          </cell>
          <cell r="V271">
            <v>12931.671530017473</v>
          </cell>
          <cell r="W271">
            <v>13317.881753484435</v>
          </cell>
          <cell r="X271">
            <v>13653.779577349764</v>
          </cell>
          <cell r="Y271">
            <v>14138.492855194008</v>
          </cell>
          <cell r="Z271">
            <v>14622.668209005438</v>
          </cell>
          <cell r="AA271">
            <v>15006.014751748147</v>
          </cell>
          <cell r="AB271">
            <v>15029.928175957646</v>
          </cell>
          <cell r="AC271">
            <v>15034.086030244467</v>
          </cell>
          <cell r="AD271">
            <v>15245.007781740544</v>
          </cell>
          <cell r="AE271">
            <v>15663.703138796815</v>
          </cell>
        </row>
        <row r="272">
          <cell r="G272">
            <v>3691.5192148666688</v>
          </cell>
          <cell r="H272">
            <v>3753.6667501636275</v>
          </cell>
          <cell r="I272">
            <v>3908.1283727573941</v>
          </cell>
          <cell r="J272">
            <v>3990.3782404125386</v>
          </cell>
          <cell r="K272">
            <v>4054.2488327687715</v>
          </cell>
          <cell r="L272">
            <v>4020.6948301558132</v>
          </cell>
          <cell r="M272">
            <v>3920.8513231352058</v>
          </cell>
          <cell r="N272">
            <v>4041.18327816493</v>
          </cell>
          <cell r="O272">
            <v>3904.2872844354733</v>
          </cell>
          <cell r="P272">
            <v>3990.4226943218055</v>
          </cell>
          <cell r="Q272">
            <v>4159.7894375329506</v>
          </cell>
          <cell r="R272">
            <v>4196.5362378426089</v>
          </cell>
          <cell r="S272">
            <v>4339.6995561507783</v>
          </cell>
          <cell r="T272">
            <v>4479.5142833859791</v>
          </cell>
          <cell r="U272">
            <v>4693.9937824858698</v>
          </cell>
          <cell r="V272">
            <v>4845.6041433523815</v>
          </cell>
          <cell r="W272">
            <v>4995.1928652936713</v>
          </cell>
          <cell r="X272">
            <v>5242.7236629585241</v>
          </cell>
          <cell r="Y272">
            <v>5545.2672924388035</v>
          </cell>
          <cell r="Z272">
            <v>5673.8896302172889</v>
          </cell>
          <cell r="AA272">
            <v>5924.0874725941449</v>
          </cell>
          <cell r="AB272">
            <v>5934.4464396809926</v>
          </cell>
          <cell r="AC272">
            <v>5912.4372921907834</v>
          </cell>
          <cell r="AD272">
            <v>6006.6769874874071</v>
          </cell>
          <cell r="AE272">
            <v>6164.8604393322439</v>
          </cell>
        </row>
        <row r="273">
          <cell r="G273">
            <v>17497.207948601801</v>
          </cell>
          <cell r="H273">
            <v>17791.777280438058</v>
          </cell>
          <cell r="I273">
            <v>18901.054967077107</v>
          </cell>
          <cell r="J273">
            <v>19491.738538742164</v>
          </cell>
          <cell r="K273">
            <v>19950.42997123814</v>
          </cell>
          <cell r="L273">
            <v>19905.594194185171</v>
          </cell>
          <cell r="M273">
            <v>19584.467713881531</v>
          </cell>
          <cell r="N273">
            <v>20522.118178496305</v>
          </cell>
          <cell r="O273">
            <v>20034.834221414225</v>
          </cell>
          <cell r="P273">
            <v>20616.976813630718</v>
          </cell>
          <cell r="Q273">
            <v>21762.89295682016</v>
          </cell>
          <cell r="R273">
            <v>22193.060520158731</v>
          </cell>
          <cell r="S273">
            <v>23288.74802317745</v>
          </cell>
          <cell r="T273">
            <v>24369.151315222582</v>
          </cell>
          <cell r="U273">
            <v>25933.512365323673</v>
          </cell>
          <cell r="V273">
            <v>27027.347784204048</v>
          </cell>
          <cell r="W273">
            <v>28045.729928476008</v>
          </cell>
          <cell r="X273">
            <v>28851.325810615399</v>
          </cell>
          <cell r="Y273">
            <v>28873.897229677121</v>
          </cell>
          <cell r="Z273">
            <v>29028.51577124407</v>
          </cell>
          <cell r="AA273">
            <v>28959.754956209981</v>
          </cell>
          <cell r="AB273">
            <v>28706.819769662256</v>
          </cell>
          <cell r="AC273">
            <v>28180.95717693547</v>
          </cell>
          <cell r="AD273">
            <v>28203.027422428651</v>
          </cell>
          <cell r="AE273">
            <v>28506.77394470897</v>
          </cell>
        </row>
        <row r="276">
          <cell r="G276">
            <v>53708.756626847957</v>
          </cell>
          <cell r="H276">
            <v>50349.464058565485</v>
          </cell>
          <cell r="I276">
            <v>50585.765733522334</v>
          </cell>
          <cell r="J276">
            <v>50756.917170227302</v>
          </cell>
          <cell r="K276">
            <v>50890.56319950617</v>
          </cell>
          <cell r="L276">
            <v>50409.683971895211</v>
          </cell>
          <cell r="M276">
            <v>49748.857660934671</v>
          </cell>
          <cell r="N276">
            <v>51074.418525560905</v>
          </cell>
          <cell r="O276">
            <v>50637.294229816769</v>
          </cell>
          <cell r="P276">
            <v>51882.363343747689</v>
          </cell>
          <cell r="Q276">
            <v>53040.286432316985</v>
          </cell>
          <cell r="R276">
            <v>53738.485192411041</v>
          </cell>
          <cell r="S276">
            <v>55949.769545049654</v>
          </cell>
          <cell r="T276">
            <v>57329.270888827872</v>
          </cell>
          <cell r="U276">
            <v>59883.340093594605</v>
          </cell>
          <cell r="V276">
            <v>62238.988957004687</v>
          </cell>
          <cell r="W276">
            <v>64365.633187934131</v>
          </cell>
          <cell r="X276">
            <v>65570.953790492698</v>
          </cell>
          <cell r="Y276">
            <v>67305.727422033131</v>
          </cell>
          <cell r="Z276">
            <v>68196.039917622096</v>
          </cell>
          <cell r="AA276">
            <v>68883.240349581378</v>
          </cell>
          <cell r="AB276">
            <v>68252.643635550878</v>
          </cell>
          <cell r="AC276">
            <v>68712.851087571893</v>
          </cell>
          <cell r="AD276">
            <v>69589.365365579099</v>
          </cell>
          <cell r="AE276">
            <v>71181.30416701932</v>
          </cell>
        </row>
        <row r="277">
          <cell r="G277">
            <v>18897.525479816875</v>
          </cell>
          <cell r="H277">
            <v>22684.496812891877</v>
          </cell>
          <cell r="I277">
            <v>22790.96040079034</v>
          </cell>
          <cell r="J277">
            <v>22868.071136585651</v>
          </cell>
          <cell r="K277">
            <v>22928.284149413474</v>
          </cell>
          <cell r="L277">
            <v>22711.628351579398</v>
          </cell>
          <cell r="M277">
            <v>22413.899018702621</v>
          </cell>
          <cell r="N277">
            <v>23011.11850794945</v>
          </cell>
          <cell r="O277">
            <v>22814.176099940669</v>
          </cell>
          <cell r="P277">
            <v>23375.130757053677</v>
          </cell>
          <cell r="Q277">
            <v>23896.822558612297</v>
          </cell>
          <cell r="R277">
            <v>24211.389711297299</v>
          </cell>
          <cell r="S277">
            <v>25207.663927671896</v>
          </cell>
          <cell r="T277">
            <v>25829.18581318625</v>
          </cell>
          <cell r="U277">
            <v>26979.898652314874</v>
          </cell>
          <cell r="V277">
            <v>28041.214996658913</v>
          </cell>
          <cell r="W277">
            <v>28999.35536976318</v>
          </cell>
          <cell r="X277">
            <v>29542.401693661457</v>
          </cell>
          <cell r="Y277">
            <v>30323.988303401613</v>
          </cell>
          <cell r="Z277">
            <v>31006.105312805237</v>
          </cell>
          <cell r="AA277">
            <v>31737.357087980727</v>
          </cell>
          <cell r="AB277">
            <v>31853.529467166318</v>
          </cell>
          <cell r="AC277">
            <v>32575.680823859493</v>
          </cell>
          <cell r="AD277">
            <v>33518.523530953906</v>
          </cell>
          <cell r="AE277">
            <v>34882.341931854091</v>
          </cell>
        </row>
        <row r="278">
          <cell r="G278">
            <v>26854.378313423978</v>
          </cell>
          <cell r="H278">
            <v>26617.32886145165</v>
          </cell>
          <cell r="I278">
            <v>26742.250139372747</v>
          </cell>
          <cell r="J278">
            <v>26832.72963426046</v>
          </cell>
          <cell r="K278">
            <v>26903.381832428946</v>
          </cell>
          <cell r="L278">
            <v>26649.16421992223</v>
          </cell>
          <cell r="M278">
            <v>26299.817279134986</v>
          </cell>
          <cell r="N278">
            <v>27000.577259789123</v>
          </cell>
          <cell r="O278">
            <v>26769.490765608803</v>
          </cell>
          <cell r="P278">
            <v>27427.698646872188</v>
          </cell>
          <cell r="Q278">
            <v>28039.836635250114</v>
          </cell>
          <cell r="R278">
            <v>28408.940584131567</v>
          </cell>
          <cell r="S278">
            <v>29577.939776494393</v>
          </cell>
          <cell r="T278">
            <v>30307.215482179141</v>
          </cell>
          <cell r="U278">
            <v>31657.428463177443</v>
          </cell>
          <cell r="V278">
            <v>32902.746196978107</v>
          </cell>
          <cell r="W278">
            <v>34027.00024663622</v>
          </cell>
          <cell r="X278">
            <v>34664.19501050633</v>
          </cell>
          <cell r="Y278">
            <v>35581.286008678158</v>
          </cell>
          <cell r="Z278">
            <v>36083.497426165137</v>
          </cell>
          <cell r="AA278">
            <v>36494.12300096816</v>
          </cell>
          <cell r="AB278">
            <v>36205.695140698299</v>
          </cell>
          <cell r="AC278">
            <v>36506.780251500866</v>
          </cell>
          <cell r="AD278">
            <v>37031.665828922414</v>
          </cell>
          <cell r="AE278">
            <v>37945.836580810574</v>
          </cell>
        </row>
        <row r="279">
          <cell r="G279">
            <v>2899.3137186553386</v>
          </cell>
          <cell r="H279">
            <v>4653.2063275829678</v>
          </cell>
          <cell r="I279">
            <v>4722.1827958588665</v>
          </cell>
          <cell r="J279">
            <v>4803.0505198635774</v>
          </cell>
          <cell r="K279">
            <v>4864.1054718609148</v>
          </cell>
          <cell r="L279">
            <v>4847.1465088239911</v>
          </cell>
          <cell r="M279">
            <v>4921.2901977497777</v>
          </cell>
          <cell r="N279">
            <v>5132.826898850004</v>
          </cell>
          <cell r="O279">
            <v>5165.3941277993135</v>
          </cell>
          <cell r="P279">
            <v>5307.180926289423</v>
          </cell>
          <cell r="Q279">
            <v>5413.9324826064094</v>
          </cell>
          <cell r="R279">
            <v>5527.7892431994651</v>
          </cell>
          <cell r="S279">
            <v>5793.8879649185292</v>
          </cell>
          <cell r="T279">
            <v>6012.6273752844645</v>
          </cell>
          <cell r="U279">
            <v>6396.3583829453282</v>
          </cell>
          <cell r="V279">
            <v>6644.3243452930392</v>
          </cell>
          <cell r="W279">
            <v>6897.2765527024421</v>
          </cell>
          <cell r="X279">
            <v>7099.8649378566442</v>
          </cell>
          <cell r="Y279">
            <v>7280.7841604239902</v>
          </cell>
          <cell r="Z279">
            <v>7440.8024860006608</v>
          </cell>
          <cell r="AA279">
            <v>7753.3183815559305</v>
          </cell>
          <cell r="AB279">
            <v>7831.6449985303652</v>
          </cell>
          <cell r="AC279">
            <v>8006.5157584517292</v>
          </cell>
          <cell r="AD279">
            <v>8228.1687845852503</v>
          </cell>
          <cell r="AE279">
            <v>8541.3880336494094</v>
          </cell>
        </row>
        <row r="280">
          <cell r="G280">
            <v>9277.8038996970827</v>
          </cell>
          <cell r="H280">
            <v>8594.3945235766678</v>
          </cell>
          <cell r="I280">
            <v>8721.7929107257623</v>
          </cell>
          <cell r="J280">
            <v>8871.1542489927488</v>
          </cell>
          <cell r="K280">
            <v>8983.9217276176933</v>
          </cell>
          <cell r="L280">
            <v>8952.5988055744328</v>
          </cell>
          <cell r="M280">
            <v>9089.5409631323892</v>
          </cell>
          <cell r="N280">
            <v>9480.2457239968408</v>
          </cell>
          <cell r="O280">
            <v>9540.3968530088641</v>
          </cell>
          <cell r="P280">
            <v>9802.2747064011619</v>
          </cell>
          <cell r="Q280">
            <v>9999.4430514959204</v>
          </cell>
          <cell r="R280">
            <v>10209.734590453189</v>
          </cell>
          <cell r="S280">
            <v>10701.214493916017</v>
          </cell>
          <cell r="T280">
            <v>11105.222538733551</v>
          </cell>
          <cell r="U280">
            <v>11813.967313539215</v>
          </cell>
          <cell r="V280">
            <v>12271.956312694891</v>
          </cell>
          <cell r="W280">
            <v>12739.154823364681</v>
          </cell>
          <cell r="X280">
            <v>13113.332193834716</v>
          </cell>
          <cell r="Y280">
            <v>13447.486982206243</v>
          </cell>
          <cell r="Z280">
            <v>13640.857864027112</v>
          </cell>
          <cell r="AA280">
            <v>13872.69083053642</v>
          </cell>
          <cell r="AB280">
            <v>13796.657277388424</v>
          </cell>
          <cell r="AC280">
            <v>13921.166336675924</v>
          </cell>
          <cell r="AD280">
            <v>14127.797044953708</v>
          </cell>
          <cell r="AE280">
            <v>14478.709794728822</v>
          </cell>
        </row>
        <row r="281">
          <cell r="G281">
            <v>2319.4509749242707</v>
          </cell>
          <cell r="H281">
            <v>2148.5986308941669</v>
          </cell>
          <cell r="I281">
            <v>2180.4482276814406</v>
          </cell>
          <cell r="J281">
            <v>2217.7885622481872</v>
          </cell>
          <cell r="K281">
            <v>2245.9804319044233</v>
          </cell>
          <cell r="L281">
            <v>2238.1497013936082</v>
          </cell>
          <cell r="M281">
            <v>2272.3852407830973</v>
          </cell>
          <cell r="N281">
            <v>2370.0614309992102</v>
          </cell>
          <cell r="O281">
            <v>2385.099213252216</v>
          </cell>
          <cell r="P281">
            <v>2450.5686766002905</v>
          </cell>
          <cell r="Q281">
            <v>2499.8607628739801</v>
          </cell>
          <cell r="R281">
            <v>2552.4336476132971</v>
          </cell>
          <cell r="S281">
            <v>2675.3036234790043</v>
          </cell>
          <cell r="T281">
            <v>2776.3056346833878</v>
          </cell>
          <cell r="U281">
            <v>2953.4918283848037</v>
          </cell>
          <cell r="V281">
            <v>3067.9890781737226</v>
          </cell>
          <cell r="W281">
            <v>3184.7887058411702</v>
          </cell>
          <cell r="X281">
            <v>3278.3330484586791</v>
          </cell>
          <cell r="Y281">
            <v>3361.8717455515607</v>
          </cell>
          <cell r="Z281">
            <v>3632.5223696265007</v>
          </cell>
          <cell r="AA281">
            <v>4441.9015054216325</v>
          </cell>
          <cell r="AB281">
            <v>4903.0609251577835</v>
          </cell>
          <cell r="AC281">
            <v>5365.9975567944002</v>
          </cell>
          <cell r="AD281">
            <v>5858.7859645388498</v>
          </cell>
          <cell r="AE281">
            <v>6441.6862271514865</v>
          </cell>
        </row>
        <row r="282">
          <cell r="G282">
            <v>4832.1895310922318</v>
          </cell>
          <cell r="H282">
            <v>4148.337474535304</v>
          </cell>
          <cell r="I282">
            <v>4209.8300557934908</v>
          </cell>
          <cell r="J282">
            <v>4281.9237018415006</v>
          </cell>
          <cell r="K282">
            <v>4336.3542444708164</v>
          </cell>
          <cell r="L282">
            <v>4321.2353142230195</v>
          </cell>
          <cell r="M282">
            <v>4387.3344771696347</v>
          </cell>
          <cell r="N282">
            <v>4575.9196295648571</v>
          </cell>
          <cell r="O282">
            <v>4604.9533424031115</v>
          </cell>
          <cell r="P282">
            <v>4731.3563961607624</v>
          </cell>
          <cell r="Q282">
            <v>4826.5255011518029</v>
          </cell>
          <cell r="R282">
            <v>4928.0289019138954</v>
          </cell>
          <cell r="S282">
            <v>5165.2561429862953</v>
          </cell>
          <cell r="T282">
            <v>5360.2625169353532</v>
          </cell>
          <cell r="U282">
            <v>5702.3590428909547</v>
          </cell>
          <cell r="V282">
            <v>5923.4209132659416</v>
          </cell>
          <cell r="W282">
            <v>6148.928025435609</v>
          </cell>
          <cell r="X282">
            <v>6329.5357464083654</v>
          </cell>
          <cell r="Y282">
            <v>6490.8253901516618</v>
          </cell>
          <cell r="Z282">
            <v>6641.7124607483611</v>
          </cell>
          <cell r="AA282">
            <v>6948.1408095370089</v>
          </cell>
          <cell r="AB282">
            <v>7035.7465017183213</v>
          </cell>
          <cell r="AC282">
            <v>7207.6309870677396</v>
          </cell>
          <cell r="AD282">
            <v>7421.5670118882181</v>
          </cell>
          <cell r="AE282">
            <v>7719.1351981849666</v>
          </cell>
        </row>
        <row r="283">
          <cell r="G283">
            <v>52715.95523740026</v>
          </cell>
          <cell r="H283">
            <v>52972.193082349717</v>
          </cell>
          <cell r="I283">
            <v>53212.466582069668</v>
          </cell>
          <cell r="J283">
            <v>53938.137008894228</v>
          </cell>
          <cell r="K283">
            <v>54658.14918677666</v>
          </cell>
          <cell r="L283">
            <v>54742.833531026023</v>
          </cell>
          <cell r="M283">
            <v>54443.844986943564</v>
          </cell>
          <cell r="N283">
            <v>55849.634953873981</v>
          </cell>
          <cell r="O283">
            <v>55878.248310892755</v>
          </cell>
          <cell r="P283">
            <v>57396.258918086387</v>
          </cell>
          <cell r="Q283">
            <v>58035.309287294032</v>
          </cell>
          <cell r="R283">
            <v>59654.398509755512</v>
          </cell>
          <cell r="S283">
            <v>62104.8709686109</v>
          </cell>
          <cell r="T283">
            <v>63526.574546607473</v>
          </cell>
          <cell r="U283">
            <v>65957.962889180169</v>
          </cell>
          <cell r="V283">
            <v>68171.241513705259</v>
          </cell>
          <cell r="W283">
            <v>70617.724740144578</v>
          </cell>
          <cell r="X283">
            <v>71464.039108899116</v>
          </cell>
          <cell r="Y283">
            <v>72789.143125892486</v>
          </cell>
          <cell r="Z283">
            <v>75215.745131270101</v>
          </cell>
          <cell r="AA283">
            <v>76186.560911929831</v>
          </cell>
          <cell r="AB283">
            <v>76853.980700327316</v>
          </cell>
          <cell r="AC283">
            <v>77917.122126248083</v>
          </cell>
          <cell r="AD283">
            <v>79216.483772401363</v>
          </cell>
          <cell r="AE283">
            <v>81328.70406933871</v>
          </cell>
        </row>
        <row r="284">
          <cell r="G284">
            <v>12325.222891105739</v>
          </cell>
          <cell r="H284">
            <v>12411.478571584297</v>
          </cell>
          <cell r="I284">
            <v>12492.3602782791</v>
          </cell>
          <cell r="J284">
            <v>12736.637997994008</v>
          </cell>
          <cell r="K284">
            <v>12979.011018139992</v>
          </cell>
          <cell r="L284">
            <v>13082.905311561863</v>
          </cell>
          <cell r="M284">
            <v>13062.787028174751</v>
          </cell>
          <cell r="N284">
            <v>13424.845554871805</v>
          </cell>
          <cell r="O284">
            <v>13548.59001540821</v>
          </cell>
          <cell r="P284">
            <v>13980.657672693853</v>
          </cell>
          <cell r="Q284">
            <v>14151.634240852109</v>
          </cell>
          <cell r="R284">
            <v>14662.608287554143</v>
          </cell>
          <cell r="S284">
            <v>15342.221667490938</v>
          </cell>
          <cell r="T284">
            <v>15752.539658883021</v>
          </cell>
          <cell r="U284">
            <v>16413.182641424464</v>
          </cell>
          <cell r="V284">
            <v>17008.725904970168</v>
          </cell>
          <cell r="W284">
            <v>17714.846912884725</v>
          </cell>
          <cell r="X284">
            <v>18311.517709238116</v>
          </cell>
          <cell r="Y284">
            <v>18790.104072193208</v>
          </cell>
          <cell r="Z284">
            <v>19448.410032238226</v>
          </cell>
          <cell r="AA284">
            <v>20279.403781524616</v>
          </cell>
          <cell r="AB284">
            <v>20865.767577195416</v>
          </cell>
          <cell r="AC284">
            <v>21460.307798955622</v>
          </cell>
          <cell r="AD284">
            <v>22071.159594989709</v>
          </cell>
          <cell r="AE284">
            <v>22914.833275438461</v>
          </cell>
        </row>
        <row r="285">
          <cell r="G285">
            <v>4064.3381986614581</v>
          </cell>
          <cell r="H285">
            <v>4110.6155283892722</v>
          </cell>
          <cell r="I285">
            <v>4130.4447133594185</v>
          </cell>
          <cell r="J285">
            <v>4205.0534065292159</v>
          </cell>
          <cell r="K285">
            <v>4217.0450784455206</v>
          </cell>
          <cell r="L285">
            <v>4170.9267556090681</v>
          </cell>
          <cell r="M285">
            <v>4134.7945018280743</v>
          </cell>
          <cell r="N285">
            <v>4282.9160340500976</v>
          </cell>
          <cell r="O285">
            <v>4275.4670964137213</v>
          </cell>
          <cell r="P285">
            <v>4429.7057135800214</v>
          </cell>
          <cell r="Q285">
            <v>4571.3057004235488</v>
          </cell>
          <cell r="R285">
            <v>4650.7392960571424</v>
          </cell>
          <cell r="S285">
            <v>4871.7140546202527</v>
          </cell>
          <cell r="T285">
            <v>5071.655054028929</v>
          </cell>
          <cell r="U285">
            <v>5305.9233944586949</v>
          </cell>
          <cell r="V285">
            <v>5510.6914731726365</v>
          </cell>
          <cell r="W285">
            <v>5667.2540484688725</v>
          </cell>
          <cell r="X285">
            <v>5754.0571342942558</v>
          </cell>
          <cell r="Y285">
            <v>5912.2142025016201</v>
          </cell>
          <cell r="Z285">
            <v>6003.5111888109896</v>
          </cell>
          <cell r="AA285">
            <v>6134.9943818498568</v>
          </cell>
          <cell r="AB285">
            <v>6108.7349988576152</v>
          </cell>
          <cell r="AC285">
            <v>6173.6786485485254</v>
          </cell>
          <cell r="AD285">
            <v>6269.9374728963212</v>
          </cell>
          <cell r="AE285">
            <v>6430.4101834982612</v>
          </cell>
        </row>
        <row r="286">
          <cell r="G286">
            <v>23923.707463310635</v>
          </cell>
          <cell r="H286">
            <v>21647.641659652782</v>
          </cell>
          <cell r="I286">
            <v>22128.313168026249</v>
          </cell>
          <cell r="J286">
            <v>22691.850441645358</v>
          </cell>
          <cell r="K286">
            <v>23117.319831479061</v>
          </cell>
          <cell r="L286">
            <v>23149.057701051199</v>
          </cell>
          <cell r="M286">
            <v>23825.879336971771</v>
          </cell>
          <cell r="N286">
            <v>25078.936527734691</v>
          </cell>
          <cell r="O286">
            <v>25532.814116989506</v>
          </cell>
          <cell r="P286">
            <v>26363.909867431343</v>
          </cell>
          <cell r="Q286">
            <v>27020.037905563124</v>
          </cell>
          <cell r="R286">
            <v>27745.751550098303</v>
          </cell>
          <cell r="S286">
            <v>29311.199170970409</v>
          </cell>
          <cell r="T286">
            <v>30699.76709413149</v>
          </cell>
          <cell r="U286">
            <v>33060.000699184602</v>
          </cell>
          <cell r="V286">
            <v>34490.685630520056</v>
          </cell>
          <cell r="W286">
            <v>35472.814235427039</v>
          </cell>
          <cell r="X286">
            <v>35945.792596740102</v>
          </cell>
          <cell r="Y286">
            <v>36599.196670922705</v>
          </cell>
          <cell r="Z286">
            <v>37338.175449304828</v>
          </cell>
          <cell r="AA286">
            <v>37764.39848142652</v>
          </cell>
          <cell r="AB286">
            <v>37576.372594239103</v>
          </cell>
          <cell r="AC286">
            <v>37973.19540543147</v>
          </cell>
          <cell r="AD286">
            <v>38602.990098158494</v>
          </cell>
          <cell r="AE286">
            <v>39622.564281848492</v>
          </cell>
        </row>
        <row r="287">
          <cell r="G287">
            <v>996.27006530550568</v>
          </cell>
          <cell r="H287">
            <v>1459.1695219378896</v>
          </cell>
          <cell r="I287">
            <v>1491.5694122404775</v>
          </cell>
          <cell r="J287">
            <v>1529.5549086316887</v>
          </cell>
          <cell r="K287">
            <v>1558.2338740323387</v>
          </cell>
          <cell r="L287">
            <v>1560.3731801377803</v>
          </cell>
          <cell r="M287">
            <v>1605.9946625352893</v>
          </cell>
          <cell r="N287">
            <v>1690.4575749741171</v>
          </cell>
          <cell r="O287">
            <v>1721.0514084892775</v>
          </cell>
          <cell r="P287">
            <v>1777.0718105230519</v>
          </cell>
          <cell r="Q287">
            <v>1821.2984311768487</v>
          </cell>
          <cell r="R287">
            <v>1870.2155025331188</v>
          </cell>
          <cell r="S287">
            <v>1975.7352396241201</v>
          </cell>
          <cell r="T287">
            <v>2069.3323170551284</v>
          </cell>
          <cell r="U287">
            <v>2228.4249792163846</v>
          </cell>
          <cell r="V287">
            <v>2324.8609734979896</v>
          </cell>
          <cell r="W287">
            <v>2391.0618165013484</v>
          </cell>
          <cell r="X287">
            <v>2422.9431465887023</v>
          </cell>
          <cell r="Y287">
            <v>2466.986157164506</v>
          </cell>
          <cell r="Z287">
            <v>2548.1271595340168</v>
          </cell>
          <cell r="AA287">
            <v>2591.155501135403</v>
          </cell>
          <cell r="AB287">
            <v>2602.4683840851649</v>
          </cell>
          <cell r="AC287">
            <v>2654.8483583836405</v>
          </cell>
          <cell r="AD287">
            <v>2724.2999372452</v>
          </cell>
          <cell r="AE287">
            <v>2822.2253817942296</v>
          </cell>
        </row>
        <row r="288">
          <cell r="G288">
            <v>6892.3787896395215</v>
          </cell>
          <cell r="H288">
            <v>6928.1609750366788</v>
          </cell>
          <cell r="I288">
            <v>6982.6206747894967</v>
          </cell>
          <cell r="J288">
            <v>7002.6744270450472</v>
          </cell>
          <cell r="K288">
            <v>7017.2232277010353</v>
          </cell>
          <cell r="L288">
            <v>6982.0498196612562</v>
          </cell>
          <cell r="M288">
            <v>6901.8684594309616</v>
          </cell>
          <cell r="N288">
            <v>7198.137989982336</v>
          </cell>
          <cell r="O288">
            <v>7124.1508540068598</v>
          </cell>
          <cell r="P288">
            <v>7324.0058826836794</v>
          </cell>
          <cell r="Q288">
            <v>7473.4110288347356</v>
          </cell>
          <cell r="R288">
            <v>7621.4968117202607</v>
          </cell>
          <cell r="S288">
            <v>7927.3463352318622</v>
          </cell>
          <cell r="T288">
            <v>8076.0865137607298</v>
          </cell>
          <cell r="U288">
            <v>8366.4477846220634</v>
          </cell>
          <cell r="V288">
            <v>8638.4901170356188</v>
          </cell>
          <cell r="W288">
            <v>8983.0887739326063</v>
          </cell>
          <cell r="X288">
            <v>9271.6822999805772</v>
          </cell>
          <cell r="Y288">
            <v>9518.2206653226694</v>
          </cell>
          <cell r="Z288">
            <v>10391.498689374765</v>
          </cell>
          <cell r="AA288">
            <v>13044.720292089158</v>
          </cell>
          <cell r="AB288">
            <v>14581.489120295437</v>
          </cell>
          <cell r="AC288">
            <v>16100.012982795835</v>
          </cell>
          <cell r="AD288">
            <v>17707.540694802836</v>
          </cell>
          <cell r="AE288">
            <v>19596.207526869926</v>
          </cell>
        </row>
        <row r="289">
          <cell r="G289">
            <v>1781.7556093565017</v>
          </cell>
          <cell r="H289">
            <v>1783.0538360074877</v>
          </cell>
          <cell r="I289">
            <v>1788.8878421921647</v>
          </cell>
          <cell r="J289">
            <v>1807.4316475648882</v>
          </cell>
          <cell r="K289">
            <v>1812.4722930184073</v>
          </cell>
          <cell r="L289">
            <v>1793.6088525783809</v>
          </cell>
          <cell r="M289">
            <v>1774.6486729597157</v>
          </cell>
          <cell r="N289">
            <v>1823.0509687537462</v>
          </cell>
          <cell r="O289">
            <v>1794.2995981969964</v>
          </cell>
          <cell r="P289">
            <v>1840.40380825741</v>
          </cell>
          <cell r="Q289">
            <v>1872.8279339126823</v>
          </cell>
          <cell r="R289">
            <v>1897.4249208326673</v>
          </cell>
          <cell r="S289">
            <v>1968.2360718720968</v>
          </cell>
          <cell r="T289">
            <v>2005.124253123417</v>
          </cell>
          <cell r="U289">
            <v>2074.6913217054471</v>
          </cell>
          <cell r="V289">
            <v>2157.0993395020882</v>
          </cell>
          <cell r="W289">
            <v>2230.5387643737845</v>
          </cell>
          <cell r="X289">
            <v>2244.3283016341893</v>
          </cell>
          <cell r="Y289">
            <v>2286.2415552117754</v>
          </cell>
          <cell r="Z289">
            <v>2326.3694648036135</v>
          </cell>
          <cell r="AA289">
            <v>2374.7982364656368</v>
          </cell>
          <cell r="AB289">
            <v>2372.028004997203</v>
          </cell>
          <cell r="AC289">
            <v>2401.8374704377493</v>
          </cell>
          <cell r="AD289">
            <v>2445.1309775396853</v>
          </cell>
          <cell r="AE289">
            <v>2516.1911582055527</v>
          </cell>
        </row>
        <row r="290">
          <cell r="G290">
            <v>2766.2306421587773</v>
          </cell>
          <cell r="H290">
            <v>2818.4580776956645</v>
          </cell>
          <cell r="I290">
            <v>2891.2487001949826</v>
          </cell>
          <cell r="J290">
            <v>2928.2449547405686</v>
          </cell>
          <cell r="K290">
            <v>2963.6022730245368</v>
          </cell>
          <cell r="L290">
            <v>2967.139006534268</v>
          </cell>
          <cell r="M290">
            <v>2966.3889493279867</v>
          </cell>
          <cell r="N290">
            <v>3122.6086524580405</v>
          </cell>
          <cell r="O290">
            <v>3102.4778216604896</v>
          </cell>
          <cell r="P290">
            <v>3203.2341197678347</v>
          </cell>
          <cell r="Q290">
            <v>3308.1437877260823</v>
          </cell>
          <cell r="R290">
            <v>3416.7948674728191</v>
          </cell>
          <cell r="S290">
            <v>3565.1526112071565</v>
          </cell>
          <cell r="T290">
            <v>3680.8949130500373</v>
          </cell>
          <cell r="U290">
            <v>3890.9266215566536</v>
          </cell>
          <cell r="V290">
            <v>4108.0317271811991</v>
          </cell>
          <cell r="W290">
            <v>4297.4681162204697</v>
          </cell>
          <cell r="X290">
            <v>4366.5805978291328</v>
          </cell>
          <cell r="Y290">
            <v>4487.4959667609901</v>
          </cell>
          <cell r="Z290">
            <v>4926.8541427762138</v>
          </cell>
          <cell r="AA290">
            <v>5327.6338130134527</v>
          </cell>
          <cell r="AB290">
            <v>5467.5606581810716</v>
          </cell>
          <cell r="AC290">
            <v>5692.4167839611218</v>
          </cell>
          <cell r="AD290">
            <v>6015.7371534228814</v>
          </cell>
          <cell r="AE290">
            <v>6447.6555798742547</v>
          </cell>
        </row>
        <row r="291">
          <cell r="G291">
            <v>4846.9173570763787</v>
          </cell>
          <cell r="H291">
            <v>5008.2207596646458</v>
          </cell>
          <cell r="I291">
            <v>5233.033158836829</v>
          </cell>
          <cell r="J291">
            <v>5347.2953599171369</v>
          </cell>
          <cell r="K291">
            <v>5456.4957387404911</v>
          </cell>
          <cell r="L291">
            <v>5518.8324925047837</v>
          </cell>
          <cell r="M291">
            <v>5571.4355115558528</v>
          </cell>
          <cell r="N291">
            <v>5978.1045452741855</v>
          </cell>
          <cell r="O291">
            <v>5993.7545762651171</v>
          </cell>
          <cell r="P291">
            <v>6251.1086086014566</v>
          </cell>
          <cell r="Q291">
            <v>6545.0150556943636</v>
          </cell>
          <cell r="R291">
            <v>6857.360364281305</v>
          </cell>
          <cell r="S291">
            <v>7216.4853030157956</v>
          </cell>
          <cell r="T291">
            <v>7527.399842884297</v>
          </cell>
          <cell r="U291">
            <v>8068.4471852160214</v>
          </cell>
          <cell r="V291">
            <v>8637.0155147854675</v>
          </cell>
          <cell r="W291">
            <v>9132.2699067393223</v>
          </cell>
          <cell r="X291">
            <v>9334.210585621915</v>
          </cell>
          <cell r="Y291">
            <v>9652.3734184585046</v>
          </cell>
          <cell r="Z291">
            <v>10129.531809913426</v>
          </cell>
          <cell r="AA291">
            <v>10549.414687247838</v>
          </cell>
          <cell r="AB291">
            <v>10617.785206666567</v>
          </cell>
          <cell r="AC291">
            <v>10850.415661333316</v>
          </cell>
          <cell r="AD291">
            <v>11208.394192480373</v>
          </cell>
          <cell r="AE291">
            <v>11723.25428099248</v>
          </cell>
        </row>
        <row r="292">
          <cell r="G292">
            <v>8982.682049718147</v>
          </cell>
          <cell r="H292">
            <v>9133.9571886090871</v>
          </cell>
          <cell r="I292">
            <v>9228.0551391407607</v>
          </cell>
          <cell r="J292">
            <v>9325.9303391624871</v>
          </cell>
          <cell r="K292">
            <v>9435.3594788008522</v>
          </cell>
          <cell r="L292">
            <v>9402.5029670648019</v>
          </cell>
          <cell r="M292">
            <v>9317.0133829133265</v>
          </cell>
          <cell r="N292">
            <v>9594.8534284338602</v>
          </cell>
          <cell r="O292">
            <v>9549.1543135264837</v>
          </cell>
          <cell r="P292">
            <v>9905.9247494187312</v>
          </cell>
          <cell r="Q292">
            <v>10179.873946420012</v>
          </cell>
          <cell r="R292">
            <v>10570.47967384969</v>
          </cell>
          <cell r="S292">
            <v>11214.050773343295</v>
          </cell>
          <cell r="T292">
            <v>11613.829592872014</v>
          </cell>
          <cell r="U292">
            <v>12097.143965452469</v>
          </cell>
          <cell r="V292">
            <v>12642.748453845543</v>
          </cell>
          <cell r="W292">
            <v>13013.240075139931</v>
          </cell>
          <cell r="X292">
            <v>13291.521251566393</v>
          </cell>
          <cell r="Y292">
            <v>13704.521907588638</v>
          </cell>
          <cell r="Z292">
            <v>14204.638505637235</v>
          </cell>
          <cell r="AA292">
            <v>14704.160551185496</v>
          </cell>
          <cell r="AB292">
            <v>14715.028570659057</v>
          </cell>
          <cell r="AC292">
            <v>14928.119440779048</v>
          </cell>
          <cell r="AD292">
            <v>15215.031073933886</v>
          </cell>
          <cell r="AE292">
            <v>15656.809695717346</v>
          </cell>
        </row>
        <row r="293">
          <cell r="G293">
            <v>11026.806939503975</v>
          </cell>
          <cell r="H293">
            <v>11212.506682861736</v>
          </cell>
          <cell r="I293">
            <v>11328.017832891619</v>
          </cell>
          <cell r="J293">
            <v>11448.165794138758</v>
          </cell>
          <cell r="K293">
            <v>11582.496942638683</v>
          </cell>
          <cell r="L293">
            <v>11542.163508858694</v>
          </cell>
          <cell r="M293">
            <v>11437.219669751494</v>
          </cell>
          <cell r="N293">
            <v>11778.285792882729</v>
          </cell>
          <cell r="O293">
            <v>11722.187256320849</v>
          </cell>
          <cell r="P293">
            <v>12160.145395831078</v>
          </cell>
          <cell r="Q293">
            <v>12496.43525779497</v>
          </cell>
          <cell r="R293">
            <v>12975.92834482533</v>
          </cell>
          <cell r="S293">
            <v>13765.952329497366</v>
          </cell>
          <cell r="T293">
            <v>14256.705963773478</v>
          </cell>
          <cell r="U293">
            <v>14850.004741135788</v>
          </cell>
          <cell r="V293">
            <v>15519.768551714615</v>
          </cell>
          <cell r="W293">
            <v>15983.555698489869</v>
          </cell>
          <cell r="X293">
            <v>16194.710846388716</v>
          </cell>
          <cell r="Y293">
            <v>16576.532245536484</v>
          </cell>
          <cell r="Z293">
            <v>16934.510115706671</v>
          </cell>
          <cell r="AA293">
            <v>17217.490214471542</v>
          </cell>
          <cell r="AB293">
            <v>17241.166059223928</v>
          </cell>
          <cell r="AC293">
            <v>17506.071071606191</v>
          </cell>
          <cell r="AD293">
            <v>17889.73979428424</v>
          </cell>
          <cell r="AE293">
            <v>18472.572870047712</v>
          </cell>
        </row>
      </sheetData>
      <sheetData sheetId="8">
        <row r="20">
          <cell r="H20">
            <v>0.54056403834827815</v>
          </cell>
          <cell r="I20">
            <v>0.48200277076100684</v>
          </cell>
          <cell r="J20">
            <v>0.56609879065860214</v>
          </cell>
          <cell r="K20">
            <v>0.38751242004584513</v>
          </cell>
          <cell r="L20">
            <v>0.37711808922827855</v>
          </cell>
          <cell r="M20">
            <v>0.25636734424005708</v>
          </cell>
          <cell r="N20">
            <v>0.44466162759752242</v>
          </cell>
          <cell r="O20">
            <v>0.45536974953410997</v>
          </cell>
          <cell r="P20">
            <v>0.70573583862289258</v>
          </cell>
          <cell r="Q20">
            <v>0.32030228474056088</v>
          </cell>
          <cell r="R20">
            <v>0.45656607817537698</v>
          </cell>
          <cell r="S20">
            <v>0.54274096423648555</v>
          </cell>
          <cell r="T20">
            <v>0.5468986965635122</v>
          </cell>
          <cell r="U20">
            <v>0.68988938711233838</v>
          </cell>
          <cell r="V20">
            <v>0.53901469469811258</v>
          </cell>
          <cell r="W20">
            <v>0.3806850435515966</v>
          </cell>
          <cell r="X20">
            <v>0.49257182617893736</v>
          </cell>
          <cell r="Y20">
            <v>0.47062937090000179</v>
          </cell>
          <cell r="Z20">
            <v>0.56590400000000007</v>
          </cell>
          <cell r="AA20">
            <v>0.63572800000000007</v>
          </cell>
          <cell r="AB20">
            <v>0.55195677698180112</v>
          </cell>
          <cell r="AC20">
            <v>0.49509450059010646</v>
          </cell>
          <cell r="AD20">
            <v>0.48926806425812347</v>
          </cell>
          <cell r="AE20">
            <v>0.50707539425908554</v>
          </cell>
        </row>
        <row r="21">
          <cell r="H21">
            <v>0.40814400000000001</v>
          </cell>
          <cell r="I21">
            <v>0.39798</v>
          </cell>
          <cell r="J21">
            <v>0.425238</v>
          </cell>
          <cell r="K21">
            <v>0.88486200000000004</v>
          </cell>
          <cell r="L21">
            <v>0.683562</v>
          </cell>
          <cell r="M21">
            <v>0.85707600000000006</v>
          </cell>
          <cell r="N21">
            <v>0.88373999999999997</v>
          </cell>
          <cell r="O21">
            <v>1.075866</v>
          </cell>
          <cell r="P21">
            <v>1.041018</v>
          </cell>
          <cell r="Q21">
            <v>0.91416599999999992</v>
          </cell>
          <cell r="R21">
            <v>1.1944680000000001</v>
          </cell>
          <cell r="S21">
            <v>0.82579200000000008</v>
          </cell>
          <cell r="T21">
            <v>1.2765060000000001</v>
          </cell>
          <cell r="U21">
            <v>1.201794</v>
          </cell>
          <cell r="V21">
            <v>1.6133040000000001</v>
          </cell>
          <cell r="W21">
            <v>2.0698000000000003</v>
          </cell>
          <cell r="X21">
            <v>1.415</v>
          </cell>
          <cell r="Y21">
            <v>1.1031</v>
          </cell>
          <cell r="Z21">
            <v>1.0355000000000001</v>
          </cell>
          <cell r="AA21">
            <v>0.28970000000000001</v>
          </cell>
          <cell r="AB21">
            <v>0.96416996977002289</v>
          </cell>
          <cell r="AC21">
            <v>1.0474829794917409</v>
          </cell>
          <cell r="AD21">
            <v>1.0602062008599469</v>
          </cell>
          <cell r="AE21">
            <v>1.0741061198150028</v>
          </cell>
        </row>
        <row r="22">
          <cell r="H22">
            <v>0.210256</v>
          </cell>
          <cell r="I22">
            <v>0.20502000000000001</v>
          </cell>
          <cell r="J22">
            <v>0.21906200000000001</v>
          </cell>
          <cell r="K22">
            <v>0.45583800000000002</v>
          </cell>
          <cell r="L22">
            <v>0.35213800000000001</v>
          </cell>
          <cell r="M22">
            <v>0.44152400000000003</v>
          </cell>
          <cell r="N22">
            <v>0.45526000000000005</v>
          </cell>
          <cell r="O22">
            <v>0.554234</v>
          </cell>
          <cell r="P22">
            <v>0.53628200000000004</v>
          </cell>
          <cell r="Q22">
            <v>0.47093400000000002</v>
          </cell>
          <cell r="R22">
            <v>0.61533199999999999</v>
          </cell>
          <cell r="S22">
            <v>0.42540800000000006</v>
          </cell>
          <cell r="T22">
            <v>0.65759400000000001</v>
          </cell>
          <cell r="U22">
            <v>0.61910600000000016</v>
          </cell>
          <cell r="V22">
            <v>0.83109600000000017</v>
          </cell>
          <cell r="W22">
            <v>0.93820000000000003</v>
          </cell>
          <cell r="X22">
            <v>0.94359999999999999</v>
          </cell>
          <cell r="Y22">
            <v>0.53320000000000001</v>
          </cell>
          <cell r="Z22">
            <v>0.64049999999999996</v>
          </cell>
          <cell r="AA22">
            <v>0.29170000000000001</v>
          </cell>
          <cell r="AB22">
            <v>0.43694662123493522</v>
          </cell>
          <cell r="AC22">
            <v>0.58273476357135601</v>
          </cell>
          <cell r="AD22">
            <v>0.6086834810811409</v>
          </cell>
          <cell r="AE22">
            <v>0.64149366754371639</v>
          </cell>
        </row>
        <row r="23">
          <cell r="H23">
            <v>1.9095</v>
          </cell>
          <cell r="I23">
            <v>2.8365629999999999</v>
          </cell>
          <cell r="J23">
            <v>2.2281</v>
          </cell>
          <cell r="K23">
            <v>1.61</v>
          </cell>
          <cell r="L23">
            <v>1.4142000000000001</v>
          </cell>
          <cell r="M23">
            <v>1.5080250000000002</v>
          </cell>
          <cell r="N23">
            <v>0.83910000000000007</v>
          </cell>
          <cell r="O23">
            <v>1.2907</v>
          </cell>
          <cell r="P23">
            <v>3.8820000000000001</v>
          </cell>
          <cell r="Q23">
            <v>3.8363</v>
          </cell>
          <cell r="R23">
            <v>5.9918000000000005</v>
          </cell>
          <cell r="S23">
            <v>4.3921000000000001</v>
          </cell>
          <cell r="T23">
            <v>3.3323</v>
          </cell>
          <cell r="U23">
            <v>3.0750000000000002</v>
          </cell>
          <cell r="V23">
            <v>3.1429999999999998</v>
          </cell>
          <cell r="W23">
            <v>2.3030999999999997</v>
          </cell>
          <cell r="X23">
            <v>1.4487000000000001</v>
          </cell>
          <cell r="Y23">
            <v>2.0606</v>
          </cell>
          <cell r="Z23">
            <v>3.4781999999999997</v>
          </cell>
          <cell r="AA23">
            <v>2.6520000000000001</v>
          </cell>
          <cell r="AB23">
            <v>2.9438208100000005</v>
          </cell>
          <cell r="AC23">
            <v>2.7560084900000006</v>
          </cell>
          <cell r="AD23">
            <v>2.603018580000001</v>
          </cell>
          <cell r="AE23">
            <v>2.6672277900000001</v>
          </cell>
        </row>
        <row r="24">
          <cell r="H24">
            <v>0.14913168675370994</v>
          </cell>
          <cell r="I24">
            <v>0.1329757089339306</v>
          </cell>
          <cell r="J24">
            <v>0.15617625578296401</v>
          </cell>
          <cell r="K24">
            <v>0.1069075571805157</v>
          </cell>
          <cell r="L24">
            <v>0.10403995227613426</v>
          </cell>
          <cell r="M24">
            <v>7.0727040207687705E-2</v>
          </cell>
          <cell r="N24">
            <v>0.12267397357932248</v>
          </cell>
          <cell r="O24">
            <v>0.12562814768836453</v>
          </cell>
          <cell r="P24">
            <v>0.19469955185691878</v>
          </cell>
          <cell r="Q24">
            <v>8.8365515657279348E-2</v>
          </cell>
          <cell r="R24">
            <v>0.12595819278113293</v>
          </cell>
          <cell r="S24">
            <v>0.14973226061104264</v>
          </cell>
          <cell r="T24">
            <v>0.15087930257279522</v>
          </cell>
          <cell r="U24">
            <v>0.19032780702155982</v>
          </cell>
          <cell r="V24">
            <v>0.14870425130569837</v>
          </cell>
          <cell r="W24">
            <v>0.16880282991010148</v>
          </cell>
          <cell r="X24">
            <v>0.21751936506571806</v>
          </cell>
          <cell r="Y24">
            <v>0.19732937621560423</v>
          </cell>
          <cell r="Z24">
            <v>0.10970000000000001</v>
          </cell>
          <cell r="AA24">
            <v>9.4200000000000006E-2</v>
          </cell>
          <cell r="AB24">
            <v>9.8923323863743931E-2</v>
          </cell>
          <cell r="AC24">
            <v>0.10283212131183471</v>
          </cell>
          <cell r="AD24">
            <v>0.11325872838672849</v>
          </cell>
          <cell r="AE24">
            <v>0.12860505588071519</v>
          </cell>
        </row>
        <row r="25">
          <cell r="H25">
            <v>6.0347113246290073E-2</v>
          </cell>
          <cell r="I25">
            <v>5.3809491066069394E-2</v>
          </cell>
          <cell r="J25">
            <v>6.3197744217035973E-2</v>
          </cell>
          <cell r="K25">
            <v>4.326084281948428E-2</v>
          </cell>
          <cell r="L25">
            <v>4.2100447723865751E-2</v>
          </cell>
          <cell r="M25">
            <v>2.8620159792312291E-2</v>
          </cell>
          <cell r="N25">
            <v>4.9640826420677527E-2</v>
          </cell>
          <cell r="O25">
            <v>5.0836252311635494E-2</v>
          </cell>
          <cell r="P25">
            <v>7.8786448143081236E-2</v>
          </cell>
          <cell r="Q25">
            <v>3.5757684342720655E-2</v>
          </cell>
          <cell r="R25">
            <v>5.0969807218867055E-2</v>
          </cell>
          <cell r="S25">
            <v>6.059013938895734E-2</v>
          </cell>
          <cell r="T25">
            <v>6.1054297427204751E-2</v>
          </cell>
          <cell r="U25">
            <v>7.7017392978440125E-2</v>
          </cell>
          <cell r="V25">
            <v>6.0174148694301641E-2</v>
          </cell>
          <cell r="W25">
            <v>6.8307170089898533E-2</v>
          </cell>
          <cell r="X25">
            <v>8.8020634934281985E-2</v>
          </cell>
          <cell r="Y25">
            <v>7.9850623784395738E-2</v>
          </cell>
          <cell r="Z25">
            <v>0.10970000000000001</v>
          </cell>
          <cell r="AA25">
            <v>9.4200000000000006E-2</v>
          </cell>
          <cell r="AB25">
            <v>9.8923323863743931E-2</v>
          </cell>
          <cell r="AC25">
            <v>0.10283212131183471</v>
          </cell>
          <cell r="AD25">
            <v>0.11325872838672849</v>
          </cell>
          <cell r="AE25">
            <v>0.12860505588071519</v>
          </cell>
        </row>
        <row r="26">
          <cell r="H26">
            <v>6.7900000000000002E-2</v>
          </cell>
          <cell r="I26">
            <v>9.3099999999999988E-2</v>
          </cell>
          <cell r="J26">
            <v>0.17349999999999999</v>
          </cell>
          <cell r="K26">
            <v>0.1865</v>
          </cell>
          <cell r="L26">
            <v>9.8900000000000002E-2</v>
          </cell>
          <cell r="M26">
            <v>0.1036</v>
          </cell>
          <cell r="N26">
            <v>0.1033</v>
          </cell>
          <cell r="O26">
            <v>0.10299999999999999</v>
          </cell>
          <cell r="P26">
            <v>0.16839999999999999</v>
          </cell>
          <cell r="Q26">
            <v>9.3099999999999988E-2</v>
          </cell>
          <cell r="R26">
            <v>0.1729</v>
          </cell>
          <cell r="S26">
            <v>0.18819999999999998</v>
          </cell>
          <cell r="T26">
            <v>0.14849999999999999</v>
          </cell>
          <cell r="U26">
            <v>0.13639999999999999</v>
          </cell>
          <cell r="V26">
            <v>0.11509999999999999</v>
          </cell>
          <cell r="W26">
            <v>0.34855169999999996</v>
          </cell>
          <cell r="X26">
            <v>0.44914379999999998</v>
          </cell>
          <cell r="Y26">
            <v>0.4074546</v>
          </cell>
          <cell r="Z26">
            <v>3.5369000000000002</v>
          </cell>
          <cell r="AA26">
            <v>3.9733000000000001</v>
          </cell>
          <cell r="AB26">
            <v>3.449729856136257</v>
          </cell>
          <cell r="AC26">
            <v>3.0943406286881654</v>
          </cell>
          <cell r="AD26">
            <v>3.0579254016132715</v>
          </cell>
          <cell r="AE26">
            <v>3.1692212141192844</v>
          </cell>
        </row>
        <row r="27">
          <cell r="H27">
            <v>0.34329999999999999</v>
          </cell>
          <cell r="I27">
            <v>0.83960000000000001</v>
          </cell>
          <cell r="J27">
            <v>0.4824</v>
          </cell>
          <cell r="K27">
            <v>0.71140000000000003</v>
          </cell>
          <cell r="L27">
            <v>0.39800000000000002</v>
          </cell>
          <cell r="M27">
            <v>0.2858</v>
          </cell>
          <cell r="N27">
            <v>0.30269999999999997</v>
          </cell>
          <cell r="O27">
            <v>0.52510000000000001</v>
          </cell>
          <cell r="P27">
            <v>0.63970000000000005</v>
          </cell>
          <cell r="Q27">
            <v>0.7984</v>
          </cell>
          <cell r="R27">
            <v>2.4916999999999998</v>
          </cell>
          <cell r="S27">
            <v>1.8120000000000001</v>
          </cell>
          <cell r="T27">
            <v>1.2810999999999999</v>
          </cell>
          <cell r="U27">
            <v>1.1297999999999999</v>
          </cell>
          <cell r="V27">
            <v>0.46079999999999999</v>
          </cell>
          <cell r="W27">
            <v>0.1757</v>
          </cell>
          <cell r="X27">
            <v>0.44230000000000003</v>
          </cell>
          <cell r="Y27">
            <v>0.30010000000000003</v>
          </cell>
          <cell r="Z27">
            <v>0.32750000000000001</v>
          </cell>
          <cell r="AA27">
            <v>0.47720000000000001</v>
          </cell>
          <cell r="AB27">
            <v>0.55912742999999965</v>
          </cell>
          <cell r="AC27">
            <v>0.54529235000000031</v>
          </cell>
          <cell r="AD27">
            <v>0.40671768999999997</v>
          </cell>
          <cell r="AE27">
            <v>0.44228138999999994</v>
          </cell>
        </row>
        <row r="28">
          <cell r="H28">
            <v>0.20303249999999998</v>
          </cell>
          <cell r="I28">
            <v>0.28772999999999999</v>
          </cell>
          <cell r="J28">
            <v>0.3148125</v>
          </cell>
          <cell r="K28">
            <v>0.34934699999999996</v>
          </cell>
          <cell r="L28">
            <v>0.195408</v>
          </cell>
          <cell r="M28">
            <v>0.33637499999999998</v>
          </cell>
          <cell r="N28">
            <v>0.13727549999999999</v>
          </cell>
          <cell r="O28">
            <v>0.35469449999999997</v>
          </cell>
          <cell r="P28">
            <v>0.25029750000000001</v>
          </cell>
          <cell r="Q28">
            <v>0.1968915</v>
          </cell>
          <cell r="R28">
            <v>0.43252649999999998</v>
          </cell>
          <cell r="S28">
            <v>0.54820499999999994</v>
          </cell>
          <cell r="T28">
            <v>0.97724699999999987</v>
          </cell>
          <cell r="U28">
            <v>0.84756149999999986</v>
          </cell>
          <cell r="V28">
            <v>0.64639199999999997</v>
          </cell>
          <cell r="W28">
            <v>0.33719399999999999</v>
          </cell>
          <cell r="X28">
            <v>0.39087360000000004</v>
          </cell>
          <cell r="Y28">
            <v>0.30558060000000004</v>
          </cell>
          <cell r="Z28">
            <v>3.7835000000000001</v>
          </cell>
          <cell r="AA28">
            <v>1.3673</v>
          </cell>
          <cell r="AB28">
            <v>1.8872418900000005</v>
          </cell>
          <cell r="AC28">
            <v>1.84246679</v>
          </cell>
          <cell r="AD28">
            <v>1.9964261199999997</v>
          </cell>
          <cell r="AE28">
            <v>2.11022474</v>
          </cell>
        </row>
        <row r="29">
          <cell r="H29">
            <v>0.38546750000000002</v>
          </cell>
          <cell r="I29">
            <v>0.54627000000000003</v>
          </cell>
          <cell r="J29">
            <v>0.59768750000000004</v>
          </cell>
          <cell r="K29">
            <v>0.66325300000000009</v>
          </cell>
          <cell r="L29">
            <v>0.37099200000000004</v>
          </cell>
          <cell r="M29">
            <v>0.638625</v>
          </cell>
          <cell r="N29">
            <v>0.26062450000000004</v>
          </cell>
          <cell r="O29">
            <v>0.67340549999999999</v>
          </cell>
          <cell r="P29">
            <v>0.47520250000000003</v>
          </cell>
          <cell r="Q29">
            <v>0.37380850000000004</v>
          </cell>
          <cell r="R29">
            <v>0.82117350000000011</v>
          </cell>
          <cell r="S29">
            <v>1.0407950000000001</v>
          </cell>
          <cell r="T29">
            <v>1.855353</v>
          </cell>
          <cell r="U29">
            <v>1.6091385</v>
          </cell>
          <cell r="V29">
            <v>1.2272080000000001</v>
          </cell>
          <cell r="W29">
            <v>1.1038060000000001</v>
          </cell>
          <cell r="X29">
            <v>1.2795264000000002</v>
          </cell>
          <cell r="Y29">
            <v>1.0003194000000002</v>
          </cell>
          <cell r="Z29">
            <v>3.7835000000000001</v>
          </cell>
          <cell r="AA29">
            <v>1.3673</v>
          </cell>
          <cell r="AB29">
            <v>1.8872418900000005</v>
          </cell>
          <cell r="AC29">
            <v>1.84246679</v>
          </cell>
          <cell r="AD29">
            <v>1.9964261199999997</v>
          </cell>
          <cell r="AE29">
            <v>2.11022474</v>
          </cell>
        </row>
        <row r="30">
          <cell r="H30">
            <v>0.66609400000000007</v>
          </cell>
          <cell r="I30">
            <v>1.1484180000000002</v>
          </cell>
          <cell r="J30">
            <v>0.55253399999999997</v>
          </cell>
          <cell r="K30">
            <v>0.6476320000000001</v>
          </cell>
          <cell r="L30">
            <v>0.68836400000000009</v>
          </cell>
          <cell r="M30">
            <v>0.40613802400000004</v>
          </cell>
          <cell r="N30">
            <v>0.97611110000000012</v>
          </cell>
          <cell r="O30">
            <v>0.44944599999999996</v>
          </cell>
          <cell r="P30">
            <v>1.0394595600000001</v>
          </cell>
          <cell r="Q30">
            <v>1.9108285600000001</v>
          </cell>
          <cell r="R30">
            <v>2.0233162</v>
          </cell>
          <cell r="S30">
            <v>1.5876980000000001</v>
          </cell>
          <cell r="T30">
            <v>1.3800260000000002</v>
          </cell>
          <cell r="U30">
            <v>1.4298360000000001</v>
          </cell>
          <cell r="V30">
            <v>1.3088299999999999</v>
          </cell>
          <cell r="W30">
            <v>1.4430000000000001</v>
          </cell>
          <cell r="X30">
            <v>1.3551</v>
          </cell>
          <cell r="Y30">
            <v>1.248</v>
          </cell>
          <cell r="Z30">
            <v>1.1154000000000002</v>
          </cell>
          <cell r="AA30">
            <v>1.0509999999999999</v>
          </cell>
          <cell r="AB30">
            <v>1.2799544001277074</v>
          </cell>
          <cell r="AC30">
            <v>1.4046792195590034</v>
          </cell>
          <cell r="AD30">
            <v>1.4878548079657998</v>
          </cell>
          <cell r="AE30">
            <v>1.4917427808967407</v>
          </cell>
        </row>
        <row r="31">
          <cell r="H31">
            <v>1.2930060000000001</v>
          </cell>
          <cell r="I31">
            <v>2.229282</v>
          </cell>
          <cell r="J31">
            <v>1.0725660000000001</v>
          </cell>
          <cell r="K31">
            <v>1.2571680000000001</v>
          </cell>
          <cell r="L31">
            <v>1.3362360000000002</v>
          </cell>
          <cell r="M31">
            <v>0.78838557600000003</v>
          </cell>
          <cell r="N31">
            <v>1.8948039000000001</v>
          </cell>
          <cell r="O31">
            <v>0.87245399999999995</v>
          </cell>
          <cell r="P31">
            <v>2.0177744400000002</v>
          </cell>
          <cell r="Q31">
            <v>3.7092554399999997</v>
          </cell>
          <cell r="R31">
            <v>3.9276137999999996</v>
          </cell>
          <cell r="S31">
            <v>3.0820020000000001</v>
          </cell>
          <cell r="T31">
            <v>2.6788740000000009</v>
          </cell>
          <cell r="U31">
            <v>2.7755639999999997</v>
          </cell>
          <cell r="V31">
            <v>2.5406699999999995</v>
          </cell>
          <cell r="W31">
            <v>1.5496500000000002</v>
          </cell>
          <cell r="X31">
            <v>3.1783999999999999</v>
          </cell>
          <cell r="Y31">
            <v>3.2438500000000001</v>
          </cell>
          <cell r="Z31">
            <v>1.3588</v>
          </cell>
          <cell r="AA31">
            <v>0.66200000000000003</v>
          </cell>
          <cell r="AB31">
            <v>1.2854712808283151</v>
          </cell>
          <cell r="AC31">
            <v>1.5350817518422488</v>
          </cell>
          <cell r="AD31">
            <v>1.3825302212329729</v>
          </cell>
          <cell r="AE31">
            <v>1.2973344781524432</v>
          </cell>
        </row>
        <row r="53">
          <cell r="H53">
            <v>4.6720565328458212</v>
          </cell>
          <cell r="I53">
            <v>1.5093528080297529</v>
          </cell>
          <cell r="J53">
            <v>1.6326353993862486</v>
          </cell>
          <cell r="K53">
            <v>2.6697249363466713</v>
          </cell>
          <cell r="L53">
            <v>1.9057770751539596</v>
          </cell>
          <cell r="M53">
            <v>1.3124038157725313</v>
          </cell>
          <cell r="N53">
            <v>1.0072288765130091</v>
          </cell>
          <cell r="O53">
            <v>1.7837576251023464</v>
          </cell>
          <cell r="P53">
            <v>1.8651544507889506</v>
          </cell>
          <cell r="Q53">
            <v>2.2166108874593542</v>
          </cell>
          <cell r="R53">
            <v>2.5878733797903091</v>
          </cell>
          <cell r="S53">
            <v>4.1569475087148886</v>
          </cell>
          <cell r="T53">
            <v>5.6567509684797317</v>
          </cell>
          <cell r="U53">
            <v>5.4289813283833865</v>
          </cell>
          <cell r="V53">
            <v>3.5235074071425996</v>
          </cell>
          <cell r="W53">
            <v>2.4352050691170355</v>
          </cell>
          <cell r="X53">
            <v>2.1414388221232086</v>
          </cell>
          <cell r="Y53">
            <v>2.302555021843534</v>
          </cell>
          <cell r="Z53">
            <v>1.4488319999999999</v>
          </cell>
          <cell r="AA53">
            <v>4.2056000000000004</v>
          </cell>
          <cell r="AB53">
            <v>2.5994797107084047</v>
          </cell>
          <cell r="AC53">
            <v>2.6698126381317313</v>
          </cell>
          <cell r="AD53">
            <v>2.4533274635786939</v>
          </cell>
          <cell r="AE53">
            <v>2.3671787571438605</v>
          </cell>
        </row>
        <row r="54">
          <cell r="H54">
            <v>2.1049529227503614</v>
          </cell>
          <cell r="I54">
            <v>0.68002529130110145</v>
          </cell>
          <cell r="J54">
            <v>0.7355691506648977</v>
          </cell>
          <cell r="K54">
            <v>1.2028204856244402</v>
          </cell>
          <cell r="L54">
            <v>0.85863066858321024</v>
          </cell>
          <cell r="M54">
            <v>0.59129169957975791</v>
          </cell>
          <cell r="N54">
            <v>0.45379788377757357</v>
          </cell>
          <cell r="O54">
            <v>0.80365590613912508</v>
          </cell>
          <cell r="P54">
            <v>0.84032851164530364</v>
          </cell>
          <cell r="Q54">
            <v>0.99867403858570003</v>
          </cell>
          <cell r="R54">
            <v>1.1659430052271653</v>
          </cell>
          <cell r="S54">
            <v>1.8728751988922039</v>
          </cell>
          <cell r="T54">
            <v>2.5485981174802896</v>
          </cell>
          <cell r="U54">
            <v>2.4459785609179971</v>
          </cell>
          <cell r="V54">
            <v>1.587484475595518</v>
          </cell>
          <cell r="W54">
            <v>1.0971596751232116</v>
          </cell>
          <cell r="X54">
            <v>0.96480594269985731</v>
          </cell>
          <cell r="Y54">
            <v>1.0373953930028383</v>
          </cell>
          <cell r="Z54">
            <v>0.90551999999999988</v>
          </cell>
          <cell r="AA54">
            <v>2.6284999999999998</v>
          </cell>
          <cell r="AB54">
            <v>1.6246748191927527</v>
          </cell>
          <cell r="AC54">
            <v>1.668632898832332</v>
          </cell>
          <cell r="AD54">
            <v>1.5333296647366834</v>
          </cell>
          <cell r="AE54">
            <v>1.4794867232149127</v>
          </cell>
        </row>
        <row r="55">
          <cell r="H55">
            <v>2.4698905444038184</v>
          </cell>
          <cell r="I55">
            <v>0.79792190066914614</v>
          </cell>
          <cell r="J55">
            <v>0.86309544994885412</v>
          </cell>
          <cell r="K55">
            <v>1.4113545780288896</v>
          </cell>
          <cell r="L55">
            <v>1.0074922562628299</v>
          </cell>
          <cell r="M55">
            <v>0.69380448464771105</v>
          </cell>
          <cell r="N55">
            <v>0.53247323970941751</v>
          </cell>
          <cell r="O55">
            <v>0.94298646875852898</v>
          </cell>
          <cell r="P55">
            <v>0.98601703756574599</v>
          </cell>
          <cell r="Q55">
            <v>1.1718150739549462</v>
          </cell>
          <cell r="R55">
            <v>1.368083614982526</v>
          </cell>
          <cell r="S55">
            <v>2.1975772923929076</v>
          </cell>
          <cell r="T55">
            <v>2.9904509140399775</v>
          </cell>
          <cell r="U55">
            <v>2.8700401106986155</v>
          </cell>
          <cell r="V55">
            <v>1.8627081172618836</v>
          </cell>
          <cell r="W55">
            <v>1.2873752557597529</v>
          </cell>
          <cell r="X55">
            <v>1.1320752351769341</v>
          </cell>
          <cell r="Y55">
            <v>1.2172495851536278</v>
          </cell>
          <cell r="Z55">
            <v>0.23284799999999997</v>
          </cell>
          <cell r="AA55">
            <v>0.67589999999999995</v>
          </cell>
          <cell r="AB55">
            <v>0.41777352493527931</v>
          </cell>
          <cell r="AC55">
            <v>0.42907703112831391</v>
          </cell>
          <cell r="AD55">
            <v>0.39428477093229003</v>
          </cell>
          <cell r="AE55">
            <v>0.38043944311240613</v>
          </cell>
        </row>
        <row r="56">
          <cell r="H56">
            <v>1.1645465043915073</v>
          </cell>
          <cell r="I56">
            <v>1.1001820295846425</v>
          </cell>
          <cell r="J56">
            <v>0.77513011814390298</v>
          </cell>
          <cell r="K56">
            <v>0.68998963836582305</v>
          </cell>
          <cell r="L56">
            <v>0.47628477138962716</v>
          </cell>
          <cell r="M56">
            <v>0.72979317264235954</v>
          </cell>
          <cell r="N56">
            <v>1.1207523315363412</v>
          </cell>
          <cell r="O56">
            <v>1.7296949802124721</v>
          </cell>
          <cell r="P56">
            <v>1.2091017784188862</v>
          </cell>
          <cell r="Q56">
            <v>0.64730626181604856</v>
          </cell>
          <cell r="R56">
            <v>0.79226517966966792</v>
          </cell>
          <cell r="S56">
            <v>1.1545493376429821</v>
          </cell>
          <cell r="T56">
            <v>1.6151595389454148</v>
          </cell>
          <cell r="U56">
            <v>1.1894365697530624</v>
          </cell>
          <cell r="V56">
            <v>1.2257225823958589</v>
          </cell>
          <cell r="W56">
            <v>1.0573849449768578</v>
          </cell>
          <cell r="X56">
            <v>0.72875294390060763</v>
          </cell>
          <cell r="Y56">
            <v>0.92132453975849626</v>
          </cell>
          <cell r="Z56">
            <v>1.6346550000000002</v>
          </cell>
          <cell r="AA56">
            <v>2.0905169999999997</v>
          </cell>
          <cell r="AB56">
            <v>1.7691131441651935</v>
          </cell>
          <cell r="AC56">
            <v>1.7050112905317358</v>
          </cell>
          <cell r="AD56">
            <v>1.6258923167686812</v>
          </cell>
          <cell r="AE56">
            <v>1.7031142550524103</v>
          </cell>
        </row>
        <row r="57">
          <cell r="H57">
            <v>2.1508979819924536</v>
          </cell>
          <cell r="I57">
            <v>2.0320178699041631</v>
          </cell>
          <cell r="J57">
            <v>1.4316524077056443</v>
          </cell>
          <cell r="K57">
            <v>1.2743993607470525</v>
          </cell>
          <cell r="L57">
            <v>0.87969003365045617</v>
          </cell>
          <cell r="M57">
            <v>1.3479158250777785</v>
          </cell>
          <cell r="N57">
            <v>2.0700108747262438</v>
          </cell>
          <cell r="O57">
            <v>3.1947177964742988</v>
          </cell>
          <cell r="P57">
            <v>2.2331908304370804</v>
          </cell>
          <cell r="Q57">
            <v>1.195563875741235</v>
          </cell>
          <cell r="R57">
            <v>1.4633005807224375</v>
          </cell>
          <cell r="S57">
            <v>2.1324333816489229</v>
          </cell>
          <cell r="T57">
            <v>2.983172745624953</v>
          </cell>
          <cell r="U57">
            <v>2.1968695178271713</v>
          </cell>
          <cell r="V57">
            <v>2.2638891783333217</v>
          </cell>
          <cell r="W57">
            <v>1.9529723680105797</v>
          </cell>
          <cell r="X57">
            <v>1.3459945399311508</v>
          </cell>
          <cell r="Y57">
            <v>1.701671067538973</v>
          </cell>
          <cell r="Z57">
            <v>0.59441999999999995</v>
          </cell>
          <cell r="AA57">
            <v>0.76018799999999986</v>
          </cell>
          <cell r="AB57">
            <v>0.64331387060552492</v>
          </cell>
          <cell r="AC57">
            <v>0.62000410564790387</v>
          </cell>
          <cell r="AD57">
            <v>0.59123356973406582</v>
          </cell>
          <cell r="AE57">
            <v>0.61931427456451282</v>
          </cell>
        </row>
        <row r="58">
          <cell r="H58">
            <v>0.53772449549811341</v>
          </cell>
          <cell r="I58">
            <v>0.50800446747604078</v>
          </cell>
          <cell r="J58">
            <v>0.35791310192641107</v>
          </cell>
          <cell r="K58">
            <v>0.31859984018676313</v>
          </cell>
          <cell r="L58">
            <v>0.21992250841261404</v>
          </cell>
          <cell r="M58">
            <v>0.33697895626944463</v>
          </cell>
          <cell r="N58">
            <v>0.51750271868156095</v>
          </cell>
          <cell r="O58">
            <v>0.79867944911857469</v>
          </cell>
          <cell r="P58">
            <v>0.55829770760927011</v>
          </cell>
          <cell r="Q58">
            <v>0.29889096893530875</v>
          </cell>
          <cell r="R58">
            <v>0.36582514518060938</v>
          </cell>
          <cell r="S58">
            <v>0.53310834541223073</v>
          </cell>
          <cell r="T58">
            <v>0.74579318640623826</v>
          </cell>
          <cell r="U58">
            <v>0.54921737945679283</v>
          </cell>
          <cell r="V58">
            <v>0.56597229458333043</v>
          </cell>
          <cell r="W58">
            <v>0.48824309200264493</v>
          </cell>
          <cell r="X58">
            <v>0.3364986349827877</v>
          </cell>
          <cell r="Y58">
            <v>0.42541776688474325</v>
          </cell>
          <cell r="Z58">
            <v>2.1300050000000001</v>
          </cell>
          <cell r="AA58">
            <v>2.7240069999999998</v>
          </cell>
          <cell r="AB58">
            <v>2.305208036336464</v>
          </cell>
          <cell r="AC58">
            <v>2.2216813785716556</v>
          </cell>
          <cell r="AD58">
            <v>2.118586958213736</v>
          </cell>
          <cell r="AE58">
            <v>2.2192094838561709</v>
          </cell>
        </row>
        <row r="59">
          <cell r="H59">
            <v>1.0381942181179253</v>
          </cell>
          <cell r="I59">
            <v>0.980813233035153</v>
          </cell>
          <cell r="J59">
            <v>0.69102917222404159</v>
          </cell>
          <cell r="K59">
            <v>0.61512636070036175</v>
          </cell>
          <cell r="L59">
            <v>0.42460828654730265</v>
          </cell>
          <cell r="M59">
            <v>0.65061124601041742</v>
          </cell>
          <cell r="N59">
            <v>0.99915167505585367</v>
          </cell>
          <cell r="O59">
            <v>1.542024574194655</v>
          </cell>
          <cell r="P59">
            <v>1.077915283534763</v>
          </cell>
          <cell r="Q59">
            <v>0.57707409350740779</v>
          </cell>
          <cell r="R59">
            <v>0.70630509442728517</v>
          </cell>
          <cell r="S59">
            <v>1.029281735295865</v>
          </cell>
          <cell r="T59">
            <v>1.4399161290233935</v>
          </cell>
          <cell r="U59">
            <v>1.0603837329629731</v>
          </cell>
          <cell r="V59">
            <v>1.092732744687489</v>
          </cell>
          <cell r="W59">
            <v>0.94265959500991836</v>
          </cell>
          <cell r="X59">
            <v>0.64968388118545384</v>
          </cell>
          <cell r="Y59">
            <v>0.82136162581778727</v>
          </cell>
          <cell r="Z59">
            <v>0.59441999999999995</v>
          </cell>
          <cell r="AA59">
            <v>0.76018799999999986</v>
          </cell>
          <cell r="AB59">
            <v>0.64331387060552492</v>
          </cell>
          <cell r="AC59">
            <v>0.62000410564790387</v>
          </cell>
          <cell r="AD59">
            <v>0.59123356973406582</v>
          </cell>
          <cell r="AE59">
            <v>0.61931427456451282</v>
          </cell>
        </row>
        <row r="60">
          <cell r="H60">
            <v>1.6924380000000001</v>
          </cell>
          <cell r="I60">
            <v>1.484802</v>
          </cell>
          <cell r="J60">
            <v>2.0873819999999998</v>
          </cell>
          <cell r="K60">
            <v>2.0856660000000002</v>
          </cell>
          <cell r="L60">
            <v>2.3110560000000002</v>
          </cell>
          <cell r="M60">
            <v>3.1661519999999999</v>
          </cell>
          <cell r="N60">
            <v>2.39778</v>
          </cell>
          <cell r="O60">
            <v>1.4201721599999999</v>
          </cell>
          <cell r="P60">
            <v>2.9824739999999998</v>
          </cell>
          <cell r="Q60">
            <v>1.9324140000000003</v>
          </cell>
          <cell r="R60">
            <v>1.907796</v>
          </cell>
          <cell r="S60">
            <v>2.3078220000000003</v>
          </cell>
          <cell r="T60">
            <v>2.4817980000000004</v>
          </cell>
          <cell r="U60">
            <v>2.3626019999999999</v>
          </cell>
          <cell r="V60">
            <v>2.16249</v>
          </cell>
          <cell r="W60">
            <v>2.6243000000000003</v>
          </cell>
          <cell r="X60">
            <v>3.7761</v>
          </cell>
          <cell r="Y60">
            <v>2.5621999999999998</v>
          </cell>
          <cell r="Z60">
            <v>3.0191999999999997</v>
          </cell>
          <cell r="AA60">
            <v>2.9931000000000001</v>
          </cell>
          <cell r="AB60">
            <v>2.8918301090794269</v>
          </cell>
          <cell r="AC60">
            <v>3.782360064278282</v>
          </cell>
          <cell r="AD60">
            <v>3.4705377413257055</v>
          </cell>
          <cell r="AE60">
            <v>3.2160116321090824</v>
          </cell>
        </row>
        <row r="61">
          <cell r="H61">
            <v>0.87186200000000003</v>
          </cell>
          <cell r="I61">
            <v>0.76489800000000008</v>
          </cell>
          <cell r="J61">
            <v>1.075318</v>
          </cell>
          <cell r="K61">
            <v>1.0744339999999999</v>
          </cell>
          <cell r="L61">
            <v>1.190544</v>
          </cell>
          <cell r="M61">
            <v>1.6310480000000001</v>
          </cell>
          <cell r="N61">
            <v>1.23522</v>
          </cell>
          <cell r="O61">
            <v>0.73160384000000001</v>
          </cell>
          <cell r="P61">
            <v>1.5364259999999998</v>
          </cell>
          <cell r="Q61">
            <v>0.99548600000000009</v>
          </cell>
          <cell r="R61">
            <v>0.98280400000000012</v>
          </cell>
          <cell r="S61">
            <v>1.1888779999999999</v>
          </cell>
          <cell r="T61">
            <v>1.2785020000000002</v>
          </cell>
          <cell r="U61">
            <v>1.217098</v>
          </cell>
          <cell r="V61">
            <v>1.1140099999999999</v>
          </cell>
          <cell r="W61">
            <v>1.2012</v>
          </cell>
          <cell r="X61">
            <v>1.5534000000000001</v>
          </cell>
          <cell r="Y61">
            <v>0.81710000000000005</v>
          </cell>
          <cell r="Z61">
            <v>1.2970999999999999</v>
          </cell>
          <cell r="AA61">
            <v>1.4250999999999998</v>
          </cell>
          <cell r="AB61">
            <v>1.3376018689940781</v>
          </cell>
          <cell r="AC61">
            <v>1.4693053926132156</v>
          </cell>
          <cell r="AD61">
            <v>1.3354667382339562</v>
          </cell>
          <cell r="AE61">
            <v>1.249250206816515</v>
          </cell>
        </row>
        <row r="62">
          <cell r="H62">
            <v>5.2438000000000002</v>
          </cell>
          <cell r="I62">
            <v>3.0779999999999998</v>
          </cell>
          <cell r="J62">
            <v>3.5724999999999998</v>
          </cell>
          <cell r="K62">
            <v>4.5848000000000004</v>
          </cell>
          <cell r="L62">
            <v>3.4581999999999997</v>
          </cell>
          <cell r="M62">
            <v>3.2988000000000004</v>
          </cell>
          <cell r="N62">
            <v>3.1168</v>
          </cell>
          <cell r="O62">
            <v>3.8371</v>
          </cell>
          <cell r="P62">
            <v>5.0454999999999997</v>
          </cell>
          <cell r="Q62">
            <v>6.3580129999999997</v>
          </cell>
          <cell r="R62">
            <v>4.7816999999999998</v>
          </cell>
          <cell r="S62">
            <v>6.0843999999999996</v>
          </cell>
          <cell r="T62">
            <v>5.7608000000000006</v>
          </cell>
          <cell r="U62">
            <v>5.1916000000000002</v>
          </cell>
          <cell r="V62">
            <v>6.0718000000000005</v>
          </cell>
          <cell r="W62">
            <v>2.7429000000000001</v>
          </cell>
          <cell r="X62">
            <v>4.8205</v>
          </cell>
          <cell r="Y62">
            <v>3.1579999999999999</v>
          </cell>
          <cell r="Z62">
            <v>4.7521000000000004</v>
          </cell>
          <cell r="AA62">
            <v>4.5863000000000005</v>
          </cell>
          <cell r="AB62">
            <v>4.2521218800000069</v>
          </cell>
          <cell r="AC62">
            <v>4.1643903399999962</v>
          </cell>
          <cell r="AD62">
            <v>4.2213762000000035</v>
          </cell>
          <cell r="AE62">
            <v>4.5285378099999987</v>
          </cell>
        </row>
        <row r="63">
          <cell r="H63">
            <v>0.5481317139383739</v>
          </cell>
          <cell r="I63">
            <v>0.5178364790468617</v>
          </cell>
          <cell r="J63">
            <v>0.36484021769957081</v>
          </cell>
          <cell r="K63">
            <v>0.32476607988686124</v>
          </cell>
          <cell r="L63">
            <v>0.22417892894792907</v>
          </cell>
          <cell r="M63">
            <v>0.34350090875073974</v>
          </cell>
          <cell r="N63">
            <v>0.52751856114705731</v>
          </cell>
          <cell r="O63">
            <v>0.81413723755914813</v>
          </cell>
          <cell r="P63">
            <v>0.56910310376739748</v>
          </cell>
          <cell r="Q63">
            <v>0.30467575952895537</v>
          </cell>
          <cell r="R63">
            <v>0.37290539208903378</v>
          </cell>
          <cell r="S63">
            <v>0.54342622203767876</v>
          </cell>
          <cell r="T63">
            <v>0.76022740442525871</v>
          </cell>
          <cell r="U63">
            <v>0.55984703327961061</v>
          </cell>
          <cell r="V63">
            <v>0.57692622610435551</v>
          </cell>
          <cell r="W63">
            <v>0.37201976634398637</v>
          </cell>
          <cell r="X63">
            <v>0.26963174813441793</v>
          </cell>
          <cell r="Y63">
            <v>0.34990048025184839</v>
          </cell>
          <cell r="Z63">
            <v>0.25180000000000002</v>
          </cell>
          <cell r="AA63">
            <v>0.24840000000000001</v>
          </cell>
          <cell r="AB63">
            <v>0.2696633082872934</v>
          </cell>
          <cell r="AC63">
            <v>0.33187896960079466</v>
          </cell>
          <cell r="AD63">
            <v>0.24932755554944439</v>
          </cell>
          <cell r="AE63">
            <v>0.2462404319623952</v>
          </cell>
        </row>
        <row r="64">
          <cell r="H64">
            <v>0.22180508606162622</v>
          </cell>
          <cell r="I64">
            <v>0.20954592095313826</v>
          </cell>
          <cell r="J64">
            <v>0.14763498230042921</v>
          </cell>
          <cell r="K64">
            <v>0.13141872011313882</v>
          </cell>
          <cell r="L64">
            <v>9.0715471052070965E-2</v>
          </cell>
          <cell r="M64">
            <v>0.13899989124926035</v>
          </cell>
          <cell r="N64">
            <v>0.21346383885294262</v>
          </cell>
          <cell r="O64">
            <v>0.32944596244085222</v>
          </cell>
          <cell r="P64">
            <v>0.23029129623260253</v>
          </cell>
          <cell r="Q64">
            <v>0.12328904047104472</v>
          </cell>
          <cell r="R64">
            <v>0.15089860791096629</v>
          </cell>
          <cell r="S64">
            <v>0.2199009779623213</v>
          </cell>
          <cell r="T64">
            <v>0.30763099557474127</v>
          </cell>
          <cell r="U64">
            <v>0.22654576672038956</v>
          </cell>
          <cell r="V64">
            <v>0.23345697389564446</v>
          </cell>
          <cell r="W64">
            <v>0.15054023365601354</v>
          </cell>
          <cell r="X64">
            <v>0.1091082518655821</v>
          </cell>
          <cell r="Y64">
            <v>0.14158951974815162</v>
          </cell>
          <cell r="Z64">
            <v>0.25180000000000002</v>
          </cell>
          <cell r="AA64">
            <v>0.24840000000000001</v>
          </cell>
          <cell r="AB64">
            <v>0.2696633082872934</v>
          </cell>
          <cell r="AC64">
            <v>0.33187896960079466</v>
          </cell>
          <cell r="AD64">
            <v>0.24932755554944439</v>
          </cell>
          <cell r="AE64">
            <v>0.2462404319623952</v>
          </cell>
        </row>
        <row r="65">
          <cell r="H65">
            <v>0.23799999999999999</v>
          </cell>
          <cell r="I65">
            <v>0.17499999999999999</v>
          </cell>
          <cell r="J65">
            <v>0.22190000000000001</v>
          </cell>
          <cell r="K65">
            <v>0.18659999999999999</v>
          </cell>
          <cell r="L65">
            <v>0.33439999999999998</v>
          </cell>
          <cell r="M65">
            <v>0.22409999999999999</v>
          </cell>
          <cell r="N65">
            <v>0.1966</v>
          </cell>
          <cell r="O65">
            <v>0.28989999999999999</v>
          </cell>
          <cell r="P65">
            <v>0.19939999999999999</v>
          </cell>
          <cell r="Q65">
            <v>0.25030000000000002</v>
          </cell>
          <cell r="R65">
            <v>0.33189999999999997</v>
          </cell>
          <cell r="S65">
            <v>0.25900000000000001</v>
          </cell>
          <cell r="T65">
            <v>0.33539999999999998</v>
          </cell>
          <cell r="U65">
            <v>0.30019999999999997</v>
          </cell>
          <cell r="V65">
            <v>0.20430000000000001</v>
          </cell>
          <cell r="W65">
            <v>0.76816319999999993</v>
          </cell>
          <cell r="X65">
            <v>0.55674780000000001</v>
          </cell>
          <cell r="Y65">
            <v>0.72249029999999992</v>
          </cell>
          <cell r="Z65">
            <v>4.9535</v>
          </cell>
          <cell r="AA65">
            <v>6.3348999999999993</v>
          </cell>
          <cell r="AB65">
            <v>5.3609489217127075</v>
          </cell>
          <cell r="AC65">
            <v>5.1667008803991994</v>
          </cell>
          <cell r="AD65">
            <v>4.9269464144505486</v>
          </cell>
          <cell r="AE65">
            <v>5.1609522880376071</v>
          </cell>
        </row>
        <row r="66">
          <cell r="H66">
            <v>0.61850000000000005</v>
          </cell>
          <cell r="I66">
            <v>2.2084999999999999</v>
          </cell>
          <cell r="J66">
            <v>1.4847000000000001</v>
          </cell>
          <cell r="K66">
            <v>0.95320000000000005</v>
          </cell>
          <cell r="L66">
            <v>0.90810000000000002</v>
          </cell>
          <cell r="M66">
            <v>0.42230000000000001</v>
          </cell>
          <cell r="N66">
            <v>0.60639999999999994</v>
          </cell>
          <cell r="O66">
            <v>0.6167999999999999</v>
          </cell>
          <cell r="P66">
            <v>1.0635999999999999</v>
          </cell>
          <cell r="Q66">
            <v>1.0459000000000001</v>
          </cell>
          <cell r="R66">
            <v>2.0405000000000002</v>
          </cell>
          <cell r="S66">
            <v>2.3144</v>
          </cell>
          <cell r="T66">
            <v>1.7478</v>
          </cell>
          <cell r="U66">
            <v>1.9861</v>
          </cell>
          <cell r="V66">
            <v>1.1522000000000001</v>
          </cell>
          <cell r="W66">
            <v>0.38150000000000001</v>
          </cell>
          <cell r="X66">
            <v>0.92549999999999999</v>
          </cell>
          <cell r="Y66">
            <v>1.1422999999999999</v>
          </cell>
          <cell r="Z66">
            <v>1.5630999999999999</v>
          </cell>
          <cell r="AA66">
            <v>1.7925</v>
          </cell>
          <cell r="AB66">
            <v>1.7621433593581584</v>
          </cell>
          <cell r="AC66">
            <v>1.4336343163011998</v>
          </cell>
          <cell r="AD66">
            <v>1.3691762784064214</v>
          </cell>
          <cell r="AE66">
            <v>1.5800612145564872</v>
          </cell>
        </row>
        <row r="67">
          <cell r="H67">
            <v>0.43003140000000001</v>
          </cell>
          <cell r="I67">
            <v>0.38538420000000001</v>
          </cell>
          <cell r="J67">
            <v>0.66239400000000004</v>
          </cell>
          <cell r="K67">
            <v>0.43521479999999996</v>
          </cell>
          <cell r="L67">
            <v>0.36477779999999993</v>
          </cell>
          <cell r="M67">
            <v>0.67629059999999996</v>
          </cell>
          <cell r="N67">
            <v>0.52988339999999989</v>
          </cell>
          <cell r="O67">
            <v>0.50167679999999992</v>
          </cell>
          <cell r="P67">
            <v>0.38506620000000003</v>
          </cell>
          <cell r="Q67">
            <v>0.32744460000000003</v>
          </cell>
          <cell r="R67">
            <v>0.54336660000000003</v>
          </cell>
          <cell r="S67">
            <v>0.64827480000000004</v>
          </cell>
          <cell r="T67">
            <v>0.97781820000000008</v>
          </cell>
          <cell r="U67">
            <v>0.78724080000000007</v>
          </cell>
          <cell r="V67">
            <v>0.68166479999999996</v>
          </cell>
          <cell r="W67">
            <v>0.47345219999999999</v>
          </cell>
          <cell r="X67">
            <v>0.48302279999999997</v>
          </cell>
          <cell r="Y67">
            <v>0.4790682</v>
          </cell>
          <cell r="Z67">
            <v>3.056</v>
          </cell>
          <cell r="AA67">
            <v>2.3259000000000003</v>
          </cell>
          <cell r="AB67">
            <v>2.0441822700000003</v>
          </cell>
          <cell r="AC67">
            <v>2.0585218499999991</v>
          </cell>
          <cell r="AD67">
            <v>2.2333007499999997</v>
          </cell>
          <cell r="AE67">
            <v>2.33822785</v>
          </cell>
        </row>
        <row r="68">
          <cell r="H68">
            <v>0.92226859999999999</v>
          </cell>
          <cell r="I68">
            <v>0.82651580000000013</v>
          </cell>
          <cell r="J68">
            <v>1.420606</v>
          </cell>
          <cell r="K68">
            <v>0.93338520000000003</v>
          </cell>
          <cell r="L68">
            <v>0.78232219999999997</v>
          </cell>
          <cell r="M68">
            <v>1.4504094000000001</v>
          </cell>
          <cell r="N68">
            <v>1.1364166</v>
          </cell>
          <cell r="O68">
            <v>1.0759231999999999</v>
          </cell>
          <cell r="P68">
            <v>0.82583380000000006</v>
          </cell>
          <cell r="Q68">
            <v>0.70225540000000009</v>
          </cell>
          <cell r="R68">
            <v>1.1653334000000002</v>
          </cell>
          <cell r="S68">
            <v>1.3903251999999999</v>
          </cell>
          <cell r="T68">
            <v>2.0970818000000002</v>
          </cell>
          <cell r="U68">
            <v>1.6883592000000001</v>
          </cell>
          <cell r="V68">
            <v>1.4619352000000001</v>
          </cell>
          <cell r="W68">
            <v>1.5498478</v>
          </cell>
          <cell r="X68">
            <v>1.5811771999999999</v>
          </cell>
          <cell r="Y68">
            <v>1.5682318</v>
          </cell>
          <cell r="Z68">
            <v>3.056</v>
          </cell>
          <cell r="AA68">
            <v>2.3259000000000003</v>
          </cell>
          <cell r="AB68">
            <v>2.0441822700000003</v>
          </cell>
          <cell r="AC68">
            <v>2.0585218499999991</v>
          </cell>
          <cell r="AD68">
            <v>2.2333007499999997</v>
          </cell>
          <cell r="AE68">
            <v>2.33822785</v>
          </cell>
        </row>
        <row r="69">
          <cell r="H69">
            <v>1.112582</v>
          </cell>
          <cell r="I69">
            <v>0.80331799999999998</v>
          </cell>
          <cell r="J69">
            <v>0.79209799999999997</v>
          </cell>
          <cell r="K69">
            <v>1.4170180000000003</v>
          </cell>
          <cell r="L69">
            <v>2.0118140000000002</v>
          </cell>
          <cell r="M69">
            <v>1.9682630600000002</v>
          </cell>
          <cell r="N69">
            <v>1.356931568</v>
          </cell>
          <cell r="O69">
            <v>1.6115660000000003</v>
          </cell>
          <cell r="P69">
            <v>2.0560044800000004</v>
          </cell>
          <cell r="Q69">
            <v>2.2904100000000001</v>
          </cell>
          <cell r="R69">
            <v>2.4596072599999999</v>
          </cell>
          <cell r="S69">
            <v>3.8090502600000002</v>
          </cell>
          <cell r="T69">
            <v>4.7729200000000009</v>
          </cell>
          <cell r="U69">
            <v>4.5525319999999994</v>
          </cell>
          <cell r="V69">
            <v>3.3850400000000009</v>
          </cell>
          <cell r="W69">
            <v>2.8653000000000004</v>
          </cell>
          <cell r="X69">
            <v>1.9470999999999998</v>
          </cell>
          <cell r="Y69">
            <v>3.2425000000000002</v>
          </cell>
          <cell r="Z69">
            <v>1.5354000000000001</v>
          </cell>
          <cell r="AA69">
            <v>1.9370000000000001</v>
          </cell>
          <cell r="AB69">
            <v>2.3703669220352253</v>
          </cell>
          <cell r="AC69">
            <v>1.9890497993605087</v>
          </cell>
          <cell r="AD69">
            <v>2.1600621794832904</v>
          </cell>
          <cell r="AE69">
            <v>2.2621435716444833</v>
          </cell>
        </row>
        <row r="70">
          <cell r="H70">
            <v>2.1597179999999998</v>
          </cell>
          <cell r="I70">
            <v>1.559382</v>
          </cell>
          <cell r="J70">
            <v>1.5376019999999999</v>
          </cell>
          <cell r="K70">
            <v>2.7506820000000007</v>
          </cell>
          <cell r="L70">
            <v>3.9052860000000007</v>
          </cell>
          <cell r="M70">
            <v>3.8207459400000001</v>
          </cell>
          <cell r="N70">
            <v>2.634043632</v>
          </cell>
          <cell r="O70">
            <v>3.1283340000000002</v>
          </cell>
          <cell r="P70">
            <v>3.991067520000001</v>
          </cell>
          <cell r="Q70">
            <v>4.446089999999999</v>
          </cell>
          <cell r="R70">
            <v>4.7745317399999996</v>
          </cell>
          <cell r="S70">
            <v>7.3940387400000001</v>
          </cell>
          <cell r="T70">
            <v>9.2650800000000011</v>
          </cell>
          <cell r="U70">
            <v>8.8372679999999981</v>
          </cell>
          <cell r="V70">
            <v>6.5709600000000021</v>
          </cell>
          <cell r="W70">
            <v>4.5552000000000001</v>
          </cell>
          <cell r="X70">
            <v>5.4093999999999998</v>
          </cell>
          <cell r="Y70">
            <v>5.1186000000000007</v>
          </cell>
          <cell r="Z70">
            <v>1.7812999999999999</v>
          </cell>
          <cell r="AA70">
            <v>2.95</v>
          </cell>
          <cell r="AB70">
            <v>2.2861592609503698</v>
          </cell>
          <cell r="AC70">
            <v>2.5053125556405771</v>
          </cell>
          <cell r="AD70">
            <v>2.4712945670254456</v>
          </cell>
          <cell r="AE70">
            <v>2.4438312461536253</v>
          </cell>
        </row>
        <row r="92">
          <cell r="H92">
            <v>0.41436087365353341</v>
          </cell>
          <cell r="I92">
            <v>0.17461665398690543</v>
          </cell>
          <cell r="J92">
            <v>0.26404705837256015</v>
          </cell>
          <cell r="K92">
            <v>0.26172287837157698</v>
          </cell>
          <cell r="L92">
            <v>0.20771095617481719</v>
          </cell>
          <cell r="M92">
            <v>0.24565572097347629</v>
          </cell>
          <cell r="N92">
            <v>0.38202445624855086</v>
          </cell>
          <cell r="O92">
            <v>0.43265115974822654</v>
          </cell>
          <cell r="P92">
            <v>0.44386785453557986</v>
          </cell>
          <cell r="Q92">
            <v>0.36903936363436263</v>
          </cell>
          <cell r="R92">
            <v>0.5218289358729048</v>
          </cell>
          <cell r="S92">
            <v>0.56649361241353691</v>
          </cell>
          <cell r="T92">
            <v>0.68866463942173628</v>
          </cell>
          <cell r="U92">
            <v>1.031127510001379</v>
          </cell>
          <cell r="V92">
            <v>0.57467876806917317</v>
          </cell>
          <cell r="W92">
            <v>0.49454508368745087</v>
          </cell>
          <cell r="X92">
            <v>0.57525981306941887</v>
          </cell>
          <cell r="Y92">
            <v>0.81019904321227521</v>
          </cell>
          <cell r="Z92">
            <v>0.6358950000000001</v>
          </cell>
          <cell r="AA92">
            <v>0.73733399999999993</v>
          </cell>
          <cell r="AB92">
            <v>0.6518964294875611</v>
          </cell>
          <cell r="AC92">
            <v>0.67716166468748484</v>
          </cell>
          <cell r="AD92">
            <v>0.61357820737900048</v>
          </cell>
          <cell r="AE92">
            <v>0.62155831420158214</v>
          </cell>
        </row>
        <row r="93">
          <cell r="H93">
            <v>0.18668655354200558</v>
          </cell>
          <cell r="I93">
            <v>7.8671958180852486E-2</v>
          </cell>
          <cell r="J93">
            <v>0.11896402009639327</v>
          </cell>
          <cell r="K93">
            <v>0.11791688176412496</v>
          </cell>
          <cell r="L93">
            <v>9.3582297477281418E-2</v>
          </cell>
          <cell r="M93">
            <v>0.11067796894540068</v>
          </cell>
          <cell r="N93">
            <v>0.17211767239740325</v>
          </cell>
          <cell r="O93">
            <v>0.19492707693942124</v>
          </cell>
          <cell r="P93">
            <v>0.19998065758645517</v>
          </cell>
          <cell r="Q93">
            <v>0.1662673560627739</v>
          </cell>
          <cell r="R93">
            <v>0.23510531947101979</v>
          </cell>
          <cell r="S93">
            <v>0.25522858655200176</v>
          </cell>
          <cell r="T93">
            <v>0.31027164062645235</v>
          </cell>
          <cell r="U93">
            <v>0.46456519749850622</v>
          </cell>
          <cell r="V93">
            <v>0.25891633459172925</v>
          </cell>
          <cell r="W93">
            <v>0.22281282600526162</v>
          </cell>
          <cell r="X93">
            <v>0.25917811917479627</v>
          </cell>
          <cell r="Y93">
            <v>0.3650278698533686</v>
          </cell>
          <cell r="Z93">
            <v>0.79894500000000002</v>
          </cell>
          <cell r="AA93">
            <v>0.92639399999999994</v>
          </cell>
          <cell r="AB93">
            <v>0.81904936012539731</v>
          </cell>
          <cell r="AC93">
            <v>0.85079286076119875</v>
          </cell>
          <cell r="AD93">
            <v>0.77090595286079544</v>
          </cell>
          <cell r="AE93">
            <v>0.78093224091993652</v>
          </cell>
        </row>
        <row r="94">
          <cell r="H94">
            <v>0.21905257280446114</v>
          </cell>
          <cell r="I94">
            <v>9.2311387832242131E-2</v>
          </cell>
          <cell r="J94">
            <v>0.13958892153104671</v>
          </cell>
          <cell r="K94">
            <v>0.1383602398642981</v>
          </cell>
          <cell r="L94">
            <v>0.10980674634790144</v>
          </cell>
          <cell r="M94">
            <v>0.12986631008112301</v>
          </cell>
          <cell r="N94">
            <v>0.20195787135404591</v>
          </cell>
          <cell r="O94">
            <v>0.22872176331235222</v>
          </cell>
          <cell r="P94">
            <v>0.234651487877965</v>
          </cell>
          <cell r="Q94">
            <v>0.19509328030286358</v>
          </cell>
          <cell r="R94">
            <v>0.27586574465607538</v>
          </cell>
          <cell r="S94">
            <v>0.29947780103446142</v>
          </cell>
          <cell r="T94">
            <v>0.36406371995181136</v>
          </cell>
          <cell r="U94">
            <v>0.54510729250011491</v>
          </cell>
          <cell r="V94">
            <v>0.30380489733909782</v>
          </cell>
          <cell r="W94">
            <v>0.2614420903072876</v>
          </cell>
          <cell r="X94">
            <v>0.30411206775578492</v>
          </cell>
          <cell r="Y94">
            <v>0.42831308693435627</v>
          </cell>
          <cell r="Z94">
            <v>0.19566</v>
          </cell>
          <cell r="AA94">
            <v>0.22687199999999996</v>
          </cell>
          <cell r="AB94">
            <v>0.20058351676540342</v>
          </cell>
          <cell r="AC94">
            <v>0.20835743528845685</v>
          </cell>
          <cell r="AD94">
            <v>0.188793294578154</v>
          </cell>
          <cell r="AE94">
            <v>0.19124871206202526</v>
          </cell>
        </row>
        <row r="95">
          <cell r="H95">
            <v>0.16229015911096059</v>
          </cell>
          <cell r="I95">
            <v>0.13689095496788101</v>
          </cell>
          <cell r="J95">
            <v>0.1464880483900218</v>
          </cell>
          <cell r="K95">
            <v>0.12630105877793252</v>
          </cell>
          <cell r="L95">
            <v>5.3578256036020636E-2</v>
          </cell>
          <cell r="M95">
            <v>0.14473409683356164</v>
          </cell>
          <cell r="N95">
            <v>0.20832311411164292</v>
          </cell>
          <cell r="O95">
            <v>0.18181528021117813</v>
          </cell>
          <cell r="P95">
            <v>0.25346254662129836</v>
          </cell>
          <cell r="Q95">
            <v>0.21457777154883126</v>
          </cell>
          <cell r="R95">
            <v>0.21891301030159141</v>
          </cell>
          <cell r="S95">
            <v>0.34506514866435284</v>
          </cell>
          <cell r="T95">
            <v>0.4237613147259075</v>
          </cell>
          <cell r="U95">
            <v>0.29486242203887825</v>
          </cell>
          <cell r="V95">
            <v>0.25132802067051191</v>
          </cell>
          <cell r="W95">
            <v>0.19929265632196788</v>
          </cell>
          <cell r="X95">
            <v>0.28278808334118855</v>
          </cell>
          <cell r="Y95">
            <v>0.28374874501219671</v>
          </cell>
          <cell r="Z95">
            <v>0.38990000000000008</v>
          </cell>
          <cell r="AA95">
            <v>0.61124000000000001</v>
          </cell>
          <cell r="AB95">
            <v>0.48311013099802608</v>
          </cell>
          <cell r="AC95">
            <v>0.44265568341819511</v>
          </cell>
          <cell r="AD95">
            <v>0.44279982054836869</v>
          </cell>
          <cell r="AE95">
            <v>0.46242683685728003</v>
          </cell>
        </row>
        <row r="96">
          <cell r="H96">
            <v>0.29974721869213228</v>
          </cell>
          <cell r="I96">
            <v>0.25283531201468296</v>
          </cell>
          <cell r="J96">
            <v>0.27056098359313285</v>
          </cell>
          <cell r="K96">
            <v>0.23327595027294512</v>
          </cell>
          <cell r="L96">
            <v>9.8958145812104853E-2</v>
          </cell>
          <cell r="M96">
            <v>0.26732146430465759</v>
          </cell>
          <cell r="N96">
            <v>0.38476931926324892</v>
          </cell>
          <cell r="O96">
            <v>0.33580979190346144</v>
          </cell>
          <cell r="P96">
            <v>0.46814109868740644</v>
          </cell>
          <cell r="Q96">
            <v>0.39632156729196283</v>
          </cell>
          <cell r="R96">
            <v>0.40432868100498676</v>
          </cell>
          <cell r="S96">
            <v>0.63732957775343879</v>
          </cell>
          <cell r="T96">
            <v>0.78268008469672801</v>
          </cell>
          <cell r="U96">
            <v>0.54460597849651282</v>
          </cell>
          <cell r="V96">
            <v>0.46419866483633754</v>
          </cell>
          <cell r="W96">
            <v>0.36809021425281468</v>
          </cell>
          <cell r="X96">
            <v>0.52230487618688526</v>
          </cell>
          <cell r="Y96">
            <v>0.52407920228013871</v>
          </cell>
          <cell r="Z96">
            <v>0.18102500000000002</v>
          </cell>
          <cell r="AA96">
            <v>0.28378999999999999</v>
          </cell>
          <cell r="AB96">
            <v>0.22430113224908352</v>
          </cell>
          <cell r="AC96">
            <v>0.20551871015844772</v>
          </cell>
          <cell r="AD96">
            <v>0.20558563096888544</v>
          </cell>
          <cell r="AE96">
            <v>0.21469817425516571</v>
          </cell>
        </row>
        <row r="97">
          <cell r="H97">
            <v>7.4936804673033069E-2</v>
          </cell>
          <cell r="I97">
            <v>6.3208828003670739E-2</v>
          </cell>
          <cell r="J97">
            <v>6.7640245898283213E-2</v>
          </cell>
          <cell r="K97">
            <v>5.831898756823628E-2</v>
          </cell>
          <cell r="L97">
            <v>2.4739536453026213E-2</v>
          </cell>
          <cell r="M97">
            <v>6.6830366076164396E-2</v>
          </cell>
          <cell r="N97">
            <v>9.619232981581223E-2</v>
          </cell>
          <cell r="O97">
            <v>8.395244797586536E-2</v>
          </cell>
          <cell r="P97">
            <v>0.11703527467185161</v>
          </cell>
          <cell r="Q97">
            <v>9.9080391822990707E-2</v>
          </cell>
          <cell r="R97">
            <v>0.10108217025124669</v>
          </cell>
          <cell r="S97">
            <v>0.1593323944383597</v>
          </cell>
          <cell r="T97">
            <v>0.195670021174182</v>
          </cell>
          <cell r="U97">
            <v>0.13615149462412821</v>
          </cell>
          <cell r="V97">
            <v>0.11604966620908438</v>
          </cell>
          <cell r="W97">
            <v>9.2022553563203671E-2</v>
          </cell>
          <cell r="X97">
            <v>0.13057621904672131</v>
          </cell>
          <cell r="Y97">
            <v>0.13101980057003468</v>
          </cell>
          <cell r="Z97">
            <v>0.6266250000000001</v>
          </cell>
          <cell r="AA97">
            <v>0.98234999999999995</v>
          </cell>
          <cell r="AB97">
            <v>0.77642699624682754</v>
          </cell>
          <cell r="AC97">
            <v>0.71141091977924209</v>
          </cell>
          <cell r="AD97">
            <v>0.71164256873844955</v>
          </cell>
          <cell r="AE97">
            <v>0.74318598780634293</v>
          </cell>
        </row>
        <row r="98">
          <cell r="H98">
            <v>0.14468181752387402</v>
          </cell>
          <cell r="I98">
            <v>0.12203840501376527</v>
          </cell>
          <cell r="J98">
            <v>0.13059422211856206</v>
          </cell>
          <cell r="K98">
            <v>0.11259750338088605</v>
          </cell>
          <cell r="L98">
            <v>4.7765061698848296E-2</v>
          </cell>
          <cell r="M98">
            <v>0.12903057278561647</v>
          </cell>
          <cell r="N98">
            <v>0.18572023680929586</v>
          </cell>
          <cell r="O98">
            <v>0.1620884799094951</v>
          </cell>
          <cell r="P98">
            <v>0.22596208001944354</v>
          </cell>
          <cell r="Q98">
            <v>0.19129626933621519</v>
          </cell>
          <cell r="R98">
            <v>0.19516113844217509</v>
          </cell>
          <cell r="S98">
            <v>0.30762587914384881</v>
          </cell>
          <cell r="T98">
            <v>0.37778357940318252</v>
          </cell>
          <cell r="U98">
            <v>0.26287010484048079</v>
          </cell>
          <cell r="V98">
            <v>0.2240591482840664</v>
          </cell>
          <cell r="W98">
            <v>0.17766957586201376</v>
          </cell>
          <cell r="X98">
            <v>0.25210582142520493</v>
          </cell>
          <cell r="Y98">
            <v>0.25296225213763002</v>
          </cell>
          <cell r="Z98">
            <v>0.19495000000000004</v>
          </cell>
          <cell r="AA98">
            <v>0.30562</v>
          </cell>
          <cell r="AB98">
            <v>0.24155506549901304</v>
          </cell>
          <cell r="AC98">
            <v>0.22132784170909756</v>
          </cell>
          <cell r="AD98">
            <v>0.22139991027418435</v>
          </cell>
          <cell r="AE98">
            <v>0.23121341842864002</v>
          </cell>
        </row>
        <row r="99">
          <cell r="H99">
            <v>0.18433800000000003</v>
          </cell>
          <cell r="I99">
            <v>0.206844</v>
          </cell>
          <cell r="J99">
            <v>0.137214</v>
          </cell>
          <cell r="K99">
            <v>0.61676999999999993</v>
          </cell>
          <cell r="L99">
            <v>0.68554199999999998</v>
          </cell>
          <cell r="M99">
            <v>0.40642800000000001</v>
          </cell>
          <cell r="N99">
            <v>0.53598599999999996</v>
          </cell>
          <cell r="O99">
            <v>1.033296</v>
          </cell>
          <cell r="P99">
            <v>0.77985599999999999</v>
          </cell>
          <cell r="Q99">
            <v>0.64818600000000004</v>
          </cell>
          <cell r="R99">
            <v>0.78117599999999998</v>
          </cell>
          <cell r="S99">
            <v>0.39857400000000004</v>
          </cell>
          <cell r="T99">
            <v>0.61709999999999998</v>
          </cell>
          <cell r="U99">
            <v>0.37732200000000005</v>
          </cell>
          <cell r="V99">
            <v>0.84011400000000014</v>
          </cell>
          <cell r="W99">
            <v>0.93320000000000003</v>
          </cell>
          <cell r="X99">
            <v>1.1757</v>
          </cell>
          <cell r="Y99">
            <v>0.60420000000000007</v>
          </cell>
          <cell r="Z99">
            <v>0.75339999999999996</v>
          </cell>
          <cell r="AA99">
            <v>1.5335999999999999</v>
          </cell>
          <cell r="AB99">
            <v>1.2076663465344608</v>
          </cell>
          <cell r="AC99">
            <v>0.88413198109065294</v>
          </cell>
          <cell r="AD99">
            <v>0.97240838928959727</v>
          </cell>
          <cell r="AE99">
            <v>1.0165069098294888</v>
          </cell>
        </row>
        <row r="100">
          <cell r="H100">
            <v>9.4962000000000019E-2</v>
          </cell>
          <cell r="I100">
            <v>0.106556</v>
          </cell>
          <cell r="J100">
            <v>7.0686000000000013E-2</v>
          </cell>
          <cell r="K100">
            <v>0.31773000000000001</v>
          </cell>
          <cell r="L100">
            <v>0.35315800000000003</v>
          </cell>
          <cell r="M100">
            <v>0.20937199999999997</v>
          </cell>
          <cell r="N100">
            <v>0.27611400000000003</v>
          </cell>
          <cell r="O100">
            <v>0.532304</v>
          </cell>
          <cell r="P100">
            <v>0.40174399999999999</v>
          </cell>
          <cell r="Q100">
            <v>0.33391400000000004</v>
          </cell>
          <cell r="R100">
            <v>0.402424</v>
          </cell>
          <cell r="S100">
            <v>0.20532599999999998</v>
          </cell>
          <cell r="T100">
            <v>0.31790000000000002</v>
          </cell>
          <cell r="U100">
            <v>0.19437800000000005</v>
          </cell>
          <cell r="V100">
            <v>0.43278600000000006</v>
          </cell>
          <cell r="W100">
            <v>0.53679999999999994</v>
          </cell>
          <cell r="X100">
            <v>0.58729999999999993</v>
          </cell>
          <cell r="Y100">
            <v>0.3029</v>
          </cell>
          <cell r="Z100">
            <v>0.19550000000000001</v>
          </cell>
          <cell r="AA100">
            <v>0.11359999999999999</v>
          </cell>
          <cell r="AB100">
            <v>0.23634605624237559</v>
          </cell>
          <cell r="AC100">
            <v>0.27313452288332429</v>
          </cell>
          <cell r="AD100">
            <v>0.28219361090513184</v>
          </cell>
          <cell r="AE100">
            <v>0.26393138211722167</v>
          </cell>
        </row>
        <row r="101">
          <cell r="H101">
            <v>0.51962010000000003</v>
          </cell>
          <cell r="I101">
            <v>0.2356029</v>
          </cell>
          <cell r="J101">
            <v>0.29530000000000001</v>
          </cell>
          <cell r="K101">
            <v>0.39574090000000001</v>
          </cell>
          <cell r="L101">
            <v>0.68245239999999996</v>
          </cell>
          <cell r="M101">
            <v>0.37956290000000004</v>
          </cell>
          <cell r="N101">
            <v>0.31980000000000003</v>
          </cell>
          <cell r="O101">
            <v>0.7399</v>
          </cell>
          <cell r="P101">
            <v>0.63590000000000002</v>
          </cell>
          <cell r="Q101">
            <v>0.7046</v>
          </cell>
          <cell r="R101">
            <v>0.49339999999999995</v>
          </cell>
          <cell r="S101">
            <v>1.1999000000000002</v>
          </cell>
          <cell r="T101">
            <v>1.5182</v>
          </cell>
          <cell r="U101">
            <v>1.0499000000000001</v>
          </cell>
          <cell r="V101">
            <v>1.0911</v>
          </cell>
          <cell r="W101">
            <v>0.79139999999999999</v>
          </cell>
          <cell r="X101">
            <v>0.41299999999999998</v>
          </cell>
          <cell r="Y101">
            <v>0.74629999999999996</v>
          </cell>
          <cell r="Z101">
            <v>0.95779999999999998</v>
          </cell>
          <cell r="AA101">
            <v>1.0682</v>
          </cell>
          <cell r="AB101">
            <v>0.76954163000000042</v>
          </cell>
          <cell r="AC101">
            <v>0.65636095000000005</v>
          </cell>
          <cell r="AD101">
            <v>0.53005643999999963</v>
          </cell>
          <cell r="AE101">
            <v>0.52549197000000003</v>
          </cell>
        </row>
        <row r="102">
          <cell r="H102">
            <v>0.21296593880742018</v>
          </cell>
          <cell r="I102">
            <v>0.17963572713639753</v>
          </cell>
          <cell r="J102">
            <v>0.19222955304466666</v>
          </cell>
          <cell r="K102">
            <v>0.16573909165141087</v>
          </cell>
          <cell r="L102">
            <v>7.0308290156854247E-2</v>
          </cell>
          <cell r="M102">
            <v>0.18992792279246576</v>
          </cell>
          <cell r="N102">
            <v>0.27337287618122147</v>
          </cell>
          <cell r="O102">
            <v>0.23858786048286421</v>
          </cell>
          <cell r="P102">
            <v>0.33260728493597691</v>
          </cell>
          <cell r="Q102">
            <v>0.28158057651454166</v>
          </cell>
          <cell r="R102">
            <v>0.28726951166620807</v>
          </cell>
          <cell r="S102">
            <v>0.45281318188111136</v>
          </cell>
          <cell r="T102">
            <v>0.55608255432891829</v>
          </cell>
          <cell r="U102">
            <v>0.38693444428509655</v>
          </cell>
          <cell r="V102">
            <v>0.32980624434603434</v>
          </cell>
          <cell r="W102">
            <v>7.7976356796648869E-2</v>
          </cell>
          <cell r="X102">
            <v>0.10613982502339432</v>
          </cell>
          <cell r="Y102">
            <v>0.10925090581588365</v>
          </cell>
          <cell r="Z102">
            <v>0.1041</v>
          </cell>
          <cell r="AA102">
            <v>0.14449999999999999</v>
          </cell>
          <cell r="AB102">
            <v>0.12252214500704957</v>
          </cell>
          <cell r="AC102">
            <v>0.11151282493501802</v>
          </cell>
          <cell r="AD102">
            <v>0.10818632947011167</v>
          </cell>
          <cell r="AE102">
            <v>0.10758392265257145</v>
          </cell>
        </row>
        <row r="103">
          <cell r="H103">
            <v>8.6178061192579855E-2</v>
          </cell>
          <cell r="I103">
            <v>7.2690772863602482E-2</v>
          </cell>
          <cell r="J103">
            <v>7.7786946955333336E-2</v>
          </cell>
          <cell r="K103">
            <v>6.7067408348589097E-2</v>
          </cell>
          <cell r="L103">
            <v>2.8450709843145752E-2</v>
          </cell>
          <cell r="M103">
            <v>7.6855577207534248E-2</v>
          </cell>
          <cell r="N103">
            <v>0.11062212381877858</v>
          </cell>
          <cell r="O103">
            <v>9.6546139517135726E-2</v>
          </cell>
          <cell r="P103">
            <v>0.13459171506402304</v>
          </cell>
          <cell r="Q103">
            <v>0.11394342348545834</v>
          </cell>
          <cell r="R103">
            <v>0.11624548833379195</v>
          </cell>
          <cell r="S103">
            <v>0.18323381811888867</v>
          </cell>
          <cell r="T103">
            <v>0.22502244567108176</v>
          </cell>
          <cell r="U103">
            <v>0.15657555571490342</v>
          </cell>
          <cell r="V103">
            <v>0.13345825565396569</v>
          </cell>
          <cell r="W103">
            <v>3.1553643203351134E-2</v>
          </cell>
          <cell r="X103">
            <v>4.2950174976605679E-2</v>
          </cell>
          <cell r="Y103">
            <v>4.4209094184116358E-2</v>
          </cell>
          <cell r="Z103">
            <v>0.1041</v>
          </cell>
          <cell r="AA103">
            <v>0.14449999999999999</v>
          </cell>
          <cell r="AB103">
            <v>0.12252214500704957</v>
          </cell>
          <cell r="AC103">
            <v>0.11151282493501802</v>
          </cell>
          <cell r="AD103">
            <v>0.10818632947011167</v>
          </cell>
          <cell r="AE103">
            <v>0.10758392265257145</v>
          </cell>
        </row>
        <row r="104">
          <cell r="H104">
            <v>8.6474074074074148E-2</v>
          </cell>
          <cell r="I104">
            <v>8.6474074074074037E-2</v>
          </cell>
          <cell r="J104">
            <v>8.6474074074074148E-2</v>
          </cell>
          <cell r="K104">
            <v>8.6474074074074148E-2</v>
          </cell>
          <cell r="L104">
            <v>8.6474074074073926E-2</v>
          </cell>
          <cell r="M104">
            <v>8.6474074074074148E-2</v>
          </cell>
          <cell r="N104">
            <v>8.6474074074074148E-2</v>
          </cell>
          <cell r="O104">
            <v>8.6474074074073926E-2</v>
          </cell>
          <cell r="P104">
            <v>8.6474074074074148E-2</v>
          </cell>
          <cell r="Q104">
            <v>8.6474074074074148E-2</v>
          </cell>
          <cell r="R104">
            <v>8.6474074074073926E-2</v>
          </cell>
          <cell r="S104">
            <v>8.6474074074074148E-2</v>
          </cell>
          <cell r="T104">
            <v>8.6474074074074148E-2</v>
          </cell>
          <cell r="U104">
            <v>8.6474074074073926E-2</v>
          </cell>
          <cell r="V104">
            <v>8.6474074074073926E-2</v>
          </cell>
          <cell r="W104">
            <v>8.647407407407437E-2</v>
          </cell>
          <cell r="X104">
            <v>8.6474074074073926E-2</v>
          </cell>
          <cell r="Y104">
            <v>8.647407407407437E-2</v>
          </cell>
          <cell r="Z104">
            <v>8.6474074074073926E-2</v>
          </cell>
          <cell r="AA104">
            <v>8.6474074074073926E-2</v>
          </cell>
          <cell r="AB104">
            <v>8.6474074074073926E-2</v>
          </cell>
          <cell r="AC104">
            <v>8.647407407407437E-2</v>
          </cell>
          <cell r="AD104">
            <v>8.6474074074073926E-2</v>
          </cell>
          <cell r="AE104">
            <v>8.647407407407437E-2</v>
          </cell>
        </row>
        <row r="105">
          <cell r="H105">
            <v>0.29699999999999999</v>
          </cell>
          <cell r="I105">
            <v>0.18059999999999998</v>
          </cell>
          <cell r="J105">
            <v>9.4500000000000001E-2</v>
          </cell>
          <cell r="K105">
            <v>0.46850000000000003</v>
          </cell>
          <cell r="L105">
            <v>0.1009</v>
          </cell>
          <cell r="M105">
            <v>0.13689999999999999</v>
          </cell>
          <cell r="N105">
            <v>0.37169999999999997</v>
          </cell>
          <cell r="O105">
            <v>0.29910000000000003</v>
          </cell>
          <cell r="P105">
            <v>0.4612</v>
          </cell>
          <cell r="Q105">
            <v>0.78410000000000002</v>
          </cell>
          <cell r="R105">
            <v>0.1585</v>
          </cell>
          <cell r="S105">
            <v>0.14169999999999999</v>
          </cell>
          <cell r="T105">
            <v>0.24959999999999999</v>
          </cell>
          <cell r="U105">
            <v>0.2296</v>
          </cell>
          <cell r="V105">
            <v>0.22839999999999999</v>
          </cell>
          <cell r="W105">
            <v>0.24010000000000001</v>
          </cell>
          <cell r="X105">
            <v>0.247</v>
          </cell>
          <cell r="Y105">
            <v>0.36219999999999997</v>
          </cell>
          <cell r="Z105">
            <v>0.39089999999999997</v>
          </cell>
          <cell r="AA105">
            <v>0.62470000000000003</v>
          </cell>
          <cell r="AB105">
            <v>0.54312269999999974</v>
          </cell>
          <cell r="AC105">
            <v>0.43204304999999998</v>
          </cell>
          <cell r="AD105">
            <v>0.39338529000000044</v>
          </cell>
          <cell r="AE105">
            <v>0.43886131999999956</v>
          </cell>
        </row>
        <row r="106">
          <cell r="H106">
            <v>9.4114999999999976E-2</v>
          </cell>
          <cell r="I106">
            <v>3.5979999999999998E-2</v>
          </cell>
          <cell r="J106">
            <v>4.9454999999999999E-2</v>
          </cell>
          <cell r="K106">
            <v>1.6729999999999998E-2</v>
          </cell>
          <cell r="L106">
            <v>8.9494999999999991E-2</v>
          </cell>
          <cell r="M106">
            <v>0.18592000000000003</v>
          </cell>
          <cell r="N106">
            <v>0.22197</v>
          </cell>
          <cell r="O106">
            <v>6.1249999999999999E-2</v>
          </cell>
          <cell r="P106">
            <v>0.23075499999999996</v>
          </cell>
          <cell r="Q106">
            <v>0.19785499999999995</v>
          </cell>
          <cell r="R106">
            <v>0.15771000000000002</v>
          </cell>
          <cell r="S106">
            <v>0.15168999999999996</v>
          </cell>
          <cell r="T106">
            <v>0.16621499999999997</v>
          </cell>
          <cell r="U106">
            <v>0.24384500000000001</v>
          </cell>
          <cell r="V106">
            <v>0.190085</v>
          </cell>
          <cell r="W106">
            <v>0.16197999999999999</v>
          </cell>
          <cell r="X106">
            <v>0.14038499999999998</v>
          </cell>
          <cell r="Y106">
            <v>0.31633</v>
          </cell>
          <cell r="Z106">
            <v>0.6502</v>
          </cell>
          <cell r="AA106">
            <v>0.64700000000000002</v>
          </cell>
          <cell r="AB106">
            <v>0.45748749999999927</v>
          </cell>
          <cell r="AC106">
            <v>0.5602725700000003</v>
          </cell>
          <cell r="AD106">
            <v>0.47068721000000047</v>
          </cell>
          <cell r="AE106">
            <v>0.54478340999999997</v>
          </cell>
        </row>
        <row r="107">
          <cell r="H107">
            <v>0.174785</v>
          </cell>
          <cell r="I107">
            <v>6.6820000000000004E-2</v>
          </cell>
          <cell r="J107">
            <v>9.184500000000001E-2</v>
          </cell>
          <cell r="K107">
            <v>3.107E-2</v>
          </cell>
          <cell r="L107">
            <v>0.16620499999999999</v>
          </cell>
          <cell r="M107">
            <v>0.34528000000000003</v>
          </cell>
          <cell r="N107">
            <v>0.41223000000000004</v>
          </cell>
          <cell r="O107">
            <v>0.11375</v>
          </cell>
          <cell r="P107">
            <v>0.42854499999999995</v>
          </cell>
          <cell r="Q107">
            <v>0.36744499999999997</v>
          </cell>
          <cell r="R107">
            <v>0.29289000000000004</v>
          </cell>
          <cell r="S107">
            <v>0.28170999999999996</v>
          </cell>
          <cell r="T107">
            <v>0.30868499999999999</v>
          </cell>
          <cell r="U107">
            <v>0.45285500000000001</v>
          </cell>
          <cell r="V107">
            <v>0.35301500000000002</v>
          </cell>
          <cell r="W107">
            <v>0.35450480000000001</v>
          </cell>
          <cell r="X107">
            <v>0.30724260000000003</v>
          </cell>
          <cell r="Y107">
            <v>0.6923108</v>
          </cell>
          <cell r="Z107">
            <v>0.6502</v>
          </cell>
          <cell r="AA107">
            <v>0.64700000000000002</v>
          </cell>
          <cell r="AB107">
            <v>0.45748749999999927</v>
          </cell>
          <cell r="AC107">
            <v>0.5602725700000003</v>
          </cell>
          <cell r="AD107">
            <v>0.47068721000000047</v>
          </cell>
          <cell r="AE107">
            <v>0.54478340999999997</v>
          </cell>
        </row>
        <row r="108">
          <cell r="H108">
            <v>0.16187400000000002</v>
          </cell>
          <cell r="I108">
            <v>0.40232200000000001</v>
          </cell>
          <cell r="J108">
            <v>0.21423400000000004</v>
          </cell>
          <cell r="K108">
            <v>0.16636200000000001</v>
          </cell>
          <cell r="L108">
            <v>0.14161000000000001</v>
          </cell>
          <cell r="M108">
            <v>0.21616506400000002</v>
          </cell>
          <cell r="N108">
            <v>0.43234400000000001</v>
          </cell>
          <cell r="O108">
            <v>0.29482056200000006</v>
          </cell>
          <cell r="P108">
            <v>0.20296021200000003</v>
          </cell>
          <cell r="Q108">
            <v>0.39565800000000001</v>
          </cell>
          <cell r="R108">
            <v>0.36665600000000004</v>
          </cell>
          <cell r="S108">
            <v>0.54201909199999998</v>
          </cell>
          <cell r="T108">
            <v>0.55654331400000001</v>
          </cell>
          <cell r="U108">
            <v>0.70082122600000007</v>
          </cell>
          <cell r="V108">
            <v>0.47504799999999997</v>
          </cell>
          <cell r="W108">
            <v>0.35580000000000001</v>
          </cell>
          <cell r="X108">
            <v>0.66449999999999998</v>
          </cell>
          <cell r="Y108">
            <v>1.038</v>
          </cell>
          <cell r="Z108">
            <v>0.46650000000000003</v>
          </cell>
          <cell r="AA108">
            <v>0.95889999999999997</v>
          </cell>
          <cell r="AB108">
            <v>0.46645769387703823</v>
          </cell>
          <cell r="AC108">
            <v>0.49047162329837557</v>
          </cell>
          <cell r="AD108">
            <v>0.51237945405876495</v>
          </cell>
          <cell r="AE108">
            <v>0.52849590625857834</v>
          </cell>
        </row>
        <row r="109">
          <cell r="H109">
            <v>0.31422600000000006</v>
          </cell>
          <cell r="I109">
            <v>1.1833</v>
          </cell>
          <cell r="J109">
            <v>0.63009999999999999</v>
          </cell>
          <cell r="K109">
            <v>0.48930000000000001</v>
          </cell>
          <cell r="L109">
            <v>0.41649999999999998</v>
          </cell>
          <cell r="M109">
            <v>0.63577960000000011</v>
          </cell>
          <cell r="N109">
            <v>1.2715999999999998</v>
          </cell>
          <cell r="O109">
            <v>0.86711930000000004</v>
          </cell>
          <cell r="P109">
            <v>0.59694180000000008</v>
          </cell>
          <cell r="Q109">
            <v>1.1637</v>
          </cell>
          <cell r="R109">
            <v>1.0784</v>
          </cell>
          <cell r="S109">
            <v>1.5941737999999999</v>
          </cell>
          <cell r="T109">
            <v>1.6368920999999999</v>
          </cell>
          <cell r="U109">
            <v>2.0612388999999998</v>
          </cell>
          <cell r="V109">
            <v>1.3971999999999998</v>
          </cell>
          <cell r="W109">
            <v>1.0427</v>
          </cell>
          <cell r="X109">
            <v>0.80215000000000003</v>
          </cell>
          <cell r="Y109">
            <v>0.2843</v>
          </cell>
          <cell r="Z109">
            <v>0.34749999999999998</v>
          </cell>
          <cell r="AA109">
            <v>0.2964</v>
          </cell>
          <cell r="AB109">
            <v>0.53927991626881955</v>
          </cell>
          <cell r="AC109">
            <v>0.4102555079683779</v>
          </cell>
          <cell r="AD109">
            <v>0.42249327104785911</v>
          </cell>
          <cell r="AE109">
            <v>0.42234898958167211</v>
          </cell>
        </row>
        <row r="131">
          <cell r="H131">
            <v>2.7637531750820971E-2</v>
          </cell>
          <cell r="I131">
            <v>6.7805425246072637E-2</v>
          </cell>
          <cell r="J131">
            <v>4.9110933933817151E-2</v>
          </cell>
          <cell r="K131">
            <v>3.8348970016221416E-2</v>
          </cell>
          <cell r="L131">
            <v>6.6037027419237657E-2</v>
          </cell>
          <cell r="M131">
            <v>2.9153301316679522E-2</v>
          </cell>
          <cell r="N131">
            <v>7.9577902207574089E-2</v>
          </cell>
          <cell r="O131">
            <v>0.19129011921134953</v>
          </cell>
          <cell r="P131">
            <v>0.14137077484240779</v>
          </cell>
          <cell r="Q131">
            <v>0.21059091834994842</v>
          </cell>
          <cell r="R131">
            <v>0.10413336917448265</v>
          </cell>
          <cell r="S131">
            <v>0.21539085530850052</v>
          </cell>
          <cell r="T131">
            <v>0.19139117051574009</v>
          </cell>
          <cell r="U131">
            <v>0.25454823575984653</v>
          </cell>
          <cell r="V131">
            <v>0.21195511095922112</v>
          </cell>
          <cell r="W131">
            <v>0.19125980382003235</v>
          </cell>
          <cell r="X131">
            <v>0.26220792463265175</v>
          </cell>
          <cell r="Y131">
            <v>0.21725019930928702</v>
          </cell>
          <cell r="Z131">
            <v>2.7993000000000001E-2</v>
          </cell>
          <cell r="AA131">
            <v>4.1474999999999998E-2</v>
          </cell>
          <cell r="AB131">
            <v>4.0846333382852616E-2</v>
          </cell>
          <cell r="AC131">
            <v>5.0886648139373152E-2</v>
          </cell>
          <cell r="AD131">
            <v>5.2535476840249826E-2</v>
          </cell>
          <cell r="AE131">
            <v>5.8530607733513491E-2</v>
          </cell>
        </row>
        <row r="132">
          <cell r="H132">
            <v>1.245184060327729E-2</v>
          </cell>
          <cell r="I132">
            <v>3.0549122650087968E-2</v>
          </cell>
          <cell r="J132">
            <v>2.2126488238364762E-2</v>
          </cell>
          <cell r="K132">
            <v>1.7277782482426805E-2</v>
          </cell>
          <cell r="L132">
            <v>2.9752386962492529E-2</v>
          </cell>
          <cell r="M132">
            <v>1.3134756906930521E-2</v>
          </cell>
          <cell r="N132">
            <v>3.585310594179475E-2</v>
          </cell>
          <cell r="O132">
            <v>8.6184037521038065E-2</v>
          </cell>
          <cell r="P132">
            <v>6.3693327254058227E-2</v>
          </cell>
          <cell r="Q132">
            <v>9.4879838454222556E-2</v>
          </cell>
          <cell r="R132">
            <v>4.6916350060977136E-2</v>
          </cell>
          <cell r="S132">
            <v>9.7042406749124469E-2</v>
          </cell>
          <cell r="T132">
            <v>8.6229565274614936E-2</v>
          </cell>
          <cell r="U132">
            <v>0.11468441126016633</v>
          </cell>
          <cell r="V132">
            <v>9.5494463127510462E-2</v>
          </cell>
          <cell r="W132">
            <v>8.6170379194964994E-2</v>
          </cell>
          <cell r="X132">
            <v>0.11813541498129401</v>
          </cell>
          <cell r="Y132">
            <v>9.78801174149391E-2</v>
          </cell>
          <cell r="Z132">
            <v>8.2645999999999997E-2</v>
          </cell>
          <cell r="AA132">
            <v>0.12245</v>
          </cell>
          <cell r="AB132">
            <v>0.12059393665413629</v>
          </cell>
          <cell r="AC132">
            <v>0.15023677069719693</v>
          </cell>
          <cell r="AD132">
            <v>0.15510474114740425</v>
          </cell>
          <cell r="AE132">
            <v>0.17280465140370652</v>
          </cell>
        </row>
        <row r="133">
          <cell r="H133">
            <v>1.461062764590175E-2</v>
          </cell>
          <cell r="I133">
            <v>3.5845452103839388E-2</v>
          </cell>
          <cell r="J133">
            <v>2.5962577827818099E-2</v>
          </cell>
          <cell r="K133">
            <v>2.0273247501351788E-2</v>
          </cell>
          <cell r="L133">
            <v>3.4910585618269804E-2</v>
          </cell>
          <cell r="M133">
            <v>1.5411941776389961E-2</v>
          </cell>
          <cell r="N133">
            <v>4.2068991850631177E-2</v>
          </cell>
          <cell r="O133">
            <v>0.10112584326761248</v>
          </cell>
          <cell r="P133">
            <v>7.4735897903533979E-2</v>
          </cell>
          <cell r="Q133">
            <v>0.11132924319582904</v>
          </cell>
          <cell r="R133">
            <v>5.5050280764540223E-2</v>
          </cell>
          <cell r="S133">
            <v>0.11386673794237505</v>
          </cell>
          <cell r="T133">
            <v>0.10117926420964501</v>
          </cell>
          <cell r="U133">
            <v>0.13456735297998723</v>
          </cell>
          <cell r="V133">
            <v>0.11205042591326843</v>
          </cell>
          <cell r="W133">
            <v>0.10110981698500271</v>
          </cell>
          <cell r="X133">
            <v>0.13861666038605433</v>
          </cell>
          <cell r="Y133">
            <v>0.11484968327577393</v>
          </cell>
          <cell r="Z133">
            <v>2.2661000000000001E-2</v>
          </cell>
          <cell r="AA133">
            <v>3.3575000000000001E-2</v>
          </cell>
          <cell r="AB133">
            <v>3.3066079405166406E-2</v>
          </cell>
          <cell r="AC133">
            <v>4.1193953255683029E-2</v>
          </cell>
          <cell r="AD133">
            <v>4.2528719346868915E-2</v>
          </cell>
          <cell r="AE133">
            <v>4.7381920546177597E-2</v>
          </cell>
        </row>
        <row r="134">
          <cell r="H134">
            <v>4.7323598598832305E-2</v>
          </cell>
          <cell r="I134">
            <v>6.3539377139690933E-2</v>
          </cell>
          <cell r="J134">
            <v>7.4493301011168897E-2</v>
          </cell>
          <cell r="K134">
            <v>5.6242276796304551E-2</v>
          </cell>
          <cell r="L134">
            <v>4.7356692024425905E-2</v>
          </cell>
          <cell r="M134">
            <v>0.13958806915375851</v>
          </cell>
          <cell r="N134">
            <v>9.9958692005435654E-2</v>
          </cell>
          <cell r="O134">
            <v>0.13430966777158107</v>
          </cell>
          <cell r="P134">
            <v>6.0114207590754469E-2</v>
          </cell>
          <cell r="Q134">
            <v>5.8310615895903861E-2</v>
          </cell>
          <cell r="R134">
            <v>7.3368124540986873E-2</v>
          </cell>
          <cell r="S134">
            <v>0.10579968162270412</v>
          </cell>
          <cell r="T134">
            <v>0.13090104493544141</v>
          </cell>
          <cell r="U134">
            <v>0.18562102415444087</v>
          </cell>
          <cell r="V134">
            <v>6.9612020736114513E-2</v>
          </cell>
          <cell r="W134">
            <v>8.6866670950193486E-2</v>
          </cell>
          <cell r="X134">
            <v>0.15042390425477303</v>
          </cell>
          <cell r="Y134">
            <v>6.9917599237908579E-2</v>
          </cell>
          <cell r="Z134">
            <v>6.0696E-2</v>
          </cell>
          <cell r="AA134">
            <v>0.20314799999999997</v>
          </cell>
          <cell r="AB134">
            <v>0.13470040401937183</v>
          </cell>
          <cell r="AC134">
            <v>0.11643600922484103</v>
          </cell>
          <cell r="AD134">
            <v>0.11439186666203939</v>
          </cell>
          <cell r="AE134">
            <v>0.11940706859733403</v>
          </cell>
        </row>
        <row r="135">
          <cell r="H135">
            <v>8.7405897783390932E-2</v>
          </cell>
          <cell r="I135">
            <v>0.11735617045042701</v>
          </cell>
          <cell r="J135">
            <v>0.13758788525203705</v>
          </cell>
          <cell r="K135">
            <v>0.10387854775026077</v>
          </cell>
          <cell r="L135">
            <v>8.746702078883388E-2</v>
          </cell>
          <cell r="M135">
            <v>0.25781683695828184</v>
          </cell>
          <cell r="N135">
            <v>0.18462203794037227</v>
          </cell>
          <cell r="O135">
            <v>0.24806771759013438</v>
          </cell>
          <cell r="P135">
            <v>0.11102993938708366</v>
          </cell>
          <cell r="Q135">
            <v>0.10769873559044393</v>
          </cell>
          <cell r="R135">
            <v>0.1355097030669774</v>
          </cell>
          <cell r="S135">
            <v>0.19541024840104954</v>
          </cell>
          <cell r="T135">
            <v>0.24177204802951249</v>
          </cell>
          <cell r="U135">
            <v>0.34283893752939848</v>
          </cell>
          <cell r="V135">
            <v>0.12857224194920477</v>
          </cell>
          <cell r="W135">
            <v>0.16044129327991158</v>
          </cell>
          <cell r="X135">
            <v>0.27783044376924665</v>
          </cell>
          <cell r="Y135">
            <v>0.12913664034838468</v>
          </cell>
          <cell r="Z135">
            <v>3.0348E-2</v>
          </cell>
          <cell r="AA135">
            <v>0.10157399999999998</v>
          </cell>
          <cell r="AB135">
            <v>6.7350202009685917E-2</v>
          </cell>
          <cell r="AC135">
            <v>5.8218004612420514E-2</v>
          </cell>
          <cell r="AD135">
            <v>5.7195933331019695E-2</v>
          </cell>
          <cell r="AE135">
            <v>5.9703534298667017E-2</v>
          </cell>
        </row>
        <row r="136">
          <cell r="H136">
            <v>2.1851474445847733E-2</v>
          </cell>
          <cell r="I136">
            <v>2.9339042612606753E-2</v>
          </cell>
          <cell r="J136">
            <v>3.4396971313009263E-2</v>
          </cell>
          <cell r="K136">
            <v>2.5969636937565193E-2</v>
          </cell>
          <cell r="L136">
            <v>2.186675519720847E-2</v>
          </cell>
          <cell r="M136">
            <v>6.4454209239570459E-2</v>
          </cell>
          <cell r="N136">
            <v>4.6155509485093067E-2</v>
          </cell>
          <cell r="O136">
            <v>6.2016929397533595E-2</v>
          </cell>
          <cell r="P136">
            <v>2.7757484846770916E-2</v>
          </cell>
          <cell r="Q136">
            <v>2.6924683897610983E-2</v>
          </cell>
          <cell r="R136">
            <v>3.3877425766744351E-2</v>
          </cell>
          <cell r="S136">
            <v>4.8852562100262384E-2</v>
          </cell>
          <cell r="T136">
            <v>6.0443012007378123E-2</v>
          </cell>
          <cell r="U136">
            <v>8.570973438234962E-2</v>
          </cell>
          <cell r="V136">
            <v>3.2143060487301194E-2</v>
          </cell>
          <cell r="W136">
            <v>4.0110323319977895E-2</v>
          </cell>
          <cell r="X136">
            <v>6.9457610942311662E-2</v>
          </cell>
          <cell r="Y136">
            <v>3.228416008709617E-2</v>
          </cell>
          <cell r="Z136">
            <v>0.18546000000000001</v>
          </cell>
          <cell r="AA136">
            <v>0.62073</v>
          </cell>
          <cell r="AB136">
            <v>0.41158456783696956</v>
          </cell>
          <cell r="AC136">
            <v>0.35577669485368096</v>
          </cell>
          <cell r="AD136">
            <v>0.34953070368956485</v>
          </cell>
          <cell r="AE136">
            <v>0.36485493182518736</v>
          </cell>
        </row>
        <row r="137">
          <cell r="H137">
            <v>4.2189029171929009E-2</v>
          </cell>
          <cell r="I137">
            <v>5.6645409797275316E-2</v>
          </cell>
          <cell r="J137">
            <v>6.6410842423784755E-2</v>
          </cell>
          <cell r="K137">
            <v>5.0140038515869477E-2</v>
          </cell>
          <cell r="L137">
            <v>4.2218531989531759E-2</v>
          </cell>
          <cell r="M137">
            <v>0.12444288464838921</v>
          </cell>
          <cell r="N137">
            <v>8.9113260569099004E-2</v>
          </cell>
          <cell r="O137">
            <v>0.11973718524075097</v>
          </cell>
          <cell r="P137">
            <v>5.3591868175390939E-2</v>
          </cell>
          <cell r="Q137">
            <v>5.1983964616041198E-2</v>
          </cell>
          <cell r="R137">
            <v>6.5407746625291335E-2</v>
          </cell>
          <cell r="S137">
            <v>9.432050787598395E-2</v>
          </cell>
          <cell r="T137">
            <v>0.11669839502766798</v>
          </cell>
          <cell r="U137">
            <v>0.16548130393381105</v>
          </cell>
          <cell r="V137">
            <v>6.2059176827379478E-2</v>
          </cell>
          <cell r="W137">
            <v>7.7441712449917086E-2</v>
          </cell>
          <cell r="X137">
            <v>0.13410304103366871</v>
          </cell>
          <cell r="Y137">
            <v>6.2331600326610628E-2</v>
          </cell>
          <cell r="Z137">
            <v>6.0696E-2</v>
          </cell>
          <cell r="AA137">
            <v>0.20314799999999997</v>
          </cell>
          <cell r="AB137">
            <v>0.13470040401937183</v>
          </cell>
          <cell r="AC137">
            <v>0.11643600922484103</v>
          </cell>
          <cell r="AD137">
            <v>0.11439186666203939</v>
          </cell>
          <cell r="AE137">
            <v>0.11940706859733403</v>
          </cell>
        </row>
        <row r="138">
          <cell r="H138">
            <v>8.3687999999999999E-2</v>
          </cell>
          <cell r="I138">
            <v>7.8474000000000002E-2</v>
          </cell>
          <cell r="J138">
            <v>0.23700600000000002</v>
          </cell>
          <cell r="K138">
            <v>0.23515800000000001</v>
          </cell>
          <cell r="L138">
            <v>0.27984000000000003</v>
          </cell>
          <cell r="M138">
            <v>0.176814</v>
          </cell>
          <cell r="N138">
            <v>8.4347999999999992E-2</v>
          </cell>
          <cell r="O138">
            <v>0.40854000000000001</v>
          </cell>
          <cell r="P138">
            <v>0.225324</v>
          </cell>
          <cell r="Q138">
            <v>5.4120000000000001E-2</v>
          </cell>
          <cell r="R138">
            <v>0.40906799999999999</v>
          </cell>
          <cell r="S138">
            <v>0.27079799999999998</v>
          </cell>
          <cell r="T138">
            <v>0.207372</v>
          </cell>
          <cell r="U138">
            <v>0.19912200000000002</v>
          </cell>
          <cell r="V138">
            <v>0.15206400000000003</v>
          </cell>
          <cell r="W138">
            <v>0.27260000000000001</v>
          </cell>
          <cell r="X138">
            <v>0.189</v>
          </cell>
          <cell r="Y138">
            <v>0.1072</v>
          </cell>
          <cell r="Z138">
            <v>0.44969999999999999</v>
          </cell>
          <cell r="AA138">
            <v>0.112</v>
          </cell>
          <cell r="AB138">
            <v>0.4401652614761517</v>
          </cell>
          <cell r="AC138">
            <v>0.21984801303614007</v>
          </cell>
          <cell r="AD138">
            <v>0.15364627260124672</v>
          </cell>
          <cell r="AE138">
            <v>0.15855763042086438</v>
          </cell>
        </row>
        <row r="139">
          <cell r="H139">
            <v>4.3112000000000004E-2</v>
          </cell>
          <cell r="I139">
            <v>4.0426000000000004E-2</v>
          </cell>
          <cell r="J139">
            <v>0.12209400000000002</v>
          </cell>
          <cell r="K139">
            <v>0.12114200000000001</v>
          </cell>
          <cell r="L139">
            <v>0.14416000000000001</v>
          </cell>
          <cell r="M139">
            <v>9.1086E-2</v>
          </cell>
          <cell r="N139">
            <v>4.3452000000000005E-2</v>
          </cell>
          <cell r="O139">
            <v>0.21046000000000001</v>
          </cell>
          <cell r="P139">
            <v>0.11607600000000001</v>
          </cell>
          <cell r="Q139">
            <v>2.7880000000000002E-2</v>
          </cell>
          <cell r="R139">
            <v>0.210732</v>
          </cell>
          <cell r="S139">
            <v>0.13950200000000001</v>
          </cell>
          <cell r="T139">
            <v>0.10682800000000001</v>
          </cell>
          <cell r="U139">
            <v>0.102578</v>
          </cell>
          <cell r="V139">
            <v>7.8336000000000017E-2</v>
          </cell>
          <cell r="W139">
            <v>0.14680000000000001</v>
          </cell>
          <cell r="X139">
            <v>0.24359999999999998</v>
          </cell>
          <cell r="Y139">
            <v>0.1031</v>
          </cell>
          <cell r="Z139">
            <v>0.1915</v>
          </cell>
          <cell r="AA139">
            <v>0.29419999999999996</v>
          </cell>
          <cell r="AB139">
            <v>0.35744725178671727</v>
          </cell>
          <cell r="AC139">
            <v>0.22417923952580085</v>
          </cell>
          <cell r="AD139">
            <v>0.17356368464901417</v>
          </cell>
          <cell r="AE139">
            <v>0.17526384939785247</v>
          </cell>
        </row>
        <row r="140">
          <cell r="H140">
            <v>0.1671</v>
          </cell>
          <cell r="I140">
            <v>7.1599999999999997E-2</v>
          </cell>
          <cell r="J140">
            <v>0.26939999999999997</v>
          </cell>
          <cell r="K140">
            <v>4.3299999999999998E-2</v>
          </cell>
          <cell r="L140">
            <v>4.5899999999999996E-2</v>
          </cell>
          <cell r="M140">
            <v>9.9299999999999999E-2</v>
          </cell>
          <cell r="N140">
            <v>0.22140000000000001</v>
          </cell>
          <cell r="O140">
            <v>0.3105</v>
          </cell>
          <cell r="P140">
            <v>0.33019999999999999</v>
          </cell>
          <cell r="Q140">
            <v>0.38160000000000005</v>
          </cell>
          <cell r="R140">
            <v>0.1825</v>
          </cell>
          <cell r="S140">
            <v>0.3387</v>
          </cell>
          <cell r="T140">
            <v>0.48710000000000003</v>
          </cell>
          <cell r="U140">
            <v>0.3115</v>
          </cell>
          <cell r="V140">
            <v>0.2233</v>
          </cell>
          <cell r="W140">
            <v>0.1108</v>
          </cell>
          <cell r="X140">
            <v>0.22839999999999999</v>
          </cell>
          <cell r="Y140">
            <v>0.25869999999999999</v>
          </cell>
          <cell r="Z140">
            <v>7.1999999999999995E-2</v>
          </cell>
          <cell r="AA140">
            <v>0.26689999999999997</v>
          </cell>
          <cell r="AB140">
            <v>0.13994319</v>
          </cell>
          <cell r="AC140">
            <v>0.13183231000000001</v>
          </cell>
          <cell r="AD140">
            <v>0.11379148000000006</v>
          </cell>
          <cell r="AE140">
            <v>0.11830017999999998</v>
          </cell>
        </row>
        <row r="141">
          <cell r="H141">
            <v>6.2100589823534016E-2</v>
          </cell>
          <cell r="I141">
            <v>8.3379812909919804E-2</v>
          </cell>
          <cell r="J141">
            <v>9.7754145239702855E-2</v>
          </cell>
          <cell r="K141">
            <v>7.3804162521046185E-2</v>
          </cell>
          <cell r="L141">
            <v>6.2144016809424593E-2</v>
          </cell>
          <cell r="M141">
            <v>0.18317502648648007</v>
          </cell>
          <cell r="N141">
            <v>0.13117121088250666</v>
          </cell>
          <cell r="O141">
            <v>0.17624842223693205</v>
          </cell>
          <cell r="P141">
            <v>7.8885119870244436E-2</v>
          </cell>
          <cell r="Q141">
            <v>7.6518349139207631E-2</v>
          </cell>
          <cell r="R141">
            <v>9.6277627719423012E-2</v>
          </cell>
          <cell r="S141">
            <v>0.13883607389219457</v>
          </cell>
          <cell r="T141">
            <v>0.17177544269020198</v>
          </cell>
          <cell r="U141">
            <v>0.24358196386028133</v>
          </cell>
          <cell r="V141">
            <v>9.1348664820841821E-2</v>
          </cell>
          <cell r="W141">
            <v>3.3659473654209432E-2</v>
          </cell>
          <cell r="X141">
            <v>5.7814844658594489E-2</v>
          </cell>
          <cell r="Y141">
            <v>2.6639964131567617E-2</v>
          </cell>
          <cell r="Z141">
            <v>4.7600000000000003E-2</v>
          </cell>
          <cell r="AA141">
            <v>2.12E-2</v>
          </cell>
          <cell r="AB141">
            <v>3.7391982114600208E-2</v>
          </cell>
          <cell r="AC141">
            <v>3.8556202084216395E-2</v>
          </cell>
          <cell r="AD141">
            <v>3.9254739655337212E-2</v>
          </cell>
          <cell r="AE141">
            <v>3.9612886681477867E-2</v>
          </cell>
        </row>
        <row r="142">
          <cell r="H142">
            <v>2.5129410176465982E-2</v>
          </cell>
          <cell r="I142">
            <v>3.3740187090080198E-2</v>
          </cell>
          <cell r="J142">
            <v>3.9556854760297154E-2</v>
          </cell>
          <cell r="K142">
            <v>2.9865337478953799E-2</v>
          </cell>
          <cell r="L142">
            <v>2.5146983190575397E-2</v>
          </cell>
          <cell r="M142">
            <v>7.4122973513519944E-2</v>
          </cell>
          <cell r="N142">
            <v>5.3079289117493357E-2</v>
          </cell>
          <cell r="O142">
            <v>7.1320077763067966E-2</v>
          </cell>
          <cell r="P142">
            <v>3.1921380129755567E-2</v>
          </cell>
          <cell r="Q142">
            <v>3.0963650860792346E-2</v>
          </cell>
          <cell r="R142">
            <v>3.8959372280576977E-2</v>
          </cell>
          <cell r="S142">
            <v>5.6180926107805416E-2</v>
          </cell>
          <cell r="T142">
            <v>6.9510057309798035E-2</v>
          </cell>
          <cell r="U142">
            <v>9.8567036139718664E-2</v>
          </cell>
          <cell r="V142">
            <v>3.6964835179158176E-2</v>
          </cell>
          <cell r="W142">
            <v>1.3620526345790574E-2</v>
          </cell>
          <cell r="X142">
            <v>2.3395155341405505E-2</v>
          </cell>
          <cell r="Y142">
            <v>1.0780035868432387E-2</v>
          </cell>
          <cell r="Z142">
            <v>4.7600000000000003E-2</v>
          </cell>
          <cell r="AA142">
            <v>2.12E-2</v>
          </cell>
          <cell r="AB142">
            <v>3.7391982114600208E-2</v>
          </cell>
          <cell r="AC142">
            <v>3.8556202084216395E-2</v>
          </cell>
          <cell r="AD142">
            <v>3.9254739655337212E-2</v>
          </cell>
          <cell r="AE142">
            <v>3.9612886681477867E-2</v>
          </cell>
        </row>
        <row r="143">
          <cell r="H143">
            <v>1.8200000000000001E-2</v>
          </cell>
          <cell r="I143">
            <v>2.7699999999999999E-2</v>
          </cell>
          <cell r="J143">
            <v>1.0199999999999999E-2</v>
          </cell>
          <cell r="K143">
            <v>7.4000000000000003E-3</v>
          </cell>
          <cell r="L143">
            <v>3.2199999999999999E-2</v>
          </cell>
          <cell r="M143">
            <v>1.3099999999999999E-2</v>
          </cell>
          <cell r="N143">
            <v>7.7200000000000005E-2</v>
          </cell>
          <cell r="O143">
            <v>4.1299999999999996E-2</v>
          </cell>
          <cell r="P143">
            <v>4.8000000000000001E-2</v>
          </cell>
          <cell r="Q143">
            <v>4.5499999999999999E-2</v>
          </cell>
          <cell r="R143">
            <v>5.1299999999999998E-2</v>
          </cell>
          <cell r="S143">
            <v>5.0299999999999997E-2</v>
          </cell>
          <cell r="T143">
            <v>2.52E-2</v>
          </cell>
          <cell r="U143">
            <v>3.0499999999999999E-2</v>
          </cell>
          <cell r="V143">
            <v>2.5999999999999999E-2</v>
          </cell>
          <cell r="W143">
            <v>6.9501599999999997E-2</v>
          </cell>
          <cell r="X143">
            <v>0.11937869999999999</v>
          </cell>
          <cell r="Y143">
            <v>5.5007399999999998E-2</v>
          </cell>
          <cell r="Z143">
            <v>0.3372</v>
          </cell>
          <cell r="AA143">
            <v>1.1285999999999998</v>
          </cell>
          <cell r="AB143">
            <v>0.74833557788539917</v>
          </cell>
          <cell r="AC143">
            <v>0.64686671791578354</v>
          </cell>
          <cell r="AD143">
            <v>0.63551037034466329</v>
          </cell>
          <cell r="AE143">
            <v>0.66337260331852244</v>
          </cell>
        </row>
        <row r="144">
          <cell r="H144">
            <v>1.6199999999999999E-2</v>
          </cell>
          <cell r="I144">
            <v>7.2800000000000004E-2</v>
          </cell>
          <cell r="J144">
            <v>0.23139999999999999</v>
          </cell>
          <cell r="K144">
            <v>6.2899999999999998E-2</v>
          </cell>
          <cell r="L144">
            <v>8.0299999999999996E-2</v>
          </cell>
          <cell r="M144">
            <v>0.1036</v>
          </cell>
          <cell r="N144">
            <v>0.13750000000000001</v>
          </cell>
          <cell r="O144">
            <v>0.12790000000000001</v>
          </cell>
          <cell r="P144">
            <v>0.24299999999999999</v>
          </cell>
          <cell r="Q144">
            <v>0.21619999999999998</v>
          </cell>
          <cell r="R144">
            <v>0.15919999999999998</v>
          </cell>
          <cell r="S144">
            <v>0.2424</v>
          </cell>
          <cell r="T144">
            <v>0.153</v>
          </cell>
          <cell r="U144">
            <v>0.15630000000000002</v>
          </cell>
          <cell r="V144">
            <v>0.32839999999999997</v>
          </cell>
          <cell r="W144">
            <v>0.2853</v>
          </cell>
          <cell r="X144">
            <v>8.43E-2</v>
          </cell>
          <cell r="Y144">
            <v>0.13190000000000002</v>
          </cell>
          <cell r="Z144">
            <v>0.14849999999999999</v>
          </cell>
          <cell r="AA144">
            <v>0.33030000000000004</v>
          </cell>
          <cell r="AB144">
            <v>0.26767490999999999</v>
          </cell>
          <cell r="AC144">
            <v>0.22668945999999998</v>
          </cell>
          <cell r="AD144">
            <v>0.21574797999999998</v>
          </cell>
          <cell r="AE144">
            <v>0.248752</v>
          </cell>
        </row>
        <row r="145">
          <cell r="H145">
            <v>5.5926000000000003E-2</v>
          </cell>
          <cell r="I145">
            <v>7.7945400000000012E-2</v>
          </cell>
          <cell r="J145">
            <v>3.9616200000000004E-2</v>
          </cell>
          <cell r="K145">
            <v>3.7861200000000005E-2</v>
          </cell>
          <cell r="L145">
            <v>4.8601800000000001E-2</v>
          </cell>
          <cell r="M145">
            <v>4.8461400000000002E-2</v>
          </cell>
          <cell r="N145">
            <v>0.1010412</v>
          </cell>
          <cell r="O145">
            <v>5.0918399999999996E-2</v>
          </cell>
          <cell r="P145">
            <v>5.8921200000000007E-2</v>
          </cell>
          <cell r="Q145">
            <v>8.45442E-2</v>
          </cell>
          <cell r="R145">
            <v>9.3974400000000013E-2</v>
          </cell>
          <cell r="S145">
            <v>5.9202000000000005E-2</v>
          </cell>
          <cell r="T145">
            <v>7.4201400000000001E-2</v>
          </cell>
          <cell r="U145">
            <v>0.1071486</v>
          </cell>
          <cell r="V145">
            <v>0.11398140000000001</v>
          </cell>
          <cell r="W145">
            <v>9.4021200000000013E-2</v>
          </cell>
          <cell r="X145">
            <v>5.4498600000000001E-2</v>
          </cell>
          <cell r="Y145">
            <v>5.9061600000000006E-2</v>
          </cell>
          <cell r="Z145">
            <v>0.3604</v>
          </cell>
          <cell r="AA145">
            <v>0.33529999999999999</v>
          </cell>
          <cell r="AB145">
            <v>0.18800158000000008</v>
          </cell>
          <cell r="AC145">
            <v>0.1901061300000001</v>
          </cell>
          <cell r="AD145">
            <v>0.24725164000000002</v>
          </cell>
          <cell r="AE145">
            <v>0.28489977000000005</v>
          </cell>
        </row>
        <row r="146">
          <cell r="H146">
            <v>0.18307400000000001</v>
          </cell>
          <cell r="I146">
            <v>0.25515460000000001</v>
          </cell>
          <cell r="J146">
            <v>0.12968380000000002</v>
          </cell>
          <cell r="K146">
            <v>0.12393880000000002</v>
          </cell>
          <cell r="L146">
            <v>0.1590982</v>
          </cell>
          <cell r="M146">
            <v>0.15863859999999999</v>
          </cell>
          <cell r="N146">
            <v>0.33075880000000002</v>
          </cell>
          <cell r="O146">
            <v>0.16668160000000001</v>
          </cell>
          <cell r="P146">
            <v>0.19287880000000002</v>
          </cell>
          <cell r="Q146">
            <v>0.2767558</v>
          </cell>
          <cell r="R146">
            <v>0.3076256</v>
          </cell>
          <cell r="S146">
            <v>0.193798</v>
          </cell>
          <cell r="T146">
            <v>0.24289860000000002</v>
          </cell>
          <cell r="U146">
            <v>0.35075139999999999</v>
          </cell>
          <cell r="V146">
            <v>0.37311860000000002</v>
          </cell>
          <cell r="W146">
            <v>0.30777879999999996</v>
          </cell>
          <cell r="X146">
            <v>0.17840139999999999</v>
          </cell>
          <cell r="Y146">
            <v>0.19333839999999999</v>
          </cell>
          <cell r="Z146">
            <v>0.3604</v>
          </cell>
          <cell r="AA146">
            <v>0.33529999999999999</v>
          </cell>
          <cell r="AB146">
            <v>0.18800158000000008</v>
          </cell>
          <cell r="AC146">
            <v>0.1901061300000001</v>
          </cell>
          <cell r="AD146">
            <v>0.24725164000000002</v>
          </cell>
          <cell r="AE146">
            <v>0.28489977000000005</v>
          </cell>
        </row>
        <row r="147">
          <cell r="H147">
            <v>0.13889000000000001</v>
          </cell>
          <cell r="I147">
            <v>8.6394000000000026E-2</v>
          </cell>
          <cell r="J147">
            <v>8.9862000000000011E-2</v>
          </cell>
          <cell r="K147">
            <v>0.10047000000000002</v>
          </cell>
          <cell r="L147">
            <v>9.1595999999999997E-2</v>
          </cell>
          <cell r="M147">
            <v>5.3102692600000008E-2</v>
          </cell>
          <cell r="N147">
            <v>7.5077616799999997E-2</v>
          </cell>
          <cell r="O147">
            <v>0.14943000000000001</v>
          </cell>
          <cell r="P147">
            <v>0.19896800000000001</v>
          </cell>
          <cell r="Q147">
            <v>0.17751400000000001</v>
          </cell>
          <cell r="R147">
            <v>0.29961847200000008</v>
          </cell>
          <cell r="S147">
            <v>0.32215000000000005</v>
          </cell>
          <cell r="T147">
            <v>0.23167600000000005</v>
          </cell>
          <cell r="U147">
            <v>0.13569400000000001</v>
          </cell>
          <cell r="V147">
            <v>0.19543199999999999</v>
          </cell>
          <cell r="W147">
            <v>7.3900000000000007E-2</v>
          </cell>
          <cell r="X147">
            <v>0.19789999999999999</v>
          </cell>
          <cell r="Y147">
            <v>0.19040000000000001</v>
          </cell>
          <cell r="Z147">
            <v>0.27250000000000002</v>
          </cell>
          <cell r="AA147">
            <v>0.30969999999999998</v>
          </cell>
          <cell r="AB147">
            <v>0.14437921709174992</v>
          </cell>
          <cell r="AC147">
            <v>0.12593667786924057</v>
          </cell>
          <cell r="AD147">
            <v>0.11274781687252457</v>
          </cell>
          <cell r="AE147">
            <v>0.11357810546743598</v>
          </cell>
        </row>
        <row r="148">
          <cell r="H148">
            <v>0.26961000000000002</v>
          </cell>
          <cell r="I148">
            <v>0.16770600000000002</v>
          </cell>
          <cell r="J148">
            <v>0.17443800000000001</v>
          </cell>
          <cell r="K148">
            <v>0.19503000000000001</v>
          </cell>
          <cell r="L148">
            <v>0.17780399999999999</v>
          </cell>
          <cell r="M148">
            <v>0.10308169740000001</v>
          </cell>
          <cell r="N148">
            <v>0.14573890320000002</v>
          </cell>
          <cell r="O148">
            <v>0.29006999999999999</v>
          </cell>
          <cell r="P148">
            <v>0.38623200000000002</v>
          </cell>
          <cell r="Q148">
            <v>0.344586</v>
          </cell>
          <cell r="R148">
            <v>0.58161232800000007</v>
          </cell>
          <cell r="S148">
            <v>0.62535000000000007</v>
          </cell>
          <cell r="T148">
            <v>0.44972400000000012</v>
          </cell>
          <cell r="U148">
            <v>0.26340600000000003</v>
          </cell>
          <cell r="V148">
            <v>0.37936799999999998</v>
          </cell>
          <cell r="W148">
            <v>0.15509999999999999</v>
          </cell>
          <cell r="X148">
            <v>0.2155</v>
          </cell>
          <cell r="Y148">
            <v>0.21199999999999999</v>
          </cell>
          <cell r="Z148">
            <v>0.20980000000000001</v>
          </cell>
          <cell r="AA148">
            <v>0.19269999999999998</v>
          </cell>
          <cell r="AB148">
            <v>0.28119913349861531</v>
          </cell>
          <cell r="AC148">
            <v>0.25254892801661488</v>
          </cell>
          <cell r="AD148">
            <v>0.26806078039084402</v>
          </cell>
          <cell r="AE148">
            <v>0.28886737875496393</v>
          </cell>
        </row>
        <row r="168">
          <cell r="G168" t="str">
            <v>Western MT portion of state</v>
          </cell>
        </row>
        <row r="169">
          <cell r="H169">
            <v>5.8452515664333813</v>
          </cell>
          <cell r="I169">
            <v>2.3942560490388454</v>
          </cell>
          <cell r="J169">
            <v>3.2535508684892789</v>
          </cell>
          <cell r="K169">
            <v>3.8808061249763441</v>
          </cell>
          <cell r="L169">
            <v>2.6785158945721284</v>
          </cell>
          <cell r="M169">
            <v>2.1289433230787926</v>
          </cell>
          <cell r="N169">
            <v>1.9047034050448099</v>
          </cell>
          <cell r="O169">
            <v>2.9945048391710078</v>
          </cell>
          <cell r="P169">
            <v>3.7348996623363648</v>
          </cell>
          <cell r="Q169">
            <v>4.3096744291447084</v>
          </cell>
          <cell r="R169">
            <v>4.6932151602156393</v>
          </cell>
          <cell r="S169">
            <v>6.7040926655271003</v>
          </cell>
          <cell r="T169">
            <v>8.0155996509731651</v>
          </cell>
          <cell r="U169">
            <v>8.5121404979223296</v>
          </cell>
          <cell r="V169">
            <v>5.7106188925677364</v>
          </cell>
          <cell r="W169">
            <v>3.9531865469773946</v>
          </cell>
          <cell r="X169">
            <v>3.613957014984337</v>
          </cell>
          <cell r="Y169">
            <v>4.2577960031375479</v>
          </cell>
          <cell r="Z169">
            <v>2.9053730099999999</v>
          </cell>
          <cell r="AA169">
            <v>5.76397475</v>
          </cell>
          <cell r="AB169">
            <v>4.1477159651255757</v>
          </cell>
          <cell r="AC169">
            <v>4.3042855770003277</v>
          </cell>
          <cell r="AD169">
            <v>3.9757692712668407</v>
          </cell>
          <cell r="AE169">
            <v>3.9080659306945158</v>
          </cell>
        </row>
        <row r="170">
          <cell r="H170">
            <v>2.6335253613638385</v>
          </cell>
          <cell r="I170">
            <v>1.0787104635412517</v>
          </cell>
          <cell r="J170">
            <v>1.4658579924699486</v>
          </cell>
          <cell r="K170">
            <v>1.7484621896089618</v>
          </cell>
          <cell r="L170">
            <v>1.2067811725468609</v>
          </cell>
          <cell r="M170">
            <v>0.95917620833130801</v>
          </cell>
          <cell r="N170">
            <v>0.85814693620145599</v>
          </cell>
          <cell r="O170">
            <v>1.3491471408980753</v>
          </cell>
          <cell r="P170">
            <v>1.6827253491356049</v>
          </cell>
          <cell r="Q170">
            <v>1.9416849350932321</v>
          </cell>
          <cell r="R170">
            <v>2.1144857514330568</v>
          </cell>
          <cell r="S170">
            <v>3.0204684706789751</v>
          </cell>
          <cell r="T170">
            <v>3.6113561114457378</v>
          </cell>
          <cell r="U170">
            <v>3.8350681105841429</v>
          </cell>
          <cell r="V170">
            <v>2.5728678247182866</v>
          </cell>
          <cell r="W170">
            <v>1.7810725357744892</v>
          </cell>
          <cell r="X170">
            <v>1.628235730433635</v>
          </cell>
          <cell r="Y170">
            <v>1.9183115782676574</v>
          </cell>
          <cell r="Z170">
            <v>2.52049922</v>
          </cell>
          <cell r="AA170">
            <v>4.3866505</v>
          </cell>
          <cell r="AB170">
            <v>3.3467175863389964</v>
          </cell>
          <cell r="AC170">
            <v>3.4921085643107492</v>
          </cell>
          <cell r="AD170">
            <v>3.2325006595168051</v>
          </cell>
          <cell r="AE170">
            <v>3.2055077433563333</v>
          </cell>
        </row>
        <row r="171">
          <cell r="H171">
            <v>3.0901020722027819</v>
          </cell>
          <cell r="I171">
            <v>1.2657274874199036</v>
          </cell>
          <cell r="J171">
            <v>1.7199951390407733</v>
          </cell>
          <cell r="K171">
            <v>2.0515946854146958</v>
          </cell>
          <cell r="L171">
            <v>1.4160019328810107</v>
          </cell>
          <cell r="M171">
            <v>1.1254694685898994</v>
          </cell>
          <cell r="N171">
            <v>1.0069246587537342</v>
          </cell>
          <cell r="O171">
            <v>1.5830500199309174</v>
          </cell>
          <cell r="P171">
            <v>1.9744609885280306</v>
          </cell>
          <cell r="Q171">
            <v>2.2783166357620592</v>
          </cell>
          <cell r="R171">
            <v>2.4810760883513034</v>
          </cell>
          <cell r="S171">
            <v>3.5441298637939256</v>
          </cell>
          <cell r="T171">
            <v>4.2374602375810966</v>
          </cell>
          <cell r="U171">
            <v>4.4999573914935276</v>
          </cell>
          <cell r="V171">
            <v>3.0189282827139783</v>
          </cell>
          <cell r="W171">
            <v>2.0898587172481164</v>
          </cell>
          <cell r="X171">
            <v>1.9105244545820284</v>
          </cell>
          <cell r="Y171">
            <v>2.2508910185947957</v>
          </cell>
          <cell r="Z171">
            <v>0.65600877000000002</v>
          </cell>
          <cell r="AA171">
            <v>1.1345497499999999</v>
          </cell>
          <cell r="AB171">
            <v>0.87002001760199665</v>
          </cell>
          <cell r="AC171">
            <v>0.90846325570362163</v>
          </cell>
          <cell r="AD171">
            <v>0.8416976698075469</v>
          </cell>
          <cell r="AE171">
            <v>0.83495356000334453</v>
          </cell>
        </row>
        <row r="172">
          <cell r="H172">
            <v>1.9601639052244866</v>
          </cell>
          <cell r="I172">
            <v>1.8139548177464644</v>
          </cell>
          <cell r="J172">
            <v>1.5990745699068862</v>
          </cell>
          <cell r="K172">
            <v>1.2830229881440107</v>
          </cell>
          <cell r="L172">
            <v>0.979871173680254</v>
          </cell>
          <cell r="M172">
            <v>1.241660719000097</v>
          </cell>
          <cell r="N172">
            <v>1.8848305823635303</v>
          </cell>
          <cell r="O172">
            <v>2.4988567954738619</v>
          </cell>
          <cell r="P172">
            <v>2.288456066580165</v>
          </cell>
          <cell r="Q172">
            <v>1.2544054066975698</v>
          </cell>
          <cell r="R172">
            <v>1.5651299718837426</v>
          </cell>
          <cell r="S172">
            <v>2.1687149616138099</v>
          </cell>
          <cell r="T172">
            <v>2.726992850636329</v>
          </cell>
          <cell r="U172">
            <v>2.3639545922978495</v>
          </cell>
          <cell r="V172">
            <v>2.12134434059036</v>
          </cell>
          <cell r="W172">
            <v>1.7332075021200439</v>
          </cell>
          <cell r="X172">
            <v>1.6498023915828299</v>
          </cell>
          <cell r="Y172">
            <v>1.7728331175696301</v>
          </cell>
          <cell r="Z172">
            <v>3.0494837200000005</v>
          </cell>
          <cell r="AA172">
            <v>3.9300753599999996</v>
          </cell>
          <cell r="AB172">
            <v>3.2949268651724135</v>
          </cell>
          <cell r="AC172">
            <v>3.0804508752407767</v>
          </cell>
          <cell r="AD172">
            <v>2.9901146137661283</v>
          </cell>
          <cell r="AE172">
            <v>3.1209850609635708</v>
          </cell>
        </row>
        <row r="173">
          <cell r="H173">
            <v>3.620390059325949</v>
          </cell>
          <cell r="I173">
            <v>3.3503443118873304</v>
          </cell>
          <cell r="J173">
            <v>2.9534640759282804</v>
          </cell>
          <cell r="K173">
            <v>2.3697220726198811</v>
          </cell>
          <cell r="L173">
            <v>1.8098057244890269</v>
          </cell>
          <cell r="M173">
            <v>2.2933266509713843</v>
          </cell>
          <cell r="N173">
            <v>3.4812506677195292</v>
          </cell>
          <cell r="O173">
            <v>4.6153468482405211</v>
          </cell>
          <cell r="P173">
            <v>4.2267402091062101</v>
          </cell>
          <cell r="Q173">
            <v>2.3168658767096826</v>
          </cell>
          <cell r="R173">
            <v>2.8907689691960035</v>
          </cell>
          <cell r="S173">
            <v>4.0055803841765441</v>
          </cell>
          <cell r="T173">
            <v>5.0367103393662491</v>
          </cell>
          <cell r="U173">
            <v>4.366184727635269</v>
          </cell>
          <cell r="V173">
            <v>3.9180876367586932</v>
          </cell>
          <cell r="W173">
            <v>3.2012053658879802</v>
          </cell>
          <cell r="X173">
            <v>3.0471575169907066</v>
          </cell>
          <cell r="Y173">
            <v>3.2743932171110264</v>
          </cell>
          <cell r="Z173">
            <v>1.21717136</v>
          </cell>
          <cell r="AA173">
            <v>1.5786711799999997</v>
          </cell>
          <cell r="AB173">
            <v>1.3199722007364803</v>
          </cell>
          <cell r="AC173">
            <v>1.2300279538780112</v>
          </cell>
          <cell r="AD173">
            <v>1.196371930895225</v>
          </cell>
          <cell r="AE173">
            <v>1.248350009064233</v>
          </cell>
        </row>
        <row r="174">
          <cell r="H174">
            <v>0.90509751483148726</v>
          </cell>
          <cell r="I174">
            <v>0.8375860779718326</v>
          </cell>
          <cell r="J174">
            <v>0.7383660189820701</v>
          </cell>
          <cell r="K174">
            <v>0.59243051815497028</v>
          </cell>
          <cell r="L174">
            <v>0.45245143112225672</v>
          </cell>
          <cell r="M174">
            <v>0.57333166274284608</v>
          </cell>
          <cell r="N174">
            <v>0.87031266692988229</v>
          </cell>
          <cell r="O174">
            <v>1.1538367120601303</v>
          </cell>
          <cell r="P174">
            <v>1.0566850522765525</v>
          </cell>
          <cell r="Q174">
            <v>0.57921646917742065</v>
          </cell>
          <cell r="R174">
            <v>0.72269224229900086</v>
          </cell>
          <cell r="S174">
            <v>1.001395096044136</v>
          </cell>
          <cell r="T174">
            <v>1.2591775848415623</v>
          </cell>
          <cell r="U174">
            <v>1.0915461819088172</v>
          </cell>
          <cell r="V174">
            <v>0.9795219091896733</v>
          </cell>
          <cell r="W174">
            <v>0.80030134147199505</v>
          </cell>
          <cell r="X174">
            <v>0.76178937924767665</v>
          </cell>
          <cell r="Y174">
            <v>0.81859830427775659</v>
          </cell>
          <cell r="Z174">
            <v>4.4185782000000007</v>
          </cell>
          <cell r="AA174">
            <v>5.8084251000000009</v>
          </cell>
          <cell r="AB174">
            <v>4.8341193729503171</v>
          </cell>
          <cell r="AC174">
            <v>4.4973948910402894</v>
          </cell>
          <cell r="AD174">
            <v>4.3749492047650769</v>
          </cell>
          <cell r="AE174">
            <v>4.5648201170153557</v>
          </cell>
        </row>
        <row r="175">
          <cell r="H175">
            <v>1.7474878206180771</v>
          </cell>
          <cell r="I175">
            <v>1.6171422923943721</v>
          </cell>
          <cell r="J175">
            <v>1.4255763651827631</v>
          </cell>
          <cell r="K175">
            <v>1.1438161060811387</v>
          </cell>
          <cell r="L175">
            <v>0.87355600070846262</v>
          </cell>
          <cell r="M175">
            <v>1.1069416072856728</v>
          </cell>
          <cell r="N175">
            <v>1.6803280979870585</v>
          </cell>
          <cell r="O175">
            <v>2.2277329992254882</v>
          </cell>
          <cell r="P175">
            <v>2.0401605670370717</v>
          </cell>
          <cell r="Q175">
            <v>1.1183035074153274</v>
          </cell>
          <cell r="R175">
            <v>1.3953147266212531</v>
          </cell>
          <cell r="S175">
            <v>1.9334112681655102</v>
          </cell>
          <cell r="T175">
            <v>2.4311164901558593</v>
          </cell>
          <cell r="U175">
            <v>2.1074675681580644</v>
          </cell>
          <cell r="V175">
            <v>1.8911803184612741</v>
          </cell>
          <cell r="W175">
            <v>1.5451559905199812</v>
          </cell>
          <cell r="X175">
            <v>1.4708002621787872</v>
          </cell>
          <cell r="Y175">
            <v>1.580482261041587</v>
          </cell>
          <cell r="Z175">
            <v>1.38987072</v>
          </cell>
          <cell r="AA175">
            <v>1.8173303599999999</v>
          </cell>
          <cell r="AB175">
            <v>1.5136049433773811</v>
          </cell>
          <cell r="AC175">
            <v>1.4027949732052674</v>
          </cell>
          <cell r="AD175">
            <v>1.3671049082637361</v>
          </cell>
          <cell r="AE175">
            <v>1.4256651163527188</v>
          </cell>
        </row>
        <row r="176">
          <cell r="H176">
            <v>2.3326221600000001</v>
          </cell>
          <cell r="I176">
            <v>2.1343561800000002</v>
          </cell>
          <cell r="J176">
            <v>2.7849274200000003</v>
          </cell>
          <cell r="K176">
            <v>3.7213380599999999</v>
          </cell>
          <cell r="L176">
            <v>3.8396688000000001</v>
          </cell>
          <cell r="M176">
            <v>4.5304399799999997</v>
          </cell>
          <cell r="N176">
            <v>3.8655843599999997</v>
          </cell>
          <cell r="O176">
            <v>3.7622019600000001</v>
          </cell>
          <cell r="P176">
            <v>4.9317826799999995</v>
          </cell>
          <cell r="Q176">
            <v>3.5256144000000003</v>
          </cell>
          <cell r="R176">
            <v>4.1166087600000001</v>
          </cell>
          <cell r="S176">
            <v>3.6865428600000003</v>
          </cell>
          <cell r="T176">
            <v>4.4936060400000004</v>
          </cell>
          <cell r="U176">
            <v>4.0552175400000001</v>
          </cell>
          <cell r="V176">
            <v>4.7025844800000005</v>
          </cell>
          <cell r="W176">
            <v>5.7826820000000012</v>
          </cell>
          <cell r="X176">
            <v>6.4745300000000006</v>
          </cell>
          <cell r="Y176">
            <v>4.3306040000000001</v>
          </cell>
          <cell r="Z176">
            <v>5.0644289999999996</v>
          </cell>
          <cell r="AA176">
            <v>4.8802399999999997</v>
          </cell>
          <cell r="AB176">
            <v>5.314560624425317</v>
          </cell>
          <cell r="AC176">
            <v>5.8392883922912757</v>
          </cell>
          <cell r="AD176">
            <v>5.5907307068579604</v>
          </cell>
          <cell r="AE176">
            <v>5.3970025110934667</v>
          </cell>
        </row>
        <row r="177">
          <cell r="H177">
            <v>1.2016538399999999</v>
          </cell>
          <cell r="I177">
            <v>1.0995168200000001</v>
          </cell>
          <cell r="J177">
            <v>1.4346595800000002</v>
          </cell>
          <cell r="K177">
            <v>1.91705294</v>
          </cell>
          <cell r="L177">
            <v>1.9780112000000001</v>
          </cell>
          <cell r="M177">
            <v>2.3338630200000003</v>
          </cell>
          <cell r="N177">
            <v>1.99136164</v>
          </cell>
          <cell r="O177">
            <v>1.93810404</v>
          </cell>
          <cell r="P177">
            <v>2.5406153199999997</v>
          </cell>
          <cell r="Q177">
            <v>1.8162256000000001</v>
          </cell>
          <cell r="R177">
            <v>2.12067724</v>
          </cell>
          <cell r="S177">
            <v>1.8991281399999997</v>
          </cell>
          <cell r="T177">
            <v>2.3148879600000005</v>
          </cell>
          <cell r="U177">
            <v>2.0890514600000003</v>
          </cell>
          <cell r="V177">
            <v>2.4225435200000001</v>
          </cell>
          <cell r="W177">
            <v>2.7598760000000002</v>
          </cell>
          <cell r="X177">
            <v>3.2231519999999998</v>
          </cell>
          <cell r="Y177">
            <v>1.711967</v>
          </cell>
          <cell r="Z177">
            <v>2.2422549999999997</v>
          </cell>
          <cell r="AA177">
            <v>1.9980939999999998</v>
          </cell>
          <cell r="AB177">
            <v>2.2146394799898173</v>
          </cell>
          <cell r="AC177">
            <v>2.4529568455976025</v>
          </cell>
          <cell r="AD177">
            <v>2.3252751304701671</v>
          </cell>
          <cell r="AE177">
            <v>2.2545756506342292</v>
          </cell>
        </row>
        <row r="178">
          <cell r="H178">
            <v>7.7681670999999994</v>
          </cell>
          <cell r="I178">
            <v>6.1909778999999991</v>
          </cell>
          <cell r="J178">
            <v>6.2494579999999997</v>
          </cell>
          <cell r="K178">
            <v>6.6152219000000008</v>
          </cell>
          <cell r="L178">
            <v>5.5810154000000001</v>
          </cell>
          <cell r="M178">
            <v>5.2429889000000003</v>
          </cell>
          <cell r="N178">
            <v>4.4018980000000001</v>
          </cell>
          <cell r="O178">
            <v>6.0446849999999994</v>
          </cell>
          <cell r="P178">
            <v>9.751614</v>
          </cell>
          <cell r="Q178">
            <v>11.116424999999998</v>
          </cell>
          <cell r="R178">
            <v>11.370925</v>
          </cell>
          <cell r="S178">
            <v>11.869458999999999</v>
          </cell>
          <cell r="T178">
            <v>10.888947</v>
          </cell>
          <cell r="U178">
            <v>9.4940550000000012</v>
          </cell>
          <cell r="V178">
            <v>10.433181000000001</v>
          </cell>
          <cell r="W178">
            <v>5.9005559999999999</v>
          </cell>
          <cell r="X178">
            <v>6.8123880000000003</v>
          </cell>
          <cell r="Y178">
            <v>6.1123589999999997</v>
          </cell>
          <cell r="Z178">
            <v>9.229140000000001</v>
          </cell>
          <cell r="AA178">
            <v>8.458632999999999</v>
          </cell>
          <cell r="AB178">
            <v>8.0452519383000087</v>
          </cell>
          <cell r="AC178">
            <v>7.6519041966999959</v>
          </cell>
          <cell r="AD178">
            <v>7.4193123636000031</v>
          </cell>
          <cell r="AE178">
            <v>7.7886886725999984</v>
          </cell>
        </row>
        <row r="179">
          <cell r="H179">
            <v>0.94562667569891845</v>
          </cell>
          <cell r="I179">
            <v>0.87797440847584418</v>
          </cell>
          <cell r="J179">
            <v>0.76896588931383225</v>
          </cell>
          <cell r="K179">
            <v>0.63948110135578418</v>
          </cell>
          <cell r="L179">
            <v>0.43394926096228958</v>
          </cell>
          <cell r="M179">
            <v>0.70856563684818685</v>
          </cell>
          <cell r="N179">
            <v>0.99833300111063006</v>
          </cell>
          <cell r="O179">
            <v>1.2788148464054281</v>
          </cell>
          <cell r="P179">
            <v>1.1413744588863326</v>
          </cell>
          <cell r="Q179">
            <v>0.71823731071012475</v>
          </cell>
          <cell r="R179">
            <v>0.84101134433644587</v>
          </cell>
          <cell r="S179">
            <v>1.2251082266483837</v>
          </cell>
          <cell r="T179">
            <v>1.5651012636603874</v>
          </cell>
          <cell r="U179">
            <v>1.2759510039866273</v>
          </cell>
          <cell r="V179">
            <v>1.107505460703968</v>
          </cell>
          <cell r="W179">
            <v>0.63798485303363595</v>
          </cell>
          <cell r="X179">
            <v>0.62624539967892912</v>
          </cell>
          <cell r="Y179">
            <v>0.67166554183832972</v>
          </cell>
          <cell r="Z179">
            <v>0.492732</v>
          </cell>
          <cell r="AA179">
            <v>0.49918399999999996</v>
          </cell>
          <cell r="AB179">
            <v>0.51242220696340901</v>
          </cell>
          <cell r="AC179">
            <v>0.56820095103565071</v>
          </cell>
          <cell r="AD179">
            <v>0.49314781500982674</v>
          </cell>
          <cell r="AE179">
            <v>0.5050087559041242</v>
          </cell>
        </row>
        <row r="180">
          <cell r="H180">
            <v>0.38265402430108175</v>
          </cell>
          <cell r="I180">
            <v>0.35527809152415585</v>
          </cell>
          <cell r="J180">
            <v>0.31116708068616789</v>
          </cell>
          <cell r="K180">
            <v>0.25877021364421587</v>
          </cell>
          <cell r="L180">
            <v>0.17560040903771046</v>
          </cell>
          <cell r="M180">
            <v>0.28672572315181322</v>
          </cell>
          <cell r="N180">
            <v>0.4039819838893699</v>
          </cell>
          <cell r="O180">
            <v>0.51748079859457219</v>
          </cell>
          <cell r="P180">
            <v>0.46186464611366751</v>
          </cell>
          <cell r="Q180">
            <v>0.29063942928987535</v>
          </cell>
          <cell r="R180">
            <v>0.34032074566355414</v>
          </cell>
          <cell r="S180">
            <v>0.49574806335161636</v>
          </cell>
          <cell r="T180">
            <v>0.63332847133961268</v>
          </cell>
          <cell r="U180">
            <v>0.51632192601337268</v>
          </cell>
          <cell r="V180">
            <v>0.44815933429603194</v>
          </cell>
          <cell r="W180">
            <v>0.25816474696636388</v>
          </cell>
          <cell r="X180">
            <v>0.25341430032107087</v>
          </cell>
          <cell r="Y180">
            <v>0.27179385816167018</v>
          </cell>
          <cell r="Z180">
            <v>0.492732</v>
          </cell>
          <cell r="AA180">
            <v>0.49918399999999996</v>
          </cell>
          <cell r="AB180">
            <v>0.51242220696340901</v>
          </cell>
          <cell r="AC180">
            <v>0.56820095103565071</v>
          </cell>
          <cell r="AD180">
            <v>0.49314781500982674</v>
          </cell>
          <cell r="AE180">
            <v>0.5050087559041242</v>
          </cell>
        </row>
        <row r="181">
          <cell r="H181">
            <v>0.40274807407407415</v>
          </cell>
          <cell r="I181">
            <v>0.37036307407407404</v>
          </cell>
          <cell r="J181">
            <v>0.48768807407407411</v>
          </cell>
          <cell r="K181">
            <v>0.46379207407407413</v>
          </cell>
          <cell r="L181">
            <v>0.53812807407407393</v>
          </cell>
          <cell r="M181">
            <v>0.42164107407407414</v>
          </cell>
          <cell r="N181">
            <v>0.43037807407407414</v>
          </cell>
          <cell r="O181">
            <v>0.50291507407407388</v>
          </cell>
          <cell r="P181">
            <v>0.48163407407407416</v>
          </cell>
          <cell r="Q181">
            <v>0.45580907407407417</v>
          </cell>
          <cell r="R181">
            <v>0.6205150740740738</v>
          </cell>
          <cell r="S181">
            <v>0.56234507407407419</v>
          </cell>
          <cell r="T181">
            <v>0.58473807407407419</v>
          </cell>
          <cell r="U181">
            <v>0.5404590740740739</v>
          </cell>
          <cell r="V181">
            <v>0.42069407407407394</v>
          </cell>
          <cell r="W181">
            <v>1.2428048860740741</v>
          </cell>
          <cell r="X181">
            <v>1.1604115330740739</v>
          </cell>
          <cell r="Y181">
            <v>1.2477731920740742</v>
          </cell>
          <cell r="Z181">
            <v>8.7690780740740752</v>
          </cell>
          <cell r="AA181">
            <v>11.037976074074074</v>
          </cell>
          <cell r="AB181">
            <v>9.3237041313177169</v>
          </cell>
          <cell r="AC181">
            <v>8.7162296123734357</v>
          </cell>
          <cell r="AD181">
            <v>8.4335868012343536</v>
          </cell>
          <cell r="AE181">
            <v>8.7947699601225242</v>
          </cell>
        </row>
        <row r="182">
          <cell r="H182">
            <v>1.2680339999999999</v>
          </cell>
          <cell r="I182">
            <v>3.2701959999999999</v>
          </cell>
          <cell r="J182">
            <v>2.1934979999999999</v>
          </cell>
          <cell r="K182">
            <v>2.1689530000000001</v>
          </cell>
          <cell r="L182">
            <v>1.452771</v>
          </cell>
          <cell r="M182">
            <v>0.90405199999999997</v>
          </cell>
          <cell r="N182">
            <v>1.359175</v>
          </cell>
          <cell r="O182">
            <v>1.5139029999999998</v>
          </cell>
          <cell r="P182">
            <v>2.30301</v>
          </cell>
          <cell r="Q182">
            <v>2.7516340000000001</v>
          </cell>
          <cell r="R182">
            <v>4.7814439999999996</v>
          </cell>
          <cell r="S182">
            <v>4.4062680000000007</v>
          </cell>
          <cell r="T182">
            <v>3.36571</v>
          </cell>
          <cell r="U182">
            <v>3.4345909999999997</v>
          </cell>
          <cell r="V182">
            <v>2.0285880000000001</v>
          </cell>
          <cell r="W182">
            <v>0.95992100000000002</v>
          </cell>
          <cell r="X182">
            <v>1.6628509999999999</v>
          </cell>
          <cell r="Y182">
            <v>1.8797829999999998</v>
          </cell>
          <cell r="Z182">
            <v>2.3661449999999999</v>
          </cell>
          <cell r="AA182">
            <v>3.0826709999999999</v>
          </cell>
          <cell r="AB182">
            <v>3.0169681880581578</v>
          </cell>
          <cell r="AC182">
            <v>2.5401827085011996</v>
          </cell>
          <cell r="AD182">
            <v>2.2922556070064219</v>
          </cell>
          <cell r="AE182">
            <v>2.6029925645564869</v>
          </cell>
        </row>
        <row r="183">
          <cell r="H183">
            <v>0.75905672000000002</v>
          </cell>
          <cell r="I183">
            <v>0.75352307799999996</v>
          </cell>
          <cell r="J183">
            <v>1.0492427340000001</v>
          </cell>
          <cell r="K183">
            <v>0.82287268399999991</v>
          </cell>
          <cell r="L183">
            <v>0.67738382599999991</v>
          </cell>
          <cell r="M183">
            <v>1.2262085980000001</v>
          </cell>
          <cell r="N183">
            <v>0.94672238399999986</v>
          </cell>
          <cell r="O183">
            <v>0.94664478799999996</v>
          </cell>
          <cell r="P183">
            <v>0.89970378400000006</v>
          </cell>
          <cell r="Q183">
            <v>0.77038129399999988</v>
          </cell>
          <cell r="R183">
            <v>1.1871685080000001</v>
          </cell>
          <cell r="S183">
            <v>1.3819149399999999</v>
          </cell>
          <cell r="T183">
            <v>2.1635749979999996</v>
          </cell>
          <cell r="U183">
            <v>1.9397220020000001</v>
          </cell>
          <cell r="V183">
            <v>1.5831111979999999</v>
          </cell>
          <cell r="W183">
            <v>1.026218284</v>
          </cell>
          <cell r="X183">
            <v>1.045345602</v>
          </cell>
          <cell r="Y183">
            <v>1.134643912</v>
          </cell>
          <cell r="Z183">
            <v>7.6951280000000004</v>
          </cell>
          <cell r="AA183">
            <v>4.5313210000000002</v>
          </cell>
          <cell r="AB183">
            <v>4.4960725606</v>
          </cell>
          <cell r="AC183">
            <v>4.5696217040999993</v>
          </cell>
          <cell r="AD183">
            <v>4.8413475147999998</v>
          </cell>
          <cell r="AE183">
            <v>5.1556288689000001</v>
          </cell>
        </row>
        <row r="184">
          <cell r="H184">
            <v>1.5868732800000001</v>
          </cell>
          <cell r="I184">
            <v>1.5850439220000003</v>
          </cell>
          <cell r="J184">
            <v>2.1840582660000001</v>
          </cell>
          <cell r="K184">
            <v>1.6983533159999999</v>
          </cell>
          <cell r="L184">
            <v>1.4102051739999999</v>
          </cell>
          <cell r="M184">
            <v>2.5247384019999997</v>
          </cell>
          <cell r="N184">
            <v>1.9978036160000001</v>
          </cell>
          <cell r="O184">
            <v>1.9580872119999999</v>
          </cell>
          <cell r="P184">
            <v>1.839522216</v>
          </cell>
          <cell r="Q184">
            <v>1.601259706</v>
          </cell>
          <cell r="R184">
            <v>2.454743492</v>
          </cell>
          <cell r="S184">
            <v>2.82329506</v>
          </cell>
          <cell r="T184">
            <v>4.3995720020000002</v>
          </cell>
          <cell r="U184">
            <v>3.9502809980000002</v>
          </cell>
          <cell r="V184">
            <v>3.2548358020000001</v>
          </cell>
          <cell r="W184">
            <v>3.1835925159999996</v>
          </cell>
          <cell r="X184">
            <v>3.2696349979999999</v>
          </cell>
          <cell r="Y184">
            <v>3.3710648879999998</v>
          </cell>
          <cell r="Z184">
            <v>7.6951280000000004</v>
          </cell>
          <cell r="AA184">
            <v>4.5313210000000002</v>
          </cell>
          <cell r="AB184">
            <v>4.4960725606</v>
          </cell>
          <cell r="AC184">
            <v>4.5696217040999993</v>
          </cell>
          <cell r="AD184">
            <v>4.8413475147999998</v>
          </cell>
          <cell r="AE184">
            <v>5.1556288689000001</v>
          </cell>
        </row>
        <row r="185">
          <cell r="H185">
            <v>2.0197172999999999</v>
          </cell>
          <cell r="I185">
            <v>2.4033025800000001</v>
          </cell>
          <cell r="J185">
            <v>1.6100873399999998</v>
          </cell>
          <cell r="K185">
            <v>2.2882799</v>
          </cell>
          <cell r="L185">
            <v>2.8939977200000002</v>
          </cell>
          <cell r="M185">
            <v>2.6208346827820002</v>
          </cell>
          <cell r="N185">
            <v>2.808180909576</v>
          </cell>
          <cell r="O185">
            <v>2.4410076620000001</v>
          </cell>
          <cell r="P185">
            <v>3.4118360120000002</v>
          </cell>
          <cell r="Q185">
            <v>4.6980795400000002</v>
          </cell>
          <cell r="R185">
            <v>5.0203619890400004</v>
          </cell>
          <cell r="S185">
            <v>6.1223928520000008</v>
          </cell>
          <cell r="T185">
            <v>6.8415446340000008</v>
          </cell>
          <cell r="U185">
            <v>6.7605348059999999</v>
          </cell>
          <cell r="V185">
            <v>5.2803142400000009</v>
          </cell>
          <cell r="W185">
            <v>4.7062230000000014</v>
          </cell>
          <cell r="X185">
            <v>4.0795029999999999</v>
          </cell>
          <cell r="Y185">
            <v>5.6370279999999999</v>
          </cell>
          <cell r="Z185">
            <v>3.2726250000000001</v>
          </cell>
          <cell r="AA185">
            <v>4.1234289999999998</v>
          </cell>
          <cell r="AB185">
            <v>4.1990751697822688</v>
          </cell>
          <cell r="AC185">
            <v>3.9559845486033547</v>
          </cell>
          <cell r="AD185">
            <v>4.2245626971251937</v>
          </cell>
          <cell r="AE185">
            <v>4.3471217789162413</v>
          </cell>
        </row>
        <row r="186">
          <cell r="H186">
            <v>3.9206276999999998</v>
          </cell>
          <cell r="I186">
            <v>5.0675564199999998</v>
          </cell>
          <cell r="J186">
            <v>3.3396976600000001</v>
          </cell>
          <cell r="K186">
            <v>4.6083171000000016</v>
          </cell>
          <cell r="L186">
            <v>5.7593702800000006</v>
          </cell>
          <cell r="M186">
            <v>5.3036676835180003</v>
          </cell>
          <cell r="N186">
            <v>5.8835187068239998</v>
          </cell>
          <cell r="O186">
            <v>5.0332471999999999</v>
          </cell>
          <cell r="P186">
            <v>6.8259360000000013</v>
          </cell>
          <cell r="Q186">
            <v>9.5154594599999989</v>
          </cell>
          <cell r="R186">
            <v>10.112064566960001</v>
          </cell>
          <cell r="S186">
            <v>12.42666404</v>
          </cell>
          <cell r="T186">
            <v>13.837188780000002</v>
          </cell>
          <cell r="U186">
            <v>13.824212319999997</v>
          </cell>
          <cell r="V186">
            <v>10.725069760000002</v>
          </cell>
          <cell r="W186">
            <v>7.2359570000000009</v>
          </cell>
          <cell r="X186">
            <v>9.5127849999999992</v>
          </cell>
          <cell r="Y186">
            <v>8.7675900000000002</v>
          </cell>
          <cell r="Z186">
            <v>3.607186</v>
          </cell>
          <cell r="AA186">
            <v>4.0182390000000003</v>
          </cell>
          <cell r="AB186">
            <v>4.2711939641417151</v>
          </cell>
          <cell r="AC186">
            <v>4.5946027044206739</v>
          </cell>
          <cell r="AD186">
            <v>4.429112704129059</v>
          </cell>
          <cell r="AE186">
            <v>4.328169119778071</v>
          </cell>
        </row>
        <row r="207">
          <cell r="G207" t="str">
            <v>High</v>
          </cell>
          <cell r="H207">
            <v>42.389799174074071</v>
          </cell>
          <cell r="I207">
            <v>36.465809974074077</v>
          </cell>
          <cell r="J207">
            <v>35.569335074074075</v>
          </cell>
          <cell r="K207">
            <v>38.272286974074078</v>
          </cell>
          <cell r="L207">
            <v>34.157084474074075</v>
          </cell>
          <cell r="M207">
            <v>35.53257534037408</v>
          </cell>
          <cell r="N207">
            <v>36.773434690474069</v>
          </cell>
          <cell r="O207">
            <v>42.359566936074067</v>
          </cell>
          <cell r="P207">
            <v>51.593021086074074</v>
          </cell>
          <cell r="Q207">
            <v>51.05823207407407</v>
          </cell>
          <cell r="R207">
            <v>58.828523630074066</v>
          </cell>
          <cell r="S207">
            <v>69.276658966074081</v>
          </cell>
          <cell r="T207">
            <v>78.406612488074074</v>
          </cell>
          <cell r="U207">
            <v>74.656716200074086</v>
          </cell>
          <cell r="V207">
            <v>62.619136074074078</v>
          </cell>
          <cell r="W207">
            <v>48.797968286074081</v>
          </cell>
          <cell r="X207">
            <v>52.20252758307408</v>
          </cell>
          <cell r="Y207">
            <v>51.00957789207407</v>
          </cell>
          <cell r="Z207">
            <v>67.083563074074078</v>
          </cell>
          <cell r="AA207">
            <v>72.079969074074057</v>
          </cell>
          <cell r="AB207">
            <v>65.729459982444979</v>
          </cell>
          <cell r="AC207">
            <v>64.942320409137878</v>
          </cell>
          <cell r="AD207">
            <v>63.362334928324181</v>
          </cell>
          <cell r="AE207">
            <v>65.142943044759335</v>
          </cell>
        </row>
      </sheetData>
      <sheetData sheetId="9">
        <row r="20">
          <cell r="AB20">
            <v>685191.00450982037</v>
          </cell>
          <cell r="AC20">
            <v>596548.20473881776</v>
          </cell>
          <cell r="AD20">
            <v>483938.3798507941</v>
          </cell>
          <cell r="AE20">
            <v>527033.92175409861</v>
          </cell>
        </row>
        <row r="21">
          <cell r="AB21">
            <v>943682.68088198837</v>
          </cell>
          <cell r="AC21">
            <v>830208.88036835718</v>
          </cell>
          <cell r="AD21">
            <v>753930.23870589386</v>
          </cell>
          <cell r="AE21">
            <v>871080.35247744701</v>
          </cell>
        </row>
        <row r="22">
          <cell r="AB22">
            <v>565159.94287564873</v>
          </cell>
          <cell r="AC22">
            <v>558970.60872925993</v>
          </cell>
          <cell r="AD22">
            <v>572259.98185306403</v>
          </cell>
          <cell r="AE22">
            <v>556708.83725918015</v>
          </cell>
        </row>
        <row r="23">
          <cell r="AB23">
            <v>648754.53580453689</v>
          </cell>
          <cell r="AC23">
            <v>643800.41382252518</v>
          </cell>
          <cell r="AD23">
            <v>507081.04742742633</v>
          </cell>
          <cell r="AE23">
            <v>592950.14079819003</v>
          </cell>
        </row>
        <row r="24">
          <cell r="AB24">
            <v>286936.01310143375</v>
          </cell>
          <cell r="AC24">
            <v>288736.67150064075</v>
          </cell>
          <cell r="AD24">
            <v>274702.99513519771</v>
          </cell>
          <cell r="AE24">
            <v>302553.93400074064</v>
          </cell>
        </row>
        <row r="25">
          <cell r="AB25">
            <v>937394.72117731895</v>
          </cell>
          <cell r="AC25">
            <v>912080.37477960833</v>
          </cell>
          <cell r="AD25">
            <v>794727.87315070676</v>
          </cell>
          <cell r="AE25">
            <v>915980.80462188413</v>
          </cell>
        </row>
        <row r="26">
          <cell r="AB26">
            <v>2058089.550569477</v>
          </cell>
          <cell r="AC26">
            <v>1844519.6631027595</v>
          </cell>
          <cell r="AD26">
            <v>1808370.9297799692</v>
          </cell>
          <cell r="AE26">
            <v>1928192.5544098606</v>
          </cell>
        </row>
        <row r="27">
          <cell r="AB27">
            <v>1554881.3979650601</v>
          </cell>
          <cell r="AC27">
            <v>1634169.8108176619</v>
          </cell>
          <cell r="AD27">
            <v>1759674.7863607961</v>
          </cell>
          <cell r="AE27">
            <v>2076094.7759013497</v>
          </cell>
        </row>
        <row r="28">
          <cell r="AB28">
            <v>63433.426931604743</v>
          </cell>
          <cell r="AC28">
            <v>66425.748379317301</v>
          </cell>
          <cell r="AD28">
            <v>79151.326502888085</v>
          </cell>
          <cell r="AE28">
            <v>85845.446431490171</v>
          </cell>
        </row>
        <row r="29">
          <cell r="AB29">
            <v>190153.07686218477</v>
          </cell>
          <cell r="AC29">
            <v>187038.28744679055</v>
          </cell>
          <cell r="AD29">
            <v>191274.05068698598</v>
          </cell>
          <cell r="AE29">
            <v>191883.99555047645</v>
          </cell>
        </row>
        <row r="30">
          <cell r="AB30">
            <v>3238398.687584531</v>
          </cell>
          <cell r="AC30">
            <v>3213218.0296330545</v>
          </cell>
          <cell r="AD30">
            <v>3135340.9792414741</v>
          </cell>
          <cell r="AE30">
            <v>3367867.7846948942</v>
          </cell>
        </row>
        <row r="31">
          <cell r="AB31">
            <v>3921798.3362258212</v>
          </cell>
          <cell r="AC31">
            <v>3926905.9078965583</v>
          </cell>
          <cell r="AD31">
            <v>3966158.185490815</v>
          </cell>
          <cell r="AE31">
            <v>4341994.2565287473</v>
          </cell>
        </row>
        <row r="32">
          <cell r="AB32">
            <v>31549091.228681069</v>
          </cell>
          <cell r="AC32">
            <v>31194730.502038229</v>
          </cell>
          <cell r="AD32">
            <v>31505102.105258308</v>
          </cell>
          <cell r="AE32">
            <v>33927719.7277923</v>
          </cell>
        </row>
      </sheetData>
      <sheetData sheetId="10">
        <row r="20">
          <cell r="AB20">
            <v>685191.00450982037</v>
          </cell>
          <cell r="AC20">
            <v>596548.20473881776</v>
          </cell>
          <cell r="AD20">
            <v>483938.3798507941</v>
          </cell>
          <cell r="AE20">
            <v>527033.92175409861</v>
          </cell>
        </row>
        <row r="21">
          <cell r="AB21">
            <v>943682.68088198837</v>
          </cell>
          <cell r="AC21">
            <v>830208.88036835718</v>
          </cell>
          <cell r="AD21">
            <v>753930.23870589386</v>
          </cell>
          <cell r="AE21">
            <v>871080.35247744701</v>
          </cell>
        </row>
        <row r="22">
          <cell r="AB22">
            <v>565159.94287564873</v>
          </cell>
          <cell r="AC22">
            <v>558970.60872925993</v>
          </cell>
          <cell r="AD22">
            <v>572259.98185306403</v>
          </cell>
          <cell r="AE22">
            <v>556708.83725918015</v>
          </cell>
        </row>
        <row r="23">
          <cell r="AB23">
            <v>648754.53580453689</v>
          </cell>
          <cell r="AC23">
            <v>643800.41382252518</v>
          </cell>
          <cell r="AD23">
            <v>507081.04742742633</v>
          </cell>
          <cell r="AE23">
            <v>592950.14079819003</v>
          </cell>
        </row>
        <row r="24">
          <cell r="AB24">
            <v>286936.01310143375</v>
          </cell>
          <cell r="AC24">
            <v>288736.67150064075</v>
          </cell>
          <cell r="AD24">
            <v>274702.99513519771</v>
          </cell>
          <cell r="AE24">
            <v>302553.93400074064</v>
          </cell>
        </row>
        <row r="25">
          <cell r="AB25">
            <v>937394.72117731895</v>
          </cell>
          <cell r="AC25">
            <v>912080.37477960833</v>
          </cell>
          <cell r="AD25">
            <v>794727.87315070676</v>
          </cell>
          <cell r="AE25">
            <v>915980.80462188413</v>
          </cell>
        </row>
        <row r="26">
          <cell r="AB26">
            <v>2058089.550569477</v>
          </cell>
          <cell r="AC26">
            <v>1844519.6631027595</v>
          </cell>
          <cell r="AD26">
            <v>1808370.9297799692</v>
          </cell>
          <cell r="AE26">
            <v>1928192.5544098606</v>
          </cell>
        </row>
        <row r="27">
          <cell r="AB27">
            <v>1554881.3979650601</v>
          </cell>
          <cell r="AC27">
            <v>1634169.8108176619</v>
          </cell>
          <cell r="AD27">
            <v>1759674.7863607961</v>
          </cell>
          <cell r="AE27">
            <v>2076094.7759013497</v>
          </cell>
        </row>
        <row r="28">
          <cell r="AB28">
            <v>63433.426931604743</v>
          </cell>
          <cell r="AC28">
            <v>66425.748379317301</v>
          </cell>
          <cell r="AD28">
            <v>79151.326502888085</v>
          </cell>
          <cell r="AE28">
            <v>85845.446431490171</v>
          </cell>
        </row>
        <row r="29">
          <cell r="AB29">
            <v>190153.07686218477</v>
          </cell>
          <cell r="AC29">
            <v>187038.28744679055</v>
          </cell>
          <cell r="AD29">
            <v>191274.05068698598</v>
          </cell>
          <cell r="AE29">
            <v>191883.99555047645</v>
          </cell>
        </row>
        <row r="30">
          <cell r="AB30">
            <v>3238398.687584531</v>
          </cell>
          <cell r="AC30">
            <v>3213218.0296330545</v>
          </cell>
          <cell r="AD30">
            <v>3135340.9792414741</v>
          </cell>
          <cell r="AE30">
            <v>3367867.7846948942</v>
          </cell>
        </row>
        <row r="31">
          <cell r="AB31">
            <v>3921798.3362258212</v>
          </cell>
          <cell r="AC31">
            <v>3926905.9078965583</v>
          </cell>
          <cell r="AD31">
            <v>3966158.185490815</v>
          </cell>
          <cell r="AE31">
            <v>4341994.2565287473</v>
          </cell>
        </row>
        <row r="32">
          <cell r="AB32">
            <v>31549091.228681069</v>
          </cell>
          <cell r="AC32">
            <v>31194730.502038229</v>
          </cell>
          <cell r="AD32">
            <v>31505102.105258308</v>
          </cell>
          <cell r="AE32">
            <v>33927719.7277923</v>
          </cell>
        </row>
        <row r="34">
          <cell r="R34">
            <v>2241.6830724899996</v>
          </cell>
          <cell r="S34">
            <v>2163.8976968000002</v>
          </cell>
          <cell r="T34">
            <v>2301.1241944899998</v>
          </cell>
          <cell r="U34">
            <v>2076.5717068700001</v>
          </cell>
          <cell r="V34">
            <v>1996.0602896399998</v>
          </cell>
          <cell r="W34">
            <v>2250.2497511900001</v>
          </cell>
          <cell r="X34">
            <v>2163.1746260100003</v>
          </cell>
          <cell r="Y34">
            <v>2140.9822397200001</v>
          </cell>
          <cell r="Z34">
            <v>2292.7090752799995</v>
          </cell>
          <cell r="AA34">
            <v>2500.0165227299999</v>
          </cell>
          <cell r="AB34">
            <v>2481.8948666900001</v>
          </cell>
          <cell r="AC34">
            <v>2045.6792533299999</v>
          </cell>
          <cell r="AD34">
            <v>2094.8695493</v>
          </cell>
          <cell r="AE34">
            <v>1953.9369025999999</v>
          </cell>
        </row>
        <row r="35">
          <cell r="R35">
            <v>256.05469590000001</v>
          </cell>
          <cell r="S35">
            <v>253.2667701</v>
          </cell>
          <cell r="T35">
            <v>300.73964699999999</v>
          </cell>
          <cell r="U35">
            <v>328.24825880000003</v>
          </cell>
          <cell r="V35">
            <v>306.030933</v>
          </cell>
          <cell r="W35">
            <v>712.26009299999998</v>
          </cell>
          <cell r="X35">
            <v>203.55615209999999</v>
          </cell>
          <cell r="Y35">
            <v>366.60731587999999</v>
          </cell>
          <cell r="Z35">
            <v>507.35561760000002</v>
          </cell>
          <cell r="AA35">
            <v>485.31207719999998</v>
          </cell>
          <cell r="AB35">
            <v>378.14491860999999</v>
          </cell>
          <cell r="AC35">
            <v>411.35808100000003</v>
          </cell>
          <cell r="AD35">
            <v>0.71504779399999996</v>
          </cell>
          <cell r="AE35">
            <v>11.82402203</v>
          </cell>
        </row>
        <row r="36">
          <cell r="R36">
            <v>8899.5570035499986</v>
          </cell>
          <cell r="S36">
            <v>8817.6527938600011</v>
          </cell>
          <cell r="T36">
            <v>9245.813338269998</v>
          </cell>
          <cell r="U36">
            <v>9011.5451928240018</v>
          </cell>
          <cell r="V36">
            <v>9024.3629158299973</v>
          </cell>
          <cell r="W36">
            <v>8728.339281479999</v>
          </cell>
          <cell r="X36">
            <v>9126.2937245939993</v>
          </cell>
          <cell r="Y36">
            <v>8944.5317642250011</v>
          </cell>
          <cell r="Z36">
            <v>8800.5436373460016</v>
          </cell>
          <cell r="AA36">
            <v>8714.2793057930012</v>
          </cell>
          <cell r="AB36">
            <v>8450.0425825519997</v>
          </cell>
          <cell r="AC36">
            <v>8358.6997653549988</v>
          </cell>
          <cell r="AD36">
            <v>8113.2350019459991</v>
          </cell>
          <cell r="AE36">
            <v>7787.2052215100011</v>
          </cell>
        </row>
        <row r="37">
          <cell r="R37">
            <v>7661.6714371359994</v>
          </cell>
          <cell r="S37">
            <v>7776.286964425999</v>
          </cell>
          <cell r="T37">
            <v>7610.5201791749996</v>
          </cell>
          <cell r="U37">
            <v>7263.6624161199998</v>
          </cell>
          <cell r="V37">
            <v>7044.5252494289998</v>
          </cell>
          <cell r="W37">
            <v>6466.0726085319993</v>
          </cell>
          <cell r="X37">
            <v>6855.5085877819974</v>
          </cell>
          <cell r="Y37">
            <v>6963.2062946820006</v>
          </cell>
          <cell r="Z37">
            <v>7246.9256291289994</v>
          </cell>
          <cell r="AA37">
            <v>6912.3675650869991</v>
          </cell>
          <cell r="AB37">
            <v>7691.2867780759989</v>
          </cell>
          <cell r="AC37">
            <v>7979.0961733929998</v>
          </cell>
          <cell r="AD37">
            <v>6385.7180026869992</v>
          </cell>
          <cell r="AE37">
            <v>7075.2106742209999</v>
          </cell>
        </row>
        <row r="38">
          <cell r="R38">
            <v>4086.4875090620003</v>
          </cell>
          <cell r="S38">
            <v>4240.3955410879998</v>
          </cell>
          <cell r="T38">
            <v>4356.9694699659995</v>
          </cell>
          <cell r="U38">
            <v>4400.4775716160002</v>
          </cell>
          <cell r="V38">
            <v>4080.6638443390002</v>
          </cell>
          <cell r="W38">
            <v>3924.871003623</v>
          </cell>
          <cell r="X38">
            <v>4080.422248201</v>
          </cell>
          <cell r="Y38">
            <v>4088.9620284799998</v>
          </cell>
          <cell r="Z38">
            <v>4163.5420287199995</v>
          </cell>
          <cell r="AA38">
            <v>4512.5430191099995</v>
          </cell>
          <cell r="AB38">
            <v>4114.052655085</v>
          </cell>
          <cell r="AC38">
            <v>4448.8855489999996</v>
          </cell>
          <cell r="AD38">
            <v>4409.0903840000001</v>
          </cell>
          <cell r="AE38">
            <v>4408.891697</v>
          </cell>
        </row>
        <row r="39">
          <cell r="R39">
            <v>26505.950918524995</v>
          </cell>
          <cell r="S39">
            <v>27057.599951766999</v>
          </cell>
          <cell r="T39">
            <v>27768.108498663994</v>
          </cell>
          <cell r="U39">
            <v>28144.485808357993</v>
          </cell>
          <cell r="V39">
            <v>26713.211992282002</v>
          </cell>
          <cell r="W39">
            <v>26647.198376786</v>
          </cell>
          <cell r="X39">
            <v>26558.064847981997</v>
          </cell>
          <cell r="Y39">
            <v>26862.425029590002</v>
          </cell>
          <cell r="Z39">
            <v>28236.490102593994</v>
          </cell>
          <cell r="AA39">
            <v>29004.628378201</v>
          </cell>
          <cell r="AB39">
            <v>30663.798993526001</v>
          </cell>
          <cell r="AC39">
            <v>30112.770027643008</v>
          </cell>
          <cell r="AD39">
            <v>29742.328145847001</v>
          </cell>
          <cell r="AE39">
            <v>30186.76773027801</v>
          </cell>
        </row>
        <row r="40">
          <cell r="R40">
            <v>3879.7012499000002</v>
          </cell>
          <cell r="S40">
            <v>3811.8713759000002</v>
          </cell>
          <cell r="T40">
            <v>3687.7944449499996</v>
          </cell>
          <cell r="U40">
            <v>4052.86802012</v>
          </cell>
          <cell r="V40">
            <v>3732.9431664399999</v>
          </cell>
          <cell r="W40">
            <v>3838.0874855900001</v>
          </cell>
          <cell r="X40">
            <v>3896.3264584699996</v>
          </cell>
          <cell r="Y40">
            <v>4023.3897939200001</v>
          </cell>
          <cell r="Z40">
            <v>4441.6666339499998</v>
          </cell>
          <cell r="AA40">
            <v>4460.4758901999994</v>
          </cell>
          <cell r="AB40">
            <v>4050.5395106700003</v>
          </cell>
          <cell r="AC40">
            <v>3608.3347951999999</v>
          </cell>
          <cell r="AD40">
            <v>2971.5261042699999</v>
          </cell>
          <cell r="AE40">
            <v>3218.6991336999999</v>
          </cell>
        </row>
        <row r="41">
          <cell r="R41">
            <v>1816.3775173840002</v>
          </cell>
          <cell r="S41">
            <v>1729.1725085159999</v>
          </cell>
          <cell r="T41">
            <v>1809.3160340530001</v>
          </cell>
          <cell r="U41">
            <v>2002.7971589010001</v>
          </cell>
          <cell r="V41">
            <v>1569.27393001</v>
          </cell>
          <cell r="W41">
            <v>1822.5725142000001</v>
          </cell>
          <cell r="X41">
            <v>1313.8137009700001</v>
          </cell>
          <cell r="Y41">
            <v>1811.0114443580001</v>
          </cell>
          <cell r="Z41">
            <v>1966.132555659</v>
          </cell>
          <cell r="AA41">
            <v>1843.8253456399998</v>
          </cell>
          <cell r="AB41">
            <v>1715.36095056</v>
          </cell>
          <cell r="AC41">
            <v>1500.40197229</v>
          </cell>
          <cell r="AD41">
            <v>1188.2826425000001</v>
          </cell>
          <cell r="AE41">
            <v>1479.3628395000001</v>
          </cell>
        </row>
        <row r="42">
          <cell r="R42">
            <v>5746.479911376</v>
          </cell>
          <cell r="S42">
            <v>5566.126728625999</v>
          </cell>
          <cell r="T42">
            <v>5531.0785744169998</v>
          </cell>
          <cell r="U42">
            <v>5509.7806142379995</v>
          </cell>
          <cell r="V42">
            <v>5673.9444785799997</v>
          </cell>
          <cell r="W42">
            <v>5348.2846288990004</v>
          </cell>
          <cell r="X42">
            <v>5709.1822707800002</v>
          </cell>
          <cell r="Y42">
            <v>5327.3116683639983</v>
          </cell>
          <cell r="Z42">
            <v>5951.8128832550001</v>
          </cell>
          <cell r="AA42">
            <v>6332.950077589001</v>
          </cell>
          <cell r="AB42">
            <v>5853.6235859630006</v>
          </cell>
          <cell r="AC42">
            <v>4927.4810865630006</v>
          </cell>
          <cell r="AD42">
            <v>3630.7389282130007</v>
          </cell>
          <cell r="AE42">
            <v>3869.402575519</v>
          </cell>
        </row>
        <row r="43">
          <cell r="R43">
            <v>3542.670451942</v>
          </cell>
          <cell r="S43">
            <v>3695.7599722179998</v>
          </cell>
          <cell r="T43">
            <v>3595.7598673529997</v>
          </cell>
          <cell r="U43">
            <v>3703.5822214660002</v>
          </cell>
          <cell r="V43">
            <v>3891.4965771289999</v>
          </cell>
          <cell r="W43">
            <v>3776.8268019760003</v>
          </cell>
          <cell r="X43">
            <v>3572.9034326199999</v>
          </cell>
          <cell r="Y43">
            <v>3426.6527044069999</v>
          </cell>
          <cell r="Z43">
            <v>3694.4458117259996</v>
          </cell>
          <cell r="AA43">
            <v>3759.6007925679996</v>
          </cell>
          <cell r="AB43">
            <v>3996.2397316549996</v>
          </cell>
          <cell r="AC43">
            <v>4240.3662453959996</v>
          </cell>
          <cell r="AD43">
            <v>4298.4174826000008</v>
          </cell>
          <cell r="AE43">
            <v>4308.9514624540006</v>
          </cell>
        </row>
        <row r="44">
          <cell r="R44">
            <v>6722.875926398</v>
          </cell>
          <cell r="S44">
            <v>6549.6763158989997</v>
          </cell>
          <cell r="T44">
            <v>9735.1093495830009</v>
          </cell>
          <cell r="U44">
            <v>10917.79018881</v>
          </cell>
          <cell r="V44">
            <v>10471.642102559999</v>
          </cell>
          <cell r="W44">
            <v>9700.2649560009995</v>
          </cell>
          <cell r="X44">
            <v>9166.7088366469998</v>
          </cell>
          <cell r="Y44">
            <v>10082.399690292999</v>
          </cell>
          <cell r="Z44">
            <v>10930.476474950001</v>
          </cell>
          <cell r="AA44">
            <v>11077.385120202998</v>
          </cell>
          <cell r="AB44">
            <v>12644.081003894002</v>
          </cell>
          <cell r="AC44">
            <v>12620.560673337999</v>
          </cell>
          <cell r="AD44">
            <v>10752.502854922999</v>
          </cell>
          <cell r="AE44">
            <v>12228.901004306003</v>
          </cell>
        </row>
        <row r="45">
          <cell r="R45">
            <v>987.87010710000004</v>
          </cell>
          <cell r="S45">
            <v>1056.3657720000001</v>
          </cell>
          <cell r="T45">
            <v>1077.3572095</v>
          </cell>
          <cell r="U45">
            <v>1157.7823619999999</v>
          </cell>
          <cell r="V45">
            <v>865.11798090000002</v>
          </cell>
          <cell r="W45">
            <v>810.12230950000003</v>
          </cell>
          <cell r="X45">
            <v>561.35247136999999</v>
          </cell>
          <cell r="Y45">
            <v>530.68944077000003</v>
          </cell>
          <cell r="Z45">
            <v>562.70049167000002</v>
          </cell>
          <cell r="AA45">
            <v>522.48133399999995</v>
          </cell>
          <cell r="AB45">
            <v>728.54446539999992</v>
          </cell>
          <cell r="AC45">
            <v>648.91529459800006</v>
          </cell>
          <cell r="AD45">
            <v>674.46126260000005</v>
          </cell>
          <cell r="AE45">
            <v>807.73480789999996</v>
          </cell>
        </row>
        <row r="46">
          <cell r="R46">
            <v>8028.1012373619997</v>
          </cell>
          <cell r="S46">
            <v>8070.8592808919984</v>
          </cell>
          <cell r="T46">
            <v>8108.7047170469987</v>
          </cell>
          <cell r="U46">
            <v>8459.6545123170017</v>
          </cell>
          <cell r="V46">
            <v>8153.1399437289983</v>
          </cell>
          <cell r="W46">
            <v>8067.6336821470004</v>
          </cell>
          <cell r="X46">
            <v>7874.9026928249996</v>
          </cell>
          <cell r="Y46">
            <v>8092.7712354900013</v>
          </cell>
          <cell r="Z46">
            <v>8903.6919559619982</v>
          </cell>
          <cell r="AA46">
            <v>9583.8892045320008</v>
          </cell>
          <cell r="AB46">
            <v>10360.924623815999</v>
          </cell>
          <cell r="AC46">
            <v>10390.091238621</v>
          </cell>
          <cell r="AD46">
            <v>8070.4875509460007</v>
          </cell>
          <cell r="AE46">
            <v>8686.678736459</v>
          </cell>
        </row>
        <row r="47">
          <cell r="R47">
            <v>41792.478669936005</v>
          </cell>
          <cell r="S47">
            <v>46010.360973889998</v>
          </cell>
          <cell r="T47">
            <v>44345.152375557009</v>
          </cell>
          <cell r="U47">
            <v>39409.983743543999</v>
          </cell>
          <cell r="V47">
            <v>38522.503463543995</v>
          </cell>
          <cell r="W47">
            <v>36928.813054537</v>
          </cell>
          <cell r="X47">
            <v>31917.853005771005</v>
          </cell>
          <cell r="Y47">
            <v>30913.049653784004</v>
          </cell>
          <cell r="Z47">
            <v>36563.309115559001</v>
          </cell>
          <cell r="AA47">
            <v>36231.182085049993</v>
          </cell>
          <cell r="AB47">
            <v>41925.344552873998</v>
          </cell>
          <cell r="AC47">
            <v>40010.464847378003</v>
          </cell>
          <cell r="AD47">
            <v>34259.478258410003</v>
          </cell>
          <cell r="AE47">
            <v>33961.319954475999</v>
          </cell>
        </row>
        <row r="48">
          <cell r="R48">
            <v>18481.578407179994</v>
          </cell>
          <cell r="S48">
            <v>21586.36417348</v>
          </cell>
          <cell r="T48">
            <v>21592.211247160001</v>
          </cell>
          <cell r="U48">
            <v>17487.501183939999</v>
          </cell>
          <cell r="V48">
            <v>19724.441197800003</v>
          </cell>
          <cell r="W48">
            <v>24393.497758800004</v>
          </cell>
          <cell r="X48">
            <v>22613.35078796</v>
          </cell>
          <cell r="Y48">
            <v>22396.87912998</v>
          </cell>
          <cell r="Z48">
            <v>23725.38254327</v>
          </cell>
          <cell r="AA48">
            <v>22484.80126941</v>
          </cell>
          <cell r="AB48">
            <v>22984.535535661998</v>
          </cell>
          <cell r="AC48">
            <v>23356.263114869998</v>
          </cell>
          <cell r="AD48">
            <v>21977.079059080002</v>
          </cell>
          <cell r="AE48">
            <v>22840.553454469999</v>
          </cell>
        </row>
        <row r="49">
          <cell r="R49">
            <v>749.90207379999993</v>
          </cell>
          <cell r="S49">
            <v>935.18946029999995</v>
          </cell>
          <cell r="T49">
            <v>917.65450629999998</v>
          </cell>
          <cell r="U49">
            <v>688.46132488000001</v>
          </cell>
          <cell r="V49">
            <v>819.13943889999996</v>
          </cell>
          <cell r="W49">
            <v>819.53012970000009</v>
          </cell>
          <cell r="X49">
            <v>287.03224672000005</v>
          </cell>
          <cell r="Y49">
            <v>244.79613380000001</v>
          </cell>
          <cell r="Z49">
            <v>275.05236581000003</v>
          </cell>
          <cell r="AA49">
            <v>316.49096226999995</v>
          </cell>
          <cell r="AB49">
            <v>282.88455316299996</v>
          </cell>
          <cell r="AC49">
            <v>239.51335706</v>
          </cell>
          <cell r="AD49">
            <v>245.71880753400001</v>
          </cell>
          <cell r="AE49">
            <v>308.6148187</v>
          </cell>
        </row>
        <row r="50">
          <cell r="R50">
            <v>40.069969979999996</v>
          </cell>
          <cell r="S50">
            <v>49.290437079999997</v>
          </cell>
          <cell r="T50">
            <v>44.181923900000001</v>
          </cell>
          <cell r="U50">
            <v>31.744433829999998</v>
          </cell>
          <cell r="V50">
            <v>54.459537689999998</v>
          </cell>
          <cell r="W50">
            <v>52.790640359999998</v>
          </cell>
          <cell r="X50">
            <v>43.922344730000006</v>
          </cell>
          <cell r="Y50">
            <v>39.602347330000001</v>
          </cell>
          <cell r="Z50">
            <v>40.60147078</v>
          </cell>
          <cell r="AA50">
            <v>38.540427280000003</v>
          </cell>
          <cell r="AB50">
            <v>36.793157460000003</v>
          </cell>
          <cell r="AC50">
            <v>28.552671589999999</v>
          </cell>
          <cell r="AD50">
            <v>33.155464689999995</v>
          </cell>
          <cell r="AE50">
            <v>33.495301169999998</v>
          </cell>
        </row>
        <row r="51">
          <cell r="R51">
            <v>6917.5240422659999</v>
          </cell>
          <cell r="S51">
            <v>7154.4176529240003</v>
          </cell>
          <cell r="T51">
            <v>6954.8331545249976</v>
          </cell>
          <cell r="U51">
            <v>7466.3359534339979</v>
          </cell>
          <cell r="V51">
            <v>6631.2142074649992</v>
          </cell>
          <cell r="W51">
            <v>6846.4082258890021</v>
          </cell>
          <cell r="X51">
            <v>7440.8036104329985</v>
          </cell>
          <cell r="Y51">
            <v>7458.7309479640007</v>
          </cell>
          <cell r="Z51">
            <v>8233.4972310660014</v>
          </cell>
          <cell r="AA51">
            <v>9313.2930892950026</v>
          </cell>
          <cell r="AB51">
            <v>9743.0205369740015</v>
          </cell>
          <cell r="AC51">
            <v>9752.3034524309987</v>
          </cell>
          <cell r="AD51">
            <v>8962.0381981580013</v>
          </cell>
          <cell r="AE51">
            <v>9637.3531107639992</v>
          </cell>
        </row>
        <row r="52">
          <cell r="R52">
            <v>4004.0712452110001</v>
          </cell>
          <cell r="S52">
            <v>4139.9692471550006</v>
          </cell>
          <cell r="T52">
            <v>4212.7945610890001</v>
          </cell>
          <cell r="U52">
            <v>4270.1149149959992</v>
          </cell>
          <cell r="V52">
            <v>4021.7182798519993</v>
          </cell>
          <cell r="W52">
            <v>4150.6466018599995</v>
          </cell>
          <cell r="X52">
            <v>4351.1031298949993</v>
          </cell>
          <cell r="Y52">
            <v>4871.9967591999994</v>
          </cell>
          <cell r="Z52">
            <v>5226.982737368</v>
          </cell>
          <cell r="AA52">
            <v>5449.5668509220013</v>
          </cell>
          <cell r="AB52">
            <v>5596.5540052040005</v>
          </cell>
          <cell r="AC52">
            <v>4880.9543222960001</v>
          </cell>
          <cell r="AD52">
            <v>3866.1307475399994</v>
          </cell>
          <cell r="AE52">
            <v>4116.998073406</v>
          </cell>
        </row>
        <row r="53">
          <cell r="R53">
            <v>33164.658018429996</v>
          </cell>
          <cell r="S53">
            <v>33170.663591147008</v>
          </cell>
          <cell r="T53">
            <v>30528.007657471997</v>
          </cell>
          <cell r="U53">
            <v>32426.967795426008</v>
          </cell>
          <cell r="V53">
            <v>30920.321995161001</v>
          </cell>
          <cell r="W53">
            <v>30918.806798735004</v>
          </cell>
          <cell r="X53">
            <v>31688.631427576969</v>
          </cell>
          <cell r="Y53">
            <v>33667.820920850994</v>
          </cell>
          <cell r="Z53">
            <v>36171.043930711028</v>
          </cell>
          <cell r="AA53">
            <v>38514.50851054598</v>
          </cell>
          <cell r="AB53">
            <v>38765.897106021977</v>
          </cell>
          <cell r="AC53">
            <v>36751.652896097214</v>
          </cell>
          <cell r="AD53">
            <v>29684.407380997109</v>
          </cell>
          <cell r="AE53">
            <v>31122.570124542992</v>
          </cell>
        </row>
        <row r="55">
          <cell r="K55">
            <v>1990</v>
          </cell>
          <cell r="L55">
            <v>1991</v>
          </cell>
          <cell r="M55">
            <v>1992</v>
          </cell>
          <cell r="N55">
            <v>1993</v>
          </cell>
          <cell r="O55">
            <v>1994</v>
          </cell>
          <cell r="P55">
            <v>1995</v>
          </cell>
          <cell r="Q55">
            <v>1996</v>
          </cell>
          <cell r="R55">
            <v>1997</v>
          </cell>
          <cell r="S55">
            <v>1998</v>
          </cell>
          <cell r="T55">
            <v>1999</v>
          </cell>
          <cell r="U55">
            <v>2000</v>
          </cell>
          <cell r="V55">
            <v>2001</v>
          </cell>
          <cell r="W55">
            <v>2002</v>
          </cell>
          <cell r="X55">
            <v>2003</v>
          </cell>
          <cell r="Y55">
            <v>2004</v>
          </cell>
          <cell r="Z55">
            <v>2005</v>
          </cell>
          <cell r="AA55">
            <v>2006</v>
          </cell>
          <cell r="AB55">
            <v>2007</v>
          </cell>
          <cell r="AC55">
            <v>2008</v>
          </cell>
          <cell r="AD55">
            <v>2009</v>
          </cell>
          <cell r="AE55">
            <v>2010</v>
          </cell>
        </row>
        <row r="56">
          <cell r="K56">
            <v>52.55</v>
          </cell>
          <cell r="L56">
            <v>55.366999999999997</v>
          </cell>
          <cell r="M56">
            <v>57.883000000000003</v>
          </cell>
          <cell r="N56">
            <v>61.042000000000002</v>
          </cell>
          <cell r="O56">
            <v>62.982999999999997</v>
          </cell>
          <cell r="P56">
            <v>63.107999999999997</v>
          </cell>
          <cell r="Q56">
            <v>66.042000000000002</v>
          </cell>
          <cell r="R56">
            <v>68.266999999999996</v>
          </cell>
          <cell r="S56">
            <v>69.266999999999996</v>
          </cell>
          <cell r="T56">
            <v>68.957999999999998</v>
          </cell>
          <cell r="U56">
            <v>70.3</v>
          </cell>
          <cell r="V56">
            <v>69</v>
          </cell>
          <cell r="W56">
            <v>65.433000000000007</v>
          </cell>
          <cell r="X56">
            <v>62.392000000000003</v>
          </cell>
          <cell r="Y56">
            <v>62.25</v>
          </cell>
          <cell r="Z56">
            <v>63.55</v>
          </cell>
          <cell r="AA56">
            <v>66.091999999999999</v>
          </cell>
          <cell r="AB56">
            <v>66.242000000000004</v>
          </cell>
          <cell r="AC56">
            <v>62.957999999999998</v>
          </cell>
          <cell r="AD56">
            <v>54.8</v>
          </cell>
          <cell r="AE56">
            <v>53.2</v>
          </cell>
        </row>
        <row r="57">
          <cell r="K57">
            <v>19.5</v>
          </cell>
          <cell r="L57">
            <v>19.132999999999999</v>
          </cell>
          <cell r="M57">
            <v>20</v>
          </cell>
          <cell r="N57">
            <v>20.399999999999999</v>
          </cell>
          <cell r="O57">
            <v>20.707999999999998</v>
          </cell>
          <cell r="P57">
            <v>21.308</v>
          </cell>
          <cell r="Q57">
            <v>22.007999999999999</v>
          </cell>
          <cell r="R57">
            <v>22.207999999999998</v>
          </cell>
          <cell r="S57">
            <v>22.183</v>
          </cell>
          <cell r="T57">
            <v>22.6</v>
          </cell>
          <cell r="U57">
            <v>22.55</v>
          </cell>
          <cell r="V57">
            <v>21.382999999999999</v>
          </cell>
          <cell r="W57">
            <v>20.016999999999999</v>
          </cell>
          <cell r="X57">
            <v>18.975000000000001</v>
          </cell>
          <cell r="Y57">
            <v>19.167000000000002</v>
          </cell>
          <cell r="Z57">
            <v>19.574999999999999</v>
          </cell>
          <cell r="AA57">
            <v>20.2</v>
          </cell>
          <cell r="AB57">
            <v>20.442</v>
          </cell>
          <cell r="AC57">
            <v>19.917000000000002</v>
          </cell>
          <cell r="AD57">
            <v>17.417000000000002</v>
          </cell>
          <cell r="AE57">
            <v>16.542000000000002</v>
          </cell>
        </row>
        <row r="58">
          <cell r="K58">
            <v>204.15700000000001</v>
          </cell>
          <cell r="L58">
            <v>196.375</v>
          </cell>
          <cell r="M58">
            <v>193.01</v>
          </cell>
          <cell r="N58">
            <v>194.80099999999999</v>
          </cell>
          <cell r="O58">
            <v>202.876</v>
          </cell>
          <cell r="P58">
            <v>210.71700000000001</v>
          </cell>
          <cell r="Q58">
            <v>217.52500000000001</v>
          </cell>
          <cell r="R58">
            <v>226.88200000000001</v>
          </cell>
          <cell r="S58">
            <v>228.47300000000001</v>
          </cell>
          <cell r="T58">
            <v>224.44900000000001</v>
          </cell>
          <cell r="U58">
            <v>225.08199999999999</v>
          </cell>
          <cell r="V58">
            <v>215.715</v>
          </cell>
          <cell r="W58">
            <v>201.59100000000001</v>
          </cell>
          <cell r="X58">
            <v>194.80799999999999</v>
          </cell>
          <cell r="Y58">
            <v>199.892</v>
          </cell>
          <cell r="Z58">
            <v>203.98400000000001</v>
          </cell>
          <cell r="AA58">
            <v>207.45</v>
          </cell>
          <cell r="AB58">
            <v>204.02500000000001</v>
          </cell>
          <cell r="AC58">
            <v>195.083</v>
          </cell>
          <cell r="AD58">
            <v>167.04900000000001</v>
          </cell>
          <cell r="AE58">
            <v>163.9</v>
          </cell>
        </row>
        <row r="59">
          <cell r="K59">
            <v>335.97500000000002</v>
          </cell>
          <cell r="L59">
            <v>328.6</v>
          </cell>
          <cell r="M59">
            <v>325.17500000000001</v>
          </cell>
          <cell r="N59">
            <v>317.25</v>
          </cell>
          <cell r="O59">
            <v>311.733</v>
          </cell>
          <cell r="P59">
            <v>311.30799999999999</v>
          </cell>
          <cell r="Q59">
            <v>324.84199999999998</v>
          </cell>
          <cell r="R59">
            <v>350.40800000000002</v>
          </cell>
          <cell r="S59">
            <v>360.625</v>
          </cell>
          <cell r="T59">
            <v>343.56700000000001</v>
          </cell>
          <cell r="U59">
            <v>331.88299999999998</v>
          </cell>
          <cell r="V59">
            <v>316.05</v>
          </cell>
          <cell r="W59">
            <v>284.94200000000001</v>
          </cell>
          <cell r="X59">
            <v>267.19200000000001</v>
          </cell>
          <cell r="Y59">
            <v>263.72500000000002</v>
          </cell>
          <cell r="Z59">
            <v>272.58300000000003</v>
          </cell>
          <cell r="AA59">
            <v>285.82499999999999</v>
          </cell>
          <cell r="AB59">
            <v>293.21699999999998</v>
          </cell>
          <cell r="AC59">
            <v>291.04199999999997</v>
          </cell>
          <cell r="AD59">
            <v>265.483</v>
          </cell>
          <cell r="AE59">
            <v>258.11700000000002</v>
          </cell>
        </row>
        <row r="60">
          <cell r="K60">
            <v>612.18200000000002</v>
          </cell>
          <cell r="L60">
            <v>599.47500000000002</v>
          </cell>
          <cell r="M60">
            <v>596.06799999999998</v>
          </cell>
          <cell r="N60">
            <v>593.49299999999994</v>
          </cell>
          <cell r="O60">
            <v>598.29999999999995</v>
          </cell>
          <cell r="P60">
            <v>606.44100000000003</v>
          </cell>
          <cell r="Q60">
            <v>630.41699999999992</v>
          </cell>
          <cell r="R60">
            <v>667.76499999999999</v>
          </cell>
          <cell r="S60">
            <v>680.548</v>
          </cell>
          <cell r="T60">
            <v>659.57400000000007</v>
          </cell>
          <cell r="U60">
            <v>649.81500000000005</v>
          </cell>
          <cell r="V60">
            <v>622.14800000000002</v>
          </cell>
          <cell r="W60">
            <v>571.98299999999995</v>
          </cell>
          <cell r="X60">
            <v>543.36699999999996</v>
          </cell>
          <cell r="Y60">
            <v>545.03399999999999</v>
          </cell>
          <cell r="Z60">
            <v>559.69200000000001</v>
          </cell>
          <cell r="AA60">
            <v>579.56700000000001</v>
          </cell>
          <cell r="AB60">
            <v>583.92599999999993</v>
          </cell>
          <cell r="AC60">
            <v>569</v>
          </cell>
          <cell r="AD60">
            <v>504.74900000000002</v>
          </cell>
          <cell r="AE60">
            <v>491.75900000000001</v>
          </cell>
        </row>
        <row r="63">
          <cell r="R63">
            <v>5561</v>
          </cell>
          <cell r="S63">
            <v>5511</v>
          </cell>
          <cell r="T63">
            <v>5838</v>
          </cell>
          <cell r="U63">
            <v>5356</v>
          </cell>
          <cell r="V63">
            <v>5261</v>
          </cell>
          <cell r="W63">
            <v>5442</v>
          </cell>
          <cell r="X63">
            <v>5246</v>
          </cell>
          <cell r="Y63">
            <v>5046</v>
          </cell>
          <cell r="Z63">
            <v>5210</v>
          </cell>
          <cell r="AA63">
            <v>5741</v>
          </cell>
          <cell r="AB63">
            <v>5611</v>
          </cell>
          <cell r="AC63">
            <v>4441</v>
          </cell>
          <cell r="AD63">
            <v>4359</v>
          </cell>
          <cell r="AE63">
            <v>4070</v>
          </cell>
        </row>
        <row r="64">
          <cell r="R64">
            <v>471</v>
          </cell>
          <cell r="S64">
            <v>472</v>
          </cell>
          <cell r="T64">
            <v>532</v>
          </cell>
          <cell r="U64">
            <v>572</v>
          </cell>
          <cell r="V64">
            <v>511</v>
          </cell>
          <cell r="W64">
            <v>1141</v>
          </cell>
          <cell r="X64">
            <v>311</v>
          </cell>
          <cell r="Y64">
            <v>528</v>
          </cell>
          <cell r="Z64">
            <v>686</v>
          </cell>
          <cell r="AA64">
            <v>622</v>
          </cell>
          <cell r="AB64">
            <v>494</v>
          </cell>
          <cell r="AC64">
            <v>528</v>
          </cell>
          <cell r="AD64">
            <v>1</v>
          </cell>
          <cell r="AE64">
            <v>21</v>
          </cell>
        </row>
        <row r="65">
          <cell r="R65">
            <v>20517</v>
          </cell>
          <cell r="S65">
            <v>20752</v>
          </cell>
          <cell r="T65">
            <v>19820</v>
          </cell>
          <cell r="U65">
            <v>18901</v>
          </cell>
          <cell r="V65">
            <v>18107</v>
          </cell>
          <cell r="W65">
            <v>15947</v>
          </cell>
          <cell r="X65">
            <v>16534</v>
          </cell>
          <cell r="Y65">
            <v>15968</v>
          </cell>
          <cell r="Z65">
            <v>14992</v>
          </cell>
          <cell r="AA65">
            <v>14275</v>
          </cell>
          <cell r="AB65">
            <v>13733</v>
          </cell>
          <cell r="AC65">
            <v>14005</v>
          </cell>
          <cell r="AD65">
            <v>13118</v>
          </cell>
          <cell r="AE65">
            <v>11896</v>
          </cell>
        </row>
        <row r="66">
          <cell r="R66">
            <v>16784</v>
          </cell>
          <cell r="S66">
            <v>16968</v>
          </cell>
          <cell r="T66">
            <v>16248</v>
          </cell>
          <cell r="U66">
            <v>15603</v>
          </cell>
          <cell r="V66">
            <v>14433</v>
          </cell>
          <cell r="W66">
            <v>12367</v>
          </cell>
          <cell r="X66">
            <v>11875</v>
          </cell>
          <cell r="Y66">
            <v>11897</v>
          </cell>
          <cell r="Z66">
            <v>12704</v>
          </cell>
          <cell r="AA66">
            <v>13455</v>
          </cell>
          <cell r="AB66">
            <v>14273</v>
          </cell>
          <cell r="AC66">
            <v>14356</v>
          </cell>
          <cell r="AD66">
            <v>12445</v>
          </cell>
          <cell r="AE66">
            <v>12051</v>
          </cell>
        </row>
        <row r="67">
          <cell r="R67">
            <v>14657</v>
          </cell>
          <cell r="S67">
            <v>14498</v>
          </cell>
          <cell r="T67">
            <v>14353</v>
          </cell>
          <cell r="U67">
            <v>13734</v>
          </cell>
          <cell r="V67">
            <v>13209</v>
          </cell>
          <cell r="W67">
            <v>12665</v>
          </cell>
          <cell r="X67">
            <v>12555</v>
          </cell>
          <cell r="Y67">
            <v>12330</v>
          </cell>
          <cell r="Z67">
            <v>11864</v>
          </cell>
          <cell r="AA67">
            <v>12741</v>
          </cell>
          <cell r="AB67">
            <v>11430</v>
          </cell>
          <cell r="AC67">
            <v>12221</v>
          </cell>
          <cell r="AD67">
            <v>12099</v>
          </cell>
          <cell r="AE67">
            <v>11904</v>
          </cell>
        </row>
        <row r="68">
          <cell r="R68">
            <v>64864</v>
          </cell>
          <cell r="S68">
            <v>63666</v>
          </cell>
          <cell r="T68">
            <v>64446</v>
          </cell>
          <cell r="U68">
            <v>64955</v>
          </cell>
          <cell r="V68">
            <v>62868</v>
          </cell>
          <cell r="W68">
            <v>60760</v>
          </cell>
          <cell r="X68">
            <v>60488</v>
          </cell>
          <cell r="Y68">
            <v>59934</v>
          </cell>
          <cell r="Z68">
            <v>58992</v>
          </cell>
          <cell r="AA68">
            <v>59320</v>
          </cell>
          <cell r="AB68">
            <v>62434</v>
          </cell>
          <cell r="AC68">
            <v>62832</v>
          </cell>
          <cell r="AD68">
            <v>62266</v>
          </cell>
          <cell r="AE68">
            <v>62860</v>
          </cell>
        </row>
        <row r="69">
          <cell r="R69">
            <v>26496</v>
          </cell>
          <cell r="S69">
            <v>25874</v>
          </cell>
          <cell r="T69">
            <v>24842</v>
          </cell>
          <cell r="U69">
            <v>25486</v>
          </cell>
          <cell r="V69">
            <v>22660</v>
          </cell>
          <cell r="W69">
            <v>22153</v>
          </cell>
          <cell r="X69">
            <v>22029</v>
          </cell>
          <cell r="Y69">
            <v>22790</v>
          </cell>
          <cell r="Z69">
            <v>23420</v>
          </cell>
          <cell r="AA69">
            <v>23046</v>
          </cell>
          <cell r="AB69">
            <v>21291</v>
          </cell>
          <cell r="AC69">
            <v>19378</v>
          </cell>
          <cell r="AD69">
            <v>15880</v>
          </cell>
          <cell r="AE69">
            <v>15041</v>
          </cell>
        </row>
        <row r="70">
          <cell r="R70">
            <v>12252</v>
          </cell>
          <cell r="S70">
            <v>11657</v>
          </cell>
          <cell r="T70">
            <v>12130</v>
          </cell>
          <cell r="U70">
            <v>12879</v>
          </cell>
          <cell r="V70">
            <v>9662</v>
          </cell>
          <cell r="W70">
            <v>10770</v>
          </cell>
          <cell r="X70">
            <v>7440</v>
          </cell>
          <cell r="Y70">
            <v>10362</v>
          </cell>
          <cell r="Z70">
            <v>10507</v>
          </cell>
          <cell r="AA70">
            <v>9746</v>
          </cell>
          <cell r="AB70">
            <v>9142</v>
          </cell>
          <cell r="AC70">
            <v>8120</v>
          </cell>
          <cell r="AD70">
            <v>6428</v>
          </cell>
          <cell r="AE70">
            <v>6879</v>
          </cell>
        </row>
        <row r="71">
          <cell r="R71">
            <v>38812</v>
          </cell>
          <cell r="S71">
            <v>37565</v>
          </cell>
          <cell r="T71">
            <v>37205</v>
          </cell>
          <cell r="U71">
            <v>34589</v>
          </cell>
          <cell r="V71">
            <v>34285</v>
          </cell>
          <cell r="W71">
            <v>31009</v>
          </cell>
          <cell r="X71">
            <v>32445</v>
          </cell>
          <cell r="Y71">
            <v>30309</v>
          </cell>
          <cell r="Z71">
            <v>31736</v>
          </cell>
          <cell r="AA71">
            <v>33173</v>
          </cell>
          <cell r="AB71">
            <v>31198</v>
          </cell>
          <cell r="AC71">
            <v>26786</v>
          </cell>
          <cell r="AD71">
            <v>19729</v>
          </cell>
          <cell r="AE71">
            <v>18380</v>
          </cell>
        </row>
        <row r="72">
          <cell r="R72">
            <v>11310</v>
          </cell>
          <cell r="S72">
            <v>11351</v>
          </cell>
          <cell r="T72">
            <v>10908</v>
          </cell>
          <cell r="U72">
            <v>11080</v>
          </cell>
          <cell r="V72">
            <v>11527</v>
          </cell>
          <cell r="W72">
            <v>10644</v>
          </cell>
          <cell r="X72">
            <v>10047</v>
          </cell>
          <cell r="Y72">
            <v>9659</v>
          </cell>
          <cell r="Z72">
            <v>9617</v>
          </cell>
          <cell r="AA72">
            <v>9655</v>
          </cell>
          <cell r="AB72">
            <v>10137</v>
          </cell>
          <cell r="AC72">
            <v>10393</v>
          </cell>
          <cell r="AD72">
            <v>10385</v>
          </cell>
          <cell r="AE72">
            <v>10513</v>
          </cell>
        </row>
        <row r="73">
          <cell r="R73">
            <v>55429</v>
          </cell>
          <cell r="S73">
            <v>57601</v>
          </cell>
          <cell r="T73">
            <v>69099</v>
          </cell>
          <cell r="U73">
            <v>73302</v>
          </cell>
          <cell r="V73">
            <v>75464</v>
          </cell>
          <cell r="W73">
            <v>63198</v>
          </cell>
          <cell r="X73">
            <v>53968</v>
          </cell>
          <cell r="Y73">
            <v>53006</v>
          </cell>
          <cell r="Z73">
            <v>54157</v>
          </cell>
          <cell r="AA73">
            <v>56045</v>
          </cell>
          <cell r="AB73">
            <v>53965</v>
          </cell>
          <cell r="AC73">
            <v>50956</v>
          </cell>
          <cell r="AD73">
            <v>45309</v>
          </cell>
          <cell r="AE73">
            <v>44491</v>
          </cell>
        </row>
        <row r="74">
          <cell r="R74">
            <v>1969</v>
          </cell>
          <cell r="S74">
            <v>1920</v>
          </cell>
          <cell r="T74">
            <v>1820</v>
          </cell>
          <cell r="U74">
            <v>1906</v>
          </cell>
          <cell r="V74">
            <v>1506</v>
          </cell>
          <cell r="W74">
            <v>1223</v>
          </cell>
          <cell r="X74">
            <v>844</v>
          </cell>
          <cell r="Y74">
            <v>782</v>
          </cell>
          <cell r="Z74">
            <v>765</v>
          </cell>
          <cell r="AA74">
            <v>714</v>
          </cell>
          <cell r="AB74">
            <v>898</v>
          </cell>
          <cell r="AC74">
            <v>895</v>
          </cell>
          <cell r="AD74">
            <v>1130</v>
          </cell>
          <cell r="AE74">
            <v>1160</v>
          </cell>
        </row>
        <row r="75">
          <cell r="R75">
            <v>41716</v>
          </cell>
          <cell r="S75">
            <v>42787</v>
          </cell>
          <cell r="T75">
            <v>41996</v>
          </cell>
          <cell r="U75">
            <v>42475</v>
          </cell>
          <cell r="V75">
            <v>40521</v>
          </cell>
          <cell r="W75">
            <v>37406</v>
          </cell>
          <cell r="X75">
            <v>36377</v>
          </cell>
          <cell r="Y75">
            <v>38029</v>
          </cell>
          <cell r="Z75">
            <v>40003</v>
          </cell>
          <cell r="AA75">
            <v>41483</v>
          </cell>
          <cell r="AB75">
            <v>43588</v>
          </cell>
          <cell r="AC75">
            <v>44269</v>
          </cell>
          <cell r="AD75">
            <v>37338</v>
          </cell>
          <cell r="AE75">
            <v>36808</v>
          </cell>
        </row>
        <row r="76">
          <cell r="R76">
            <v>136196</v>
          </cell>
          <cell r="S76">
            <v>145117</v>
          </cell>
          <cell r="T76">
            <v>133689</v>
          </cell>
          <cell r="U76">
            <v>120895</v>
          </cell>
          <cell r="V76">
            <v>116259</v>
          </cell>
          <cell r="W76">
            <v>103705</v>
          </cell>
          <cell r="X76">
            <v>94377</v>
          </cell>
          <cell r="Y76">
            <v>92283</v>
          </cell>
          <cell r="Z76">
            <v>99083</v>
          </cell>
          <cell r="AA76">
            <v>109159</v>
          </cell>
          <cell r="AB76">
            <v>114018</v>
          </cell>
          <cell r="AC76">
            <v>113610</v>
          </cell>
          <cell r="AD76">
            <v>104792</v>
          </cell>
          <cell r="AE76">
            <v>102399</v>
          </cell>
        </row>
        <row r="77">
          <cell r="R77">
            <v>4522</v>
          </cell>
          <cell r="S77">
            <v>4417</v>
          </cell>
          <cell r="T77">
            <v>4358</v>
          </cell>
          <cell r="U77">
            <v>4131</v>
          </cell>
          <cell r="V77">
            <v>4143</v>
          </cell>
          <cell r="W77">
            <v>4491</v>
          </cell>
          <cell r="X77">
            <v>4541</v>
          </cell>
          <cell r="Y77">
            <v>3992</v>
          </cell>
          <cell r="Z77">
            <v>3894</v>
          </cell>
          <cell r="AA77">
            <v>3842</v>
          </cell>
          <cell r="AB77">
            <v>3986</v>
          </cell>
          <cell r="AC77">
            <v>4010</v>
          </cell>
          <cell r="AD77">
            <v>3788</v>
          </cell>
          <cell r="AE77">
            <v>3799</v>
          </cell>
        </row>
        <row r="78">
          <cell r="R78">
            <v>7719</v>
          </cell>
          <cell r="S78">
            <v>8266</v>
          </cell>
          <cell r="T78">
            <v>8083</v>
          </cell>
          <cell r="U78">
            <v>6149</v>
          </cell>
          <cell r="V78">
            <v>7395</v>
          </cell>
          <cell r="W78">
            <v>7256</v>
          </cell>
          <cell r="X78">
            <v>3020</v>
          </cell>
          <cell r="Y78">
            <v>2667</v>
          </cell>
          <cell r="Z78">
            <v>3108</v>
          </cell>
          <cell r="AA78">
            <v>3455</v>
          </cell>
          <cell r="AB78">
            <v>3252</v>
          </cell>
          <cell r="AC78">
            <v>2718</v>
          </cell>
          <cell r="AD78">
            <v>2714</v>
          </cell>
          <cell r="AE78">
            <v>3162</v>
          </cell>
        </row>
        <row r="79">
          <cell r="R79">
            <v>415</v>
          </cell>
          <cell r="S79">
            <v>438</v>
          </cell>
          <cell r="T79">
            <v>392</v>
          </cell>
          <cell r="U79">
            <v>289</v>
          </cell>
          <cell r="V79">
            <v>493</v>
          </cell>
          <cell r="W79">
            <v>465</v>
          </cell>
          <cell r="X79">
            <v>484</v>
          </cell>
          <cell r="Y79">
            <v>457</v>
          </cell>
          <cell r="Z79">
            <v>477</v>
          </cell>
          <cell r="AA79">
            <v>441</v>
          </cell>
          <cell r="AB79">
            <v>439</v>
          </cell>
          <cell r="AC79">
            <v>321</v>
          </cell>
          <cell r="AD79">
            <v>363</v>
          </cell>
          <cell r="AE79">
            <v>338</v>
          </cell>
        </row>
        <row r="80">
          <cell r="R80">
            <v>10704</v>
          </cell>
          <cell r="S80">
            <v>11187</v>
          </cell>
          <cell r="T80">
            <v>10829</v>
          </cell>
          <cell r="U80">
            <v>11239</v>
          </cell>
          <cell r="V80">
            <v>10120</v>
          </cell>
          <cell r="W80">
            <v>9916</v>
          </cell>
          <cell r="X80">
            <v>10325</v>
          </cell>
          <cell r="Y80">
            <v>10128</v>
          </cell>
          <cell r="Z80">
            <v>10274</v>
          </cell>
          <cell r="AA80">
            <v>11333</v>
          </cell>
          <cell r="AB80">
            <v>11574</v>
          </cell>
          <cell r="AC80">
            <v>12133</v>
          </cell>
          <cell r="AD80">
            <v>11425</v>
          </cell>
          <cell r="AE80">
            <v>11543</v>
          </cell>
        </row>
        <row r="81">
          <cell r="R81">
            <v>15915</v>
          </cell>
          <cell r="S81">
            <v>16513</v>
          </cell>
          <cell r="T81">
            <v>16722</v>
          </cell>
          <cell r="U81">
            <v>17285</v>
          </cell>
          <cell r="V81">
            <v>16260</v>
          </cell>
          <cell r="W81">
            <v>15733</v>
          </cell>
          <cell r="X81">
            <v>16244</v>
          </cell>
          <cell r="Y81">
            <v>18165</v>
          </cell>
          <cell r="Z81">
            <v>18418</v>
          </cell>
          <cell r="AA81">
            <v>19210</v>
          </cell>
          <cell r="AB81">
            <v>19936</v>
          </cell>
          <cell r="AC81">
            <v>18985</v>
          </cell>
          <cell r="AD81">
            <v>16540</v>
          </cell>
          <cell r="AE81">
            <v>15951</v>
          </cell>
        </row>
        <row r="82">
          <cell r="R82">
            <v>179937</v>
          </cell>
          <cell r="S82">
            <v>182930</v>
          </cell>
          <cell r="T82">
            <v>165785</v>
          </cell>
          <cell r="U82">
            <v>166299</v>
          </cell>
          <cell r="V82">
            <v>158635</v>
          </cell>
          <cell r="W82">
            <v>148754</v>
          </cell>
          <cell r="X82">
            <v>144987</v>
          </cell>
          <cell r="Y82">
            <v>147412</v>
          </cell>
          <cell r="Z82">
            <v>150939</v>
          </cell>
          <cell r="AA82">
            <v>153451</v>
          </cell>
          <cell r="AB82">
            <v>153455</v>
          </cell>
          <cell r="AC82">
            <v>148403</v>
          </cell>
          <cell r="AD82">
            <v>125607</v>
          </cell>
          <cell r="AE82">
            <v>119972</v>
          </cell>
        </row>
        <row r="83">
          <cell r="R83">
            <v>666246</v>
          </cell>
          <cell r="S83">
            <v>679490</v>
          </cell>
          <cell r="T83">
            <v>659095</v>
          </cell>
          <cell r="U83">
            <v>647125</v>
          </cell>
          <cell r="V83">
            <v>623319</v>
          </cell>
          <cell r="W83">
            <v>575045</v>
          </cell>
          <cell r="X83">
            <v>544137</v>
          </cell>
          <cell r="Y83">
            <v>545744</v>
          </cell>
          <cell r="Z83">
            <v>560846</v>
          </cell>
          <cell r="AA83">
            <v>580907</v>
          </cell>
          <cell r="AB83">
            <v>584854</v>
          </cell>
          <cell r="AC83">
            <v>569360</v>
          </cell>
          <cell r="AD83">
            <v>505716</v>
          </cell>
          <cell r="AE83">
            <v>493238</v>
          </cell>
        </row>
        <row r="84">
          <cell r="R84">
            <v>0.99772524765448922</v>
          </cell>
          <cell r="S84">
            <v>0.99844537049554183</v>
          </cell>
          <cell r="T84">
            <v>0.99927377367816184</v>
          </cell>
          <cell r="U84">
            <v>0.99586036025638069</v>
          </cell>
          <cell r="V84">
            <v>1.0018821888039502</v>
          </cell>
          <cell r="W84">
            <v>1.0053533059548974</v>
          </cell>
          <cell r="X84">
            <v>1.0014170901066866</v>
          </cell>
          <cell r="Y84">
            <v>1.0013026710260278</v>
          </cell>
          <cell r="Z84">
            <v>1.0020618483022805</v>
          </cell>
          <cell r="AA84">
            <v>1.002312070908109</v>
          </cell>
          <cell r="AB84">
            <v>1.0015892424725052</v>
          </cell>
          <cell r="AC84">
            <v>1.0006326889279438</v>
          </cell>
          <cell r="AD84">
            <v>1.0019158036964908</v>
          </cell>
          <cell r="AE84">
            <v>1.0030075707816226</v>
          </cell>
        </row>
      </sheetData>
      <sheetData sheetId="11">
        <row r="20">
          <cell r="AB20">
            <v>685191.00450982037</v>
          </cell>
          <cell r="AC20">
            <v>596548.20473881776</v>
          </cell>
          <cell r="AD20">
            <v>483938.3798507941</v>
          </cell>
          <cell r="AE20">
            <v>527033.92175409861</v>
          </cell>
        </row>
        <row r="21">
          <cell r="AB21">
            <v>943682.68088198837</v>
          </cell>
          <cell r="AC21">
            <v>830208.88036835718</v>
          </cell>
          <cell r="AD21">
            <v>753930.23870589386</v>
          </cell>
          <cell r="AE21">
            <v>871080.35247744701</v>
          </cell>
        </row>
        <row r="22">
          <cell r="AB22">
            <v>565159.94287564873</v>
          </cell>
          <cell r="AC22">
            <v>558970.60872925993</v>
          </cell>
          <cell r="AD22">
            <v>572259.98185306403</v>
          </cell>
          <cell r="AE22">
            <v>556708.83725918015</v>
          </cell>
        </row>
        <row r="23">
          <cell r="AB23">
            <v>648754.53580453689</v>
          </cell>
          <cell r="AC23">
            <v>643800.41382252518</v>
          </cell>
          <cell r="AD23">
            <v>507081.04742742633</v>
          </cell>
          <cell r="AE23">
            <v>592950.14079819003</v>
          </cell>
        </row>
        <row r="24">
          <cell r="AB24">
            <v>286936.01310143375</v>
          </cell>
          <cell r="AC24">
            <v>288736.67150064075</v>
          </cell>
          <cell r="AD24">
            <v>274702.99513519771</v>
          </cell>
          <cell r="AE24">
            <v>302553.93400074064</v>
          </cell>
        </row>
        <row r="25">
          <cell r="AB25">
            <v>937394.72117731895</v>
          </cell>
          <cell r="AC25">
            <v>912080.37477960833</v>
          </cell>
          <cell r="AD25">
            <v>794727.87315070676</v>
          </cell>
          <cell r="AE25">
            <v>915980.80462188413</v>
          </cell>
        </row>
        <row r="26">
          <cell r="AB26">
            <v>2058089.550569477</v>
          </cell>
          <cell r="AC26">
            <v>1844519.6631027595</v>
          </cell>
          <cell r="AD26">
            <v>1808370.9297799692</v>
          </cell>
          <cell r="AE26">
            <v>1928192.5544098606</v>
          </cell>
        </row>
        <row r="27">
          <cell r="AB27">
            <v>1554881.3979650601</v>
          </cell>
          <cell r="AC27">
            <v>1634169.8108176619</v>
          </cell>
          <cell r="AD27">
            <v>1759674.7863607961</v>
          </cell>
          <cell r="AE27">
            <v>2076094.7759013497</v>
          </cell>
        </row>
        <row r="28">
          <cell r="AB28">
            <v>63433.426931604743</v>
          </cell>
          <cell r="AC28">
            <v>66425.748379317301</v>
          </cell>
          <cell r="AD28">
            <v>79151.326502888085</v>
          </cell>
          <cell r="AE28">
            <v>85845.446431490171</v>
          </cell>
        </row>
        <row r="29">
          <cell r="AB29">
            <v>190153.07686218477</v>
          </cell>
          <cell r="AC29">
            <v>187038.28744679055</v>
          </cell>
          <cell r="AD29">
            <v>191274.05068698598</v>
          </cell>
          <cell r="AE29">
            <v>191883.99555047645</v>
          </cell>
        </row>
        <row r="30">
          <cell r="AB30">
            <v>3238398.687584531</v>
          </cell>
          <cell r="AC30">
            <v>3213218.0296330545</v>
          </cell>
          <cell r="AD30">
            <v>3135340.9792414741</v>
          </cell>
          <cell r="AE30">
            <v>3367867.7846948942</v>
          </cell>
        </row>
        <row r="31">
          <cell r="AB31">
            <v>3921798.3362258212</v>
          </cell>
          <cell r="AC31">
            <v>3926905.9078965583</v>
          </cell>
          <cell r="AD31">
            <v>3966158.185490815</v>
          </cell>
          <cell r="AE31">
            <v>4341994.2565287473</v>
          </cell>
        </row>
        <row r="32">
          <cell r="AB32">
            <v>31549091.228681069</v>
          </cell>
          <cell r="AC32">
            <v>31194730.502038229</v>
          </cell>
          <cell r="AD32">
            <v>31505102.105258308</v>
          </cell>
          <cell r="AE32">
            <v>33927719.7277923</v>
          </cell>
        </row>
      </sheetData>
      <sheetData sheetId="12">
        <row r="20">
          <cell r="H20">
            <v>420.90410493345433</v>
          </cell>
          <cell r="I20">
            <v>423.13679518832237</v>
          </cell>
          <cell r="J20">
            <v>394.67431530947567</v>
          </cell>
          <cell r="K20">
            <v>468.25061854804272</v>
          </cell>
          <cell r="L20">
            <v>344.52373444721451</v>
          </cell>
          <cell r="M20">
            <v>445.49503488725964</v>
          </cell>
          <cell r="N20">
            <v>348.28403706589631</v>
          </cell>
          <cell r="O20">
            <v>362.3397594571631</v>
          </cell>
          <cell r="P20">
            <v>371.606224056516</v>
          </cell>
          <cell r="Q20">
            <v>312.50970489313931</v>
          </cell>
          <cell r="R20">
            <v>335.2975740310236</v>
          </cell>
          <cell r="S20">
            <v>342.2055640259951</v>
          </cell>
          <cell r="T20">
            <v>402.99180686349803</v>
          </cell>
          <cell r="U20">
            <v>414.03797570414213</v>
          </cell>
          <cell r="V20">
            <v>389.97709928167609</v>
          </cell>
          <cell r="W20">
            <v>391.37822136142915</v>
          </cell>
          <cell r="X20">
            <v>293.2540267496567</v>
          </cell>
          <cell r="Y20">
            <v>312.26727082893217</v>
          </cell>
          <cell r="Z20">
            <v>358.48883909919152</v>
          </cell>
          <cell r="AA20">
            <v>360.66110448832524</v>
          </cell>
          <cell r="AB20">
            <v>326.86508800620044</v>
          </cell>
          <cell r="AC20">
            <v>307.34855388727095</v>
          </cell>
          <cell r="AD20">
            <v>315.74630914426245</v>
          </cell>
          <cell r="AE20">
            <v>390.84711724540011</v>
          </cell>
        </row>
        <row r="21">
          <cell r="G21">
            <v>25.652573750057851</v>
          </cell>
          <cell r="H21">
            <v>25.562876348592489</v>
          </cell>
          <cell r="I21">
            <v>25.698333253680506</v>
          </cell>
          <cell r="J21">
            <v>13.848576325371898</v>
          </cell>
          <cell r="K21">
            <v>28.066991307719697</v>
          </cell>
          <cell r="L21">
            <v>16.117144199118059</v>
          </cell>
          <cell r="M21">
            <v>37.124640142297991</v>
          </cell>
          <cell r="N21">
            <v>24.163570975730682</v>
          </cell>
          <cell r="O21">
            <v>20.725655611245173</v>
          </cell>
          <cell r="P21">
            <v>16.890770559431886</v>
          </cell>
          <cell r="Q21">
            <v>14.204568678363051</v>
          </cell>
          <cell r="R21">
            <v>15.240536736838072</v>
          </cell>
          <cell r="S21">
            <v>43.601175474442854</v>
          </cell>
          <cell r="T21">
            <v>51.34627945462649</v>
          </cell>
          <cell r="U21">
            <v>52.753693876351583</v>
          </cell>
          <cell r="V21">
            <v>49.688014634735822</v>
          </cell>
          <cell r="W21">
            <v>47.389006316911576</v>
          </cell>
          <cell r="X21">
            <v>39.719600078948531</v>
          </cell>
          <cell r="Y21">
            <v>42.946811008193642</v>
          </cell>
          <cell r="Z21">
            <v>42.912847331836325</v>
          </cell>
          <cell r="AA21">
            <v>45.360843253028662</v>
          </cell>
          <cell r="AB21">
            <v>43.780346509804978</v>
          </cell>
          <cell r="AC21">
            <v>37.521853433522573</v>
          </cell>
          <cell r="AD21">
            <v>21.874406648760488</v>
          </cell>
          <cell r="AE21">
            <v>28.568841979826072</v>
          </cell>
        </row>
        <row r="22">
          <cell r="G22">
            <v>148.09067407337858</v>
          </cell>
          <cell r="H22">
            <v>147.57241187782651</v>
          </cell>
          <cell r="I22">
            <v>148.35520903287315</v>
          </cell>
          <cell r="J22">
            <v>165.79860767185517</v>
          </cell>
          <cell r="K22">
            <v>173.03383335582868</v>
          </cell>
          <cell r="L22">
            <v>144.04017279599154</v>
          </cell>
          <cell r="M22">
            <v>167.02077778073459</v>
          </cell>
          <cell r="N22">
            <v>156.95175264438686</v>
          </cell>
          <cell r="O22">
            <v>159.76203940526821</v>
          </cell>
          <cell r="P22">
            <v>160.37081910472003</v>
          </cell>
          <cell r="Q22">
            <v>134.84041862377427</v>
          </cell>
          <cell r="R22">
            <v>144.66695632902375</v>
          </cell>
          <cell r="S22">
            <v>123.14160260115491</v>
          </cell>
          <cell r="T22">
            <v>145.02256658050578</v>
          </cell>
          <cell r="U22">
            <v>148.98487297542223</v>
          </cell>
          <cell r="V22">
            <v>140.3064744760587</v>
          </cell>
          <cell r="W22">
            <v>145.5638815883764</v>
          </cell>
          <cell r="X22">
            <v>115.86372571929033</v>
          </cell>
          <cell r="Y22">
            <v>125.98853086440919</v>
          </cell>
          <cell r="Z22">
            <v>141.5697676064546</v>
          </cell>
          <cell r="AA22">
            <v>139.73676861475923</v>
          </cell>
          <cell r="AB22">
            <v>137.37429289745472</v>
          </cell>
          <cell r="AC22">
            <v>118.55546948593621</v>
          </cell>
          <cell r="AD22">
            <v>121.9097195623316</v>
          </cell>
          <cell r="AE22">
            <v>123.60453687075486</v>
          </cell>
        </row>
        <row r="23">
          <cell r="G23">
            <v>285.87082646496032</v>
          </cell>
          <cell r="H23">
            <v>284.87051536995608</v>
          </cell>
          <cell r="I23">
            <v>286.38156346652335</v>
          </cell>
          <cell r="J23">
            <v>292.12065892251803</v>
          </cell>
          <cell r="K23">
            <v>295.25657380571096</v>
          </cell>
          <cell r="L23">
            <v>273.72255952617945</v>
          </cell>
          <cell r="M23">
            <v>296.99142911960104</v>
          </cell>
          <cell r="N23">
            <v>303.2728886913564</v>
          </cell>
          <cell r="O23">
            <v>305.80805486181697</v>
          </cell>
          <cell r="P23">
            <v>304.02727286374443</v>
          </cell>
          <cell r="Q23">
            <v>255.67266336902762</v>
          </cell>
          <cell r="R23">
            <v>274.31306879249058</v>
          </cell>
          <cell r="S23">
            <v>295.74791991806399</v>
          </cell>
          <cell r="T23">
            <v>348.28133891832391</v>
          </cell>
          <cell r="U23">
            <v>357.82579254635169</v>
          </cell>
          <cell r="V23">
            <v>337.03000536087393</v>
          </cell>
          <cell r="W23">
            <v>341.86317827135667</v>
          </cell>
          <cell r="X23">
            <v>297.0016363582576</v>
          </cell>
          <cell r="Y23">
            <v>256.94850517252331</v>
          </cell>
          <cell r="Z23">
            <v>276.85700974362169</v>
          </cell>
          <cell r="AA23">
            <v>297.90433494381182</v>
          </cell>
          <cell r="AB23">
            <v>295.22513781900727</v>
          </cell>
          <cell r="AC23">
            <v>265.07383573829964</v>
          </cell>
          <cell r="AD23">
            <v>267.25903800414943</v>
          </cell>
          <cell r="AE23">
            <v>299.10375236482099</v>
          </cell>
        </row>
        <row r="24">
          <cell r="G24">
            <v>881.99616063500446</v>
          </cell>
          <cell r="H24">
            <v>878.90990852982929</v>
          </cell>
          <cell r="I24">
            <v>883.57190094139946</v>
          </cell>
          <cell r="J24">
            <v>866.44215822922081</v>
          </cell>
          <cell r="K24">
            <v>964.60788783349199</v>
          </cell>
          <cell r="L24">
            <v>778.40348106905492</v>
          </cell>
          <cell r="M24">
            <v>946.6318819298931</v>
          </cell>
          <cell r="N24">
            <v>832.67224937737035</v>
          </cell>
          <cell r="O24">
            <v>848.63549634990864</v>
          </cell>
          <cell r="P24">
            <v>852.89507384849344</v>
          </cell>
          <cell r="Q24">
            <v>717.22734293522569</v>
          </cell>
          <cell r="R24">
            <v>769.51812330024813</v>
          </cell>
          <cell r="S24">
            <v>804.69619959655552</v>
          </cell>
          <cell r="T24">
            <v>947.64197928500766</v>
          </cell>
          <cell r="U24">
            <v>973.60245291650426</v>
          </cell>
          <cell r="V24">
            <v>917.00158079266578</v>
          </cell>
          <cell r="W24">
            <v>926.19414624671435</v>
          </cell>
          <cell r="X24">
            <v>745.8391027960281</v>
          </cell>
          <cell r="Y24">
            <v>738.15110558736103</v>
          </cell>
          <cell r="Z24">
            <v>819.82857199685373</v>
          </cell>
          <cell r="AA24">
            <v>843.66301387825172</v>
          </cell>
          <cell r="AB24">
            <v>803.24492655162635</v>
          </cell>
          <cell r="AC24">
            <v>728.49965144856913</v>
          </cell>
          <cell r="AD24">
            <v>726.78953384067529</v>
          </cell>
          <cell r="AE24">
            <v>842.12418774695084</v>
          </cell>
        </row>
        <row r="25">
          <cell r="G25">
            <v>1988</v>
          </cell>
          <cell r="H25">
            <v>1989</v>
          </cell>
          <cell r="I25">
            <v>1990</v>
          </cell>
          <cell r="J25">
            <v>1991</v>
          </cell>
          <cell r="K25">
            <v>1992</v>
          </cell>
          <cell r="L25">
            <v>1993</v>
          </cell>
          <cell r="M25">
            <v>1994</v>
          </cell>
          <cell r="N25">
            <v>1995</v>
          </cell>
          <cell r="O25">
            <v>1996</v>
          </cell>
          <cell r="P25">
            <v>1997</v>
          </cell>
          <cell r="Q25">
            <v>1998</v>
          </cell>
          <cell r="R25">
            <v>1999</v>
          </cell>
          <cell r="S25">
            <v>2000</v>
          </cell>
          <cell r="T25">
            <v>2001</v>
          </cell>
          <cell r="U25">
            <v>2002</v>
          </cell>
          <cell r="V25">
            <v>2003</v>
          </cell>
          <cell r="W25">
            <v>2004</v>
          </cell>
          <cell r="X25">
            <v>2005</v>
          </cell>
          <cell r="Y25">
            <v>2006</v>
          </cell>
          <cell r="Z25">
            <v>2007</v>
          </cell>
          <cell r="AA25">
            <v>2008</v>
          </cell>
          <cell r="AB25">
            <v>2009</v>
          </cell>
          <cell r="AC25">
            <v>2010</v>
          </cell>
          <cell r="AD25">
            <v>2011</v>
          </cell>
          <cell r="AE25">
            <v>2012</v>
          </cell>
        </row>
      </sheetData>
      <sheetData sheetId="13">
        <row r="20">
          <cell r="H20">
            <v>420.90410493345433</v>
          </cell>
          <cell r="I20">
            <v>423.13679518832231</v>
          </cell>
          <cell r="J20">
            <v>394.67431530947567</v>
          </cell>
          <cell r="K20">
            <v>468.25061854804272</v>
          </cell>
          <cell r="L20">
            <v>344.52373444721451</v>
          </cell>
          <cell r="M20">
            <v>445.49503488725958</v>
          </cell>
          <cell r="N20">
            <v>348.28403706589631</v>
          </cell>
          <cell r="O20">
            <v>362.3397594571631</v>
          </cell>
          <cell r="P20">
            <v>371.60622405651606</v>
          </cell>
          <cell r="Q20">
            <v>312.50970489313931</v>
          </cell>
          <cell r="R20">
            <v>335.29757403102366</v>
          </cell>
          <cell r="S20">
            <v>342.2055640259951</v>
          </cell>
          <cell r="T20">
            <v>402.99180686349797</v>
          </cell>
          <cell r="U20">
            <v>414.03797570414213</v>
          </cell>
          <cell r="V20">
            <v>389.97709928167603</v>
          </cell>
          <cell r="W20">
            <v>391.37822136142915</v>
          </cell>
          <cell r="X20">
            <v>293.2540267496567</v>
          </cell>
          <cell r="Y20">
            <v>312.26727082893217</v>
          </cell>
          <cell r="Z20">
            <v>358.48883909919152</v>
          </cell>
          <cell r="AA20">
            <v>360.66110448832524</v>
          </cell>
          <cell r="AB20">
            <v>326.86508800620044</v>
          </cell>
          <cell r="AC20">
            <v>307.34855388727095</v>
          </cell>
          <cell r="AD20">
            <v>315.74630914426245</v>
          </cell>
          <cell r="AE20">
            <v>390.84711724540011</v>
          </cell>
        </row>
        <row r="21">
          <cell r="G21">
            <v>25.652573750057851</v>
          </cell>
          <cell r="H21">
            <v>25.562876348592493</v>
          </cell>
          <cell r="I21">
            <v>25.698333253680506</v>
          </cell>
          <cell r="J21">
            <v>13.848576325371896</v>
          </cell>
          <cell r="K21">
            <v>28.066991307719693</v>
          </cell>
          <cell r="L21">
            <v>16.117144199118062</v>
          </cell>
          <cell r="M21">
            <v>37.124640142297984</v>
          </cell>
          <cell r="N21">
            <v>24.163570975730682</v>
          </cell>
          <cell r="O21">
            <v>20.725655611245173</v>
          </cell>
          <cell r="P21">
            <v>16.890770559431886</v>
          </cell>
          <cell r="Q21">
            <v>14.204568678363051</v>
          </cell>
          <cell r="R21">
            <v>15.240536736838074</v>
          </cell>
          <cell r="S21">
            <v>43.601175474442854</v>
          </cell>
          <cell r="T21">
            <v>51.34627945462649</v>
          </cell>
          <cell r="U21">
            <v>52.753693876351583</v>
          </cell>
          <cell r="V21">
            <v>49.688014634735815</v>
          </cell>
          <cell r="W21">
            <v>47.389006316911583</v>
          </cell>
          <cell r="X21">
            <v>39.719600078948538</v>
          </cell>
          <cell r="Y21">
            <v>42.946811008193649</v>
          </cell>
          <cell r="Z21">
            <v>42.912847331836332</v>
          </cell>
          <cell r="AA21">
            <v>45.360843253028669</v>
          </cell>
          <cell r="AB21">
            <v>43.780346509804978</v>
          </cell>
          <cell r="AC21">
            <v>37.521853433522573</v>
          </cell>
          <cell r="AD21">
            <v>21.874406648760488</v>
          </cell>
          <cell r="AE21">
            <v>28.568841979826072</v>
          </cell>
        </row>
        <row r="22">
          <cell r="G22">
            <v>148.09067407337858</v>
          </cell>
          <cell r="H22">
            <v>147.57241187782651</v>
          </cell>
          <cell r="I22">
            <v>148.35520903287318</v>
          </cell>
          <cell r="J22">
            <v>165.79860767185514</v>
          </cell>
          <cell r="K22">
            <v>173.03383335582868</v>
          </cell>
          <cell r="L22">
            <v>144.04017279599154</v>
          </cell>
          <cell r="M22">
            <v>167.02077778073456</v>
          </cell>
          <cell r="N22">
            <v>156.95175264438686</v>
          </cell>
          <cell r="O22">
            <v>159.76203940526821</v>
          </cell>
          <cell r="P22">
            <v>160.37081910472</v>
          </cell>
          <cell r="Q22">
            <v>134.84041862377427</v>
          </cell>
          <cell r="R22">
            <v>144.66695632902378</v>
          </cell>
          <cell r="S22">
            <v>123.14160260115491</v>
          </cell>
          <cell r="T22">
            <v>145.02256658050578</v>
          </cell>
          <cell r="U22">
            <v>148.98487297542223</v>
          </cell>
          <cell r="V22">
            <v>140.30647447605867</v>
          </cell>
          <cell r="W22">
            <v>145.56388158837643</v>
          </cell>
          <cell r="X22">
            <v>115.86372571929033</v>
          </cell>
          <cell r="Y22">
            <v>125.98853086440919</v>
          </cell>
          <cell r="Z22">
            <v>141.5697676064546</v>
          </cell>
          <cell r="AA22">
            <v>139.7367686147592</v>
          </cell>
          <cell r="AB22">
            <v>137.37429289745472</v>
          </cell>
          <cell r="AC22">
            <v>118.55546948593621</v>
          </cell>
          <cell r="AD22">
            <v>121.90971956233162</v>
          </cell>
          <cell r="AE22">
            <v>123.60453687075486</v>
          </cell>
        </row>
        <row r="23">
          <cell r="G23">
            <v>285.87082646496026</v>
          </cell>
          <cell r="H23">
            <v>284.87051536995608</v>
          </cell>
          <cell r="I23">
            <v>286.38156346652335</v>
          </cell>
          <cell r="J23">
            <v>292.12065892251798</v>
          </cell>
          <cell r="K23">
            <v>295.2565738057109</v>
          </cell>
          <cell r="L23">
            <v>273.72255952617945</v>
          </cell>
          <cell r="M23">
            <v>296.99142911960104</v>
          </cell>
          <cell r="N23">
            <v>303.27288869135646</v>
          </cell>
          <cell r="O23">
            <v>305.80805486181691</v>
          </cell>
          <cell r="P23">
            <v>304.02727286374443</v>
          </cell>
          <cell r="Q23">
            <v>255.67266336902762</v>
          </cell>
          <cell r="R23">
            <v>274.31306879249058</v>
          </cell>
          <cell r="S23">
            <v>295.74791991806393</v>
          </cell>
          <cell r="T23">
            <v>348.28133891832385</v>
          </cell>
          <cell r="U23">
            <v>357.82579254635169</v>
          </cell>
          <cell r="V23">
            <v>337.03000536087387</v>
          </cell>
          <cell r="W23">
            <v>341.86317827135667</v>
          </cell>
          <cell r="X23">
            <v>297.0016363582576</v>
          </cell>
          <cell r="Y23">
            <v>256.94850517252331</v>
          </cell>
          <cell r="Z23">
            <v>276.85700974362169</v>
          </cell>
          <cell r="AA23">
            <v>297.90433494381182</v>
          </cell>
          <cell r="AB23">
            <v>295.22513781900722</v>
          </cell>
          <cell r="AC23">
            <v>265.07383573829964</v>
          </cell>
          <cell r="AD23">
            <v>267.25903800414949</v>
          </cell>
          <cell r="AE23">
            <v>299.10375236482099</v>
          </cell>
        </row>
        <row r="24">
          <cell r="G24">
            <v>881.99616063500446</v>
          </cell>
          <cell r="H24">
            <v>878.90990852982941</v>
          </cell>
          <cell r="I24">
            <v>883.57190094139935</v>
          </cell>
          <cell r="J24">
            <v>866.44215822922069</v>
          </cell>
          <cell r="K24">
            <v>964.60788783349187</v>
          </cell>
          <cell r="L24">
            <v>778.40348106905492</v>
          </cell>
          <cell r="M24">
            <v>946.6318819298931</v>
          </cell>
          <cell r="N24">
            <v>832.67224937737035</v>
          </cell>
          <cell r="O24">
            <v>848.63549634990864</v>
          </cell>
          <cell r="P24">
            <v>852.89507384849344</v>
          </cell>
          <cell r="Q24">
            <v>717.22734293522569</v>
          </cell>
          <cell r="R24">
            <v>769.51812330024813</v>
          </cell>
          <cell r="S24">
            <v>804.69619959655552</v>
          </cell>
          <cell r="T24">
            <v>947.64197928500778</v>
          </cell>
          <cell r="U24">
            <v>973.60245291650426</v>
          </cell>
          <cell r="V24">
            <v>917.00158079266578</v>
          </cell>
          <cell r="W24">
            <v>926.19414624671447</v>
          </cell>
          <cell r="X24">
            <v>745.8391027960281</v>
          </cell>
          <cell r="Y24">
            <v>738.15110558736103</v>
          </cell>
          <cell r="Z24">
            <v>819.82857199685373</v>
          </cell>
          <cell r="AA24">
            <v>843.66301387825172</v>
          </cell>
          <cell r="AB24">
            <v>803.24492655162635</v>
          </cell>
          <cell r="AC24">
            <v>728.49965144856913</v>
          </cell>
          <cell r="AD24">
            <v>726.78953384067529</v>
          </cell>
          <cell r="AE24">
            <v>842.12418774695072</v>
          </cell>
        </row>
        <row r="25">
          <cell r="G25">
            <v>1988</v>
          </cell>
          <cell r="H25">
            <v>1989</v>
          </cell>
          <cell r="I25">
            <v>1990</v>
          </cell>
          <cell r="J25">
            <v>1991</v>
          </cell>
          <cell r="K25">
            <v>1992</v>
          </cell>
          <cell r="L25">
            <v>1993</v>
          </cell>
          <cell r="M25">
            <v>1994</v>
          </cell>
          <cell r="N25">
            <v>1995</v>
          </cell>
          <cell r="O25">
            <v>1996</v>
          </cell>
          <cell r="P25">
            <v>1997</v>
          </cell>
          <cell r="Q25">
            <v>1998</v>
          </cell>
          <cell r="R25">
            <v>1999</v>
          </cell>
          <cell r="S25">
            <v>2000</v>
          </cell>
          <cell r="T25">
            <v>2001</v>
          </cell>
          <cell r="U25">
            <v>2002</v>
          </cell>
          <cell r="V25">
            <v>2003</v>
          </cell>
          <cell r="W25">
            <v>2004</v>
          </cell>
          <cell r="X25">
            <v>2005</v>
          </cell>
          <cell r="Y25">
            <v>2006</v>
          </cell>
          <cell r="Z25">
            <v>2007</v>
          </cell>
          <cell r="AA25">
            <v>2008</v>
          </cell>
          <cell r="AB25">
            <v>2009</v>
          </cell>
          <cell r="AC25">
            <v>2010</v>
          </cell>
          <cell r="AD25">
            <v>2011</v>
          </cell>
          <cell r="AE25">
            <v>2012</v>
          </cell>
        </row>
        <row r="50">
          <cell r="G50">
            <v>1988</v>
          </cell>
          <cell r="H50">
            <v>1989</v>
          </cell>
          <cell r="I50">
            <v>1990</v>
          </cell>
          <cell r="J50">
            <v>1991</v>
          </cell>
          <cell r="K50">
            <v>1992</v>
          </cell>
          <cell r="L50">
            <v>1993</v>
          </cell>
          <cell r="M50">
            <v>1994</v>
          </cell>
          <cell r="N50">
            <v>1995</v>
          </cell>
          <cell r="O50">
            <v>1996</v>
          </cell>
          <cell r="P50">
            <v>1997</v>
          </cell>
          <cell r="Q50">
            <v>1998</v>
          </cell>
          <cell r="R50">
            <v>1999</v>
          </cell>
          <cell r="S50">
            <v>2000</v>
          </cell>
          <cell r="T50">
            <v>2001</v>
          </cell>
          <cell r="U50">
            <v>2002</v>
          </cell>
          <cell r="V50">
            <v>2003</v>
          </cell>
          <cell r="W50">
            <v>2004</v>
          </cell>
          <cell r="X50">
            <v>2005</v>
          </cell>
          <cell r="Y50">
            <v>2006</v>
          </cell>
          <cell r="Z50">
            <v>2007</v>
          </cell>
          <cell r="AA50">
            <v>2008</v>
          </cell>
          <cell r="AB50">
            <v>2009</v>
          </cell>
          <cell r="AC50">
            <v>2010</v>
          </cell>
          <cell r="AD50">
            <v>2011</v>
          </cell>
          <cell r="AE50">
            <v>2012</v>
          </cell>
        </row>
        <row r="51">
          <cell r="G51">
            <v>422.38208634660771</v>
          </cell>
          <cell r="H51">
            <v>420.90410493345433</v>
          </cell>
          <cell r="I51">
            <v>423.13679518832231</v>
          </cell>
          <cell r="J51">
            <v>394.67431530947567</v>
          </cell>
          <cell r="K51">
            <v>468.25061854804272</v>
          </cell>
          <cell r="L51">
            <v>344.52373444721451</v>
          </cell>
          <cell r="M51">
            <v>445.49503488725958</v>
          </cell>
          <cell r="N51">
            <v>348.28403706589631</v>
          </cell>
          <cell r="O51">
            <v>362.3397594571631</v>
          </cell>
          <cell r="P51">
            <v>371.60622405651606</v>
          </cell>
          <cell r="Q51">
            <v>312.50970489313931</v>
          </cell>
          <cell r="R51">
            <v>335.29757403102366</v>
          </cell>
          <cell r="S51">
            <v>342.2055640259951</v>
          </cell>
          <cell r="T51">
            <v>402.99180686349797</v>
          </cell>
          <cell r="U51">
            <v>414.03797570414213</v>
          </cell>
          <cell r="V51">
            <v>389.97709928167603</v>
          </cell>
          <cell r="W51">
            <v>391.37822136142915</v>
          </cell>
          <cell r="X51">
            <v>293.2540267496567</v>
          </cell>
          <cell r="Y51">
            <v>312.26727082893217</v>
          </cell>
          <cell r="Z51">
            <v>358.48883909919152</v>
          </cell>
          <cell r="AA51">
            <v>360.66110448832524</v>
          </cell>
          <cell r="AB51">
            <v>326.86508800620044</v>
          </cell>
          <cell r="AC51">
            <v>307.34855388727095</v>
          </cell>
          <cell r="AD51">
            <v>315.74630914426245</v>
          </cell>
          <cell r="AE51">
            <v>390.84711724540011</v>
          </cell>
        </row>
        <row r="52">
          <cell r="G52">
            <v>25.652573750057851</v>
          </cell>
          <cell r="H52">
            <v>25.562876348592493</v>
          </cell>
          <cell r="I52">
            <v>25.698333253680506</v>
          </cell>
          <cell r="J52">
            <v>13.848576325371896</v>
          </cell>
          <cell r="K52">
            <v>28.066991307719693</v>
          </cell>
          <cell r="L52">
            <v>16.117144199118062</v>
          </cell>
          <cell r="M52">
            <v>37.124640142297984</v>
          </cell>
          <cell r="N52">
            <v>24.163570975730682</v>
          </cell>
          <cell r="O52">
            <v>20.725655611245173</v>
          </cell>
          <cell r="P52">
            <v>16.890770559431886</v>
          </cell>
          <cell r="Q52">
            <v>14.204568678363051</v>
          </cell>
          <cell r="R52">
            <v>15.240536736838074</v>
          </cell>
          <cell r="S52">
            <v>43.601175474442854</v>
          </cell>
          <cell r="T52">
            <v>51.34627945462649</v>
          </cell>
          <cell r="U52">
            <v>52.753693876351583</v>
          </cell>
          <cell r="V52">
            <v>49.688014634735815</v>
          </cell>
          <cell r="W52">
            <v>47.389006316911583</v>
          </cell>
          <cell r="X52">
            <v>39.719600078948538</v>
          </cell>
          <cell r="Y52">
            <v>42.946811008193649</v>
          </cell>
          <cell r="Z52">
            <v>42.912847331836332</v>
          </cell>
          <cell r="AA52">
            <v>45.360843253028669</v>
          </cell>
          <cell r="AB52">
            <v>43.780346509804978</v>
          </cell>
          <cell r="AC52">
            <v>37.521853433522573</v>
          </cell>
          <cell r="AD52">
            <v>21.874406648760488</v>
          </cell>
          <cell r="AE52">
            <v>28.568841979826072</v>
          </cell>
        </row>
        <row r="53">
          <cell r="G53">
            <v>148.09067407337858</v>
          </cell>
          <cell r="H53">
            <v>147.57241187782651</v>
          </cell>
          <cell r="I53">
            <v>148.35520903287318</v>
          </cell>
          <cell r="J53">
            <v>165.79860767185514</v>
          </cell>
          <cell r="K53">
            <v>173.03383335582868</v>
          </cell>
          <cell r="L53">
            <v>144.04017279599154</v>
          </cell>
          <cell r="M53">
            <v>167.02077778073456</v>
          </cell>
          <cell r="N53">
            <v>156.95175264438686</v>
          </cell>
          <cell r="O53">
            <v>159.76203940526821</v>
          </cell>
          <cell r="P53">
            <v>160.37081910472</v>
          </cell>
          <cell r="Q53">
            <v>134.84041862377427</v>
          </cell>
          <cell r="R53">
            <v>144.66695632902378</v>
          </cell>
          <cell r="S53">
            <v>123.14160260115491</v>
          </cell>
          <cell r="T53">
            <v>145.02256658050578</v>
          </cell>
          <cell r="U53">
            <v>148.98487297542223</v>
          </cell>
          <cell r="V53">
            <v>140.30647447605867</v>
          </cell>
          <cell r="W53">
            <v>145.56388158837643</v>
          </cell>
          <cell r="X53">
            <v>115.86372571929033</v>
          </cell>
          <cell r="Y53">
            <v>125.98853086440919</v>
          </cell>
          <cell r="Z53">
            <v>141.5697676064546</v>
          </cell>
          <cell r="AA53">
            <v>139.7367686147592</v>
          </cell>
          <cell r="AB53">
            <v>137.37429289745472</v>
          </cell>
          <cell r="AC53">
            <v>118.55546948593621</v>
          </cell>
          <cell r="AD53">
            <v>121.90971956233162</v>
          </cell>
          <cell r="AE53">
            <v>123.60453687075486</v>
          </cell>
        </row>
        <row r="54">
          <cell r="G54">
            <v>285.87082646496026</v>
          </cell>
          <cell r="H54">
            <v>284.87051536995608</v>
          </cell>
          <cell r="I54">
            <v>286.38156346652335</v>
          </cell>
          <cell r="J54">
            <v>292.12065892251798</v>
          </cell>
          <cell r="K54">
            <v>295.2565738057109</v>
          </cell>
          <cell r="L54">
            <v>273.72255952617945</v>
          </cell>
          <cell r="M54">
            <v>296.99142911960104</v>
          </cell>
          <cell r="N54">
            <v>303.27288869135646</v>
          </cell>
          <cell r="O54">
            <v>305.80805486181691</v>
          </cell>
          <cell r="P54">
            <v>304.02727286374443</v>
          </cell>
          <cell r="Q54">
            <v>255.67266336902762</v>
          </cell>
          <cell r="R54">
            <v>274.31306879249058</v>
          </cell>
          <cell r="S54">
            <v>295.74791991806393</v>
          </cell>
          <cell r="T54">
            <v>348.28133891832385</v>
          </cell>
          <cell r="U54">
            <v>357.82579254635169</v>
          </cell>
          <cell r="V54">
            <v>337.03000536087387</v>
          </cell>
          <cell r="W54">
            <v>341.86317827135667</v>
          </cell>
          <cell r="X54">
            <v>297.0016363582576</v>
          </cell>
          <cell r="Y54">
            <v>256.94850517252331</v>
          </cell>
          <cell r="Z54">
            <v>276.85700974362169</v>
          </cell>
          <cell r="AA54">
            <v>297.90433494381182</v>
          </cell>
          <cell r="AB54">
            <v>295.22513781900722</v>
          </cell>
          <cell r="AC54">
            <v>265.07383573829964</v>
          </cell>
          <cell r="AD54">
            <v>267.25903800414949</v>
          </cell>
          <cell r="AE54">
            <v>299.10375236482099</v>
          </cell>
        </row>
        <row r="55">
          <cell r="G55">
            <v>881.99616063500446</v>
          </cell>
          <cell r="H55">
            <v>878.90990852982941</v>
          </cell>
          <cell r="I55">
            <v>883.57190094139935</v>
          </cell>
          <cell r="J55">
            <v>866.44215822922069</v>
          </cell>
          <cell r="K55">
            <v>964.60788783349187</v>
          </cell>
          <cell r="L55">
            <v>778.40348106905492</v>
          </cell>
          <cell r="M55">
            <v>946.6318819298931</v>
          </cell>
          <cell r="N55">
            <v>832.67224937737035</v>
          </cell>
          <cell r="O55">
            <v>848.63549634990864</v>
          </cell>
          <cell r="P55">
            <v>852.89507384849344</v>
          </cell>
          <cell r="Q55">
            <v>717.22734293522569</v>
          </cell>
          <cell r="R55">
            <v>769.51812330024813</v>
          </cell>
          <cell r="S55">
            <v>804.69619959655552</v>
          </cell>
          <cell r="T55">
            <v>947.64197928500778</v>
          </cell>
          <cell r="U55">
            <v>973.60245291650426</v>
          </cell>
          <cell r="V55">
            <v>917.00158079266578</v>
          </cell>
          <cell r="W55">
            <v>926.19414624671447</v>
          </cell>
          <cell r="X55">
            <v>745.8391027960281</v>
          </cell>
          <cell r="Y55">
            <v>738.15110558736103</v>
          </cell>
          <cell r="Z55">
            <v>819.82857199685373</v>
          </cell>
          <cell r="AA55">
            <v>843.66301387825172</v>
          </cell>
          <cell r="AB55">
            <v>803.24492655162635</v>
          </cell>
          <cell r="AC55">
            <v>728.49965144856913</v>
          </cell>
          <cell r="AD55">
            <v>726.78953384067529</v>
          </cell>
          <cell r="AE55">
            <v>842.12418774695072</v>
          </cell>
        </row>
      </sheetData>
      <sheetData sheetId="14">
        <row r="20">
          <cell r="H20">
            <v>420.90410493345433</v>
          </cell>
          <cell r="I20">
            <v>423.13679518832231</v>
          </cell>
          <cell r="J20">
            <v>394.67431530947567</v>
          </cell>
          <cell r="K20">
            <v>468.25061854804272</v>
          </cell>
          <cell r="L20">
            <v>344.52373444721451</v>
          </cell>
          <cell r="M20">
            <v>445.49503488725958</v>
          </cell>
          <cell r="N20">
            <v>348.28403706589631</v>
          </cell>
          <cell r="O20">
            <v>362.3397594571631</v>
          </cell>
          <cell r="P20">
            <v>371.60622405651606</v>
          </cell>
          <cell r="Q20">
            <v>312.50970489313931</v>
          </cell>
          <cell r="R20">
            <v>335.29757403102366</v>
          </cell>
          <cell r="S20">
            <v>342.2055640259951</v>
          </cell>
          <cell r="T20">
            <v>402.99180686349797</v>
          </cell>
          <cell r="U20">
            <v>414.03797570414213</v>
          </cell>
          <cell r="V20">
            <v>389.97709928167603</v>
          </cell>
          <cell r="W20">
            <v>391.37822136142915</v>
          </cell>
          <cell r="X20">
            <v>293.2540267496567</v>
          </cell>
          <cell r="Y20">
            <v>312.26727082893217</v>
          </cell>
          <cell r="Z20">
            <v>358.48883909919152</v>
          </cell>
          <cell r="AA20">
            <v>360.66110448832524</v>
          </cell>
          <cell r="AB20">
            <v>326.86508800620044</v>
          </cell>
          <cell r="AC20">
            <v>307.34855388727095</v>
          </cell>
          <cell r="AD20">
            <v>315.74630914426245</v>
          </cell>
          <cell r="AE20">
            <v>390.84711724540011</v>
          </cell>
        </row>
        <row r="21">
          <cell r="G21">
            <v>25.652573750057851</v>
          </cell>
          <cell r="H21">
            <v>25.562876348592493</v>
          </cell>
          <cell r="I21">
            <v>25.698333253680506</v>
          </cell>
          <cell r="J21">
            <v>13.848576325371896</v>
          </cell>
          <cell r="K21">
            <v>28.066991307719693</v>
          </cell>
          <cell r="L21">
            <v>16.117144199118062</v>
          </cell>
          <cell r="M21">
            <v>37.124640142297984</v>
          </cell>
          <cell r="N21">
            <v>24.163570975730682</v>
          </cell>
          <cell r="O21">
            <v>20.725655611245173</v>
          </cell>
          <cell r="P21">
            <v>16.890770559431886</v>
          </cell>
          <cell r="Q21">
            <v>14.204568678363051</v>
          </cell>
          <cell r="R21">
            <v>15.240536736838074</v>
          </cell>
          <cell r="S21">
            <v>43.601175474442854</v>
          </cell>
          <cell r="T21">
            <v>51.34627945462649</v>
          </cell>
          <cell r="U21">
            <v>52.753693876351583</v>
          </cell>
          <cell r="V21">
            <v>49.688014634735815</v>
          </cell>
          <cell r="W21">
            <v>47.389006316911583</v>
          </cell>
          <cell r="X21">
            <v>39.719600078948538</v>
          </cell>
          <cell r="Y21">
            <v>42.946811008193649</v>
          </cell>
          <cell r="Z21">
            <v>42.912847331836332</v>
          </cell>
          <cell r="AA21">
            <v>45.360843253028669</v>
          </cell>
          <cell r="AB21">
            <v>43.780346509804978</v>
          </cell>
          <cell r="AC21">
            <v>37.521853433522573</v>
          </cell>
          <cell r="AD21">
            <v>21.874406648760488</v>
          </cell>
          <cell r="AE21">
            <v>28.568841979826072</v>
          </cell>
        </row>
        <row r="22">
          <cell r="G22">
            <v>148.09067407337858</v>
          </cell>
          <cell r="H22">
            <v>147.57241187782651</v>
          </cell>
          <cell r="I22">
            <v>148.35520903287318</v>
          </cell>
          <cell r="J22">
            <v>165.79860767185514</v>
          </cell>
          <cell r="K22">
            <v>173.03383335582868</v>
          </cell>
          <cell r="L22">
            <v>144.04017279599154</v>
          </cell>
          <cell r="M22">
            <v>167.02077778073456</v>
          </cell>
          <cell r="N22">
            <v>156.95175264438686</v>
          </cell>
          <cell r="O22">
            <v>159.76203940526821</v>
          </cell>
          <cell r="P22">
            <v>160.37081910472</v>
          </cell>
          <cell r="Q22">
            <v>134.84041862377427</v>
          </cell>
          <cell r="R22">
            <v>144.66695632902378</v>
          </cell>
          <cell r="S22">
            <v>123.14160260115491</v>
          </cell>
          <cell r="T22">
            <v>145.02256658050578</v>
          </cell>
          <cell r="U22">
            <v>148.98487297542223</v>
          </cell>
          <cell r="V22">
            <v>140.30647447605867</v>
          </cell>
          <cell r="W22">
            <v>145.56388158837643</v>
          </cell>
          <cell r="X22">
            <v>115.86372571929033</v>
          </cell>
          <cell r="Y22">
            <v>125.98853086440919</v>
          </cell>
          <cell r="Z22">
            <v>141.5697676064546</v>
          </cell>
          <cell r="AA22">
            <v>139.7367686147592</v>
          </cell>
          <cell r="AB22">
            <v>137.37429289745472</v>
          </cell>
          <cell r="AC22">
            <v>118.55546948593621</v>
          </cell>
          <cell r="AD22">
            <v>121.90971956233162</v>
          </cell>
          <cell r="AE22">
            <v>123.60453687075486</v>
          </cell>
        </row>
        <row r="23">
          <cell r="G23">
            <v>285.87082646496026</v>
          </cell>
          <cell r="H23">
            <v>284.87051536995608</v>
          </cell>
          <cell r="I23">
            <v>286.38156346652335</v>
          </cell>
          <cell r="J23">
            <v>292.12065892251798</v>
          </cell>
          <cell r="K23">
            <v>295.2565738057109</v>
          </cell>
          <cell r="L23">
            <v>273.72255952617945</v>
          </cell>
          <cell r="M23">
            <v>296.99142911960104</v>
          </cell>
          <cell r="N23">
            <v>303.27288869135646</v>
          </cell>
          <cell r="O23">
            <v>305.80805486181691</v>
          </cell>
          <cell r="P23">
            <v>304.02727286374443</v>
          </cell>
          <cell r="Q23">
            <v>255.67266336902762</v>
          </cell>
          <cell r="R23">
            <v>274.31306879249058</v>
          </cell>
          <cell r="S23">
            <v>295.74791991806393</v>
          </cell>
          <cell r="T23">
            <v>348.28133891832385</v>
          </cell>
          <cell r="U23">
            <v>357.82579254635169</v>
          </cell>
          <cell r="V23">
            <v>337.03000536087387</v>
          </cell>
          <cell r="W23">
            <v>341.86317827135667</v>
          </cell>
          <cell r="X23">
            <v>297.0016363582576</v>
          </cell>
          <cell r="Y23">
            <v>256.94850517252331</v>
          </cell>
          <cell r="Z23">
            <v>276.85700974362169</v>
          </cell>
          <cell r="AA23">
            <v>297.90433494381182</v>
          </cell>
          <cell r="AB23">
            <v>295.22513781900722</v>
          </cell>
          <cell r="AC23">
            <v>265.07383573829964</v>
          </cell>
          <cell r="AD23">
            <v>267.25903800414949</v>
          </cell>
          <cell r="AE23">
            <v>299.10375236482099</v>
          </cell>
        </row>
        <row r="24">
          <cell r="G24">
            <v>881.99616063500446</v>
          </cell>
          <cell r="H24">
            <v>878.90990852982941</v>
          </cell>
          <cell r="I24">
            <v>883.57190094139935</v>
          </cell>
          <cell r="J24">
            <v>866.44215822922069</v>
          </cell>
          <cell r="K24">
            <v>964.60788783349187</v>
          </cell>
          <cell r="L24">
            <v>778.40348106905492</v>
          </cell>
          <cell r="M24">
            <v>946.6318819298931</v>
          </cell>
          <cell r="N24">
            <v>832.67224937737035</v>
          </cell>
          <cell r="O24">
            <v>848.63549634990864</v>
          </cell>
          <cell r="P24">
            <v>852.89507384849344</v>
          </cell>
          <cell r="Q24">
            <v>717.22734293522569</v>
          </cell>
          <cell r="R24">
            <v>769.51812330024813</v>
          </cell>
          <cell r="S24">
            <v>804.69619959655552</v>
          </cell>
          <cell r="T24">
            <v>947.64197928500778</v>
          </cell>
          <cell r="U24">
            <v>973.60245291650426</v>
          </cell>
          <cell r="V24">
            <v>917.00158079266578</v>
          </cell>
          <cell r="W24">
            <v>926.19414624671447</v>
          </cell>
          <cell r="X24">
            <v>745.8391027960281</v>
          </cell>
          <cell r="Y24">
            <v>738.15110558736103</v>
          </cell>
          <cell r="Z24">
            <v>819.82857199685373</v>
          </cell>
          <cell r="AA24">
            <v>843.66301387825172</v>
          </cell>
          <cell r="AB24">
            <v>803.24492655162635</v>
          </cell>
          <cell r="AC24">
            <v>728.49965144856913</v>
          </cell>
          <cell r="AD24">
            <v>726.78953384067529</v>
          </cell>
          <cell r="AE24">
            <v>842.12418774695072</v>
          </cell>
        </row>
        <row r="25">
          <cell r="G25">
            <v>1988</v>
          </cell>
          <cell r="H25">
            <v>1989</v>
          </cell>
          <cell r="I25">
            <v>1990</v>
          </cell>
          <cell r="J25">
            <v>1991</v>
          </cell>
          <cell r="K25">
            <v>1992</v>
          </cell>
          <cell r="L25">
            <v>1993</v>
          </cell>
          <cell r="M25">
            <v>1994</v>
          </cell>
          <cell r="N25">
            <v>1995</v>
          </cell>
          <cell r="O25">
            <v>1996</v>
          </cell>
          <cell r="P25">
            <v>1997</v>
          </cell>
          <cell r="Q25">
            <v>1998</v>
          </cell>
          <cell r="R25">
            <v>1999</v>
          </cell>
          <cell r="S25">
            <v>2000</v>
          </cell>
          <cell r="T25">
            <v>2001</v>
          </cell>
          <cell r="U25">
            <v>2002</v>
          </cell>
          <cell r="V25">
            <v>2003</v>
          </cell>
          <cell r="W25">
            <v>2004</v>
          </cell>
          <cell r="X25">
            <v>2005</v>
          </cell>
          <cell r="Y25">
            <v>2006</v>
          </cell>
          <cell r="Z25">
            <v>2007</v>
          </cell>
          <cell r="AA25">
            <v>2008</v>
          </cell>
          <cell r="AB25">
            <v>2009</v>
          </cell>
          <cell r="AC25">
            <v>2010</v>
          </cell>
          <cell r="AD25">
            <v>2011</v>
          </cell>
          <cell r="AE25">
            <v>2012</v>
          </cell>
        </row>
      </sheetData>
      <sheetData sheetId="15"/>
      <sheetData sheetId="16">
        <row r="5">
          <cell r="B5" t="str">
            <v>Anchor</v>
          </cell>
          <cell r="C5" t="str">
            <v>Abrev</v>
          </cell>
          <cell r="D5" t="str">
            <v>POPULATION FORECAST (1000s)</v>
          </cell>
          <cell r="E5" t="str">
            <v>Scenario</v>
          </cell>
          <cell r="F5">
            <v>1985</v>
          </cell>
          <cell r="G5">
            <v>1986</v>
          </cell>
          <cell r="H5">
            <v>1987</v>
          </cell>
          <cell r="I5">
            <v>1988</v>
          </cell>
          <cell r="J5">
            <v>1989</v>
          </cell>
          <cell r="K5">
            <v>1990</v>
          </cell>
          <cell r="L5">
            <v>1991</v>
          </cell>
          <cell r="M5">
            <v>1992</v>
          </cell>
          <cell r="N5">
            <v>1993</v>
          </cell>
          <cell r="O5">
            <v>1994</v>
          </cell>
          <cell r="P5">
            <v>1995</v>
          </cell>
          <cell r="Q5">
            <v>1996</v>
          </cell>
          <cell r="R5">
            <v>1997</v>
          </cell>
          <cell r="S5">
            <v>1998</v>
          </cell>
          <cell r="T5">
            <v>1999</v>
          </cell>
          <cell r="U5">
            <v>2000</v>
          </cell>
          <cell r="V5">
            <v>2001</v>
          </cell>
          <cell r="W5">
            <v>2002</v>
          </cell>
          <cell r="X5">
            <v>2003</v>
          </cell>
          <cell r="Y5">
            <v>2004</v>
          </cell>
          <cell r="Z5">
            <v>2005</v>
          </cell>
          <cell r="AA5">
            <v>2006</v>
          </cell>
          <cell r="AB5">
            <v>2007</v>
          </cell>
          <cell r="AC5">
            <v>2008</v>
          </cell>
          <cell r="AD5">
            <v>2009</v>
          </cell>
          <cell r="AE5">
            <v>2010</v>
          </cell>
          <cell r="AF5">
            <v>2011</v>
          </cell>
          <cell r="AG5">
            <v>2012</v>
          </cell>
          <cell r="AH5">
            <v>2013</v>
          </cell>
          <cell r="AI5">
            <v>2014</v>
          </cell>
          <cell r="AJ5">
            <v>2015</v>
          </cell>
          <cell r="AK5">
            <v>2016</v>
          </cell>
          <cell r="AL5">
            <v>2017</v>
          </cell>
          <cell r="AM5">
            <v>2018</v>
          </cell>
          <cell r="AN5">
            <v>2019</v>
          </cell>
          <cell r="AO5">
            <v>2020</v>
          </cell>
          <cell r="AP5">
            <v>2021</v>
          </cell>
          <cell r="AQ5">
            <v>2022</v>
          </cell>
          <cell r="AR5">
            <v>2023</v>
          </cell>
          <cell r="AS5">
            <v>2024</v>
          </cell>
          <cell r="AT5">
            <v>2025</v>
          </cell>
          <cell r="AU5">
            <v>2026</v>
          </cell>
          <cell r="AV5">
            <v>2027</v>
          </cell>
          <cell r="AW5">
            <v>2028</v>
          </cell>
          <cell r="AX5">
            <v>2029</v>
          </cell>
          <cell r="AY5">
            <v>2030</v>
          </cell>
          <cell r="AZ5">
            <v>2031</v>
          </cell>
          <cell r="BA5">
            <v>2032</v>
          </cell>
          <cell r="BB5">
            <v>2033</v>
          </cell>
          <cell r="BC5">
            <v>2034</v>
          </cell>
        </row>
        <row r="6">
          <cell r="B6" t="str">
            <v>OrPopStock</v>
          </cell>
          <cell r="C6" t="str">
            <v>Or</v>
          </cell>
          <cell r="D6" t="str">
            <v>Oregon</v>
          </cell>
          <cell r="E6" t="str">
            <v>Trend (basecase)</v>
          </cell>
          <cell r="F6">
            <v>2674.306</v>
          </cell>
          <cell r="G6">
            <v>2686.1149999999998</v>
          </cell>
          <cell r="H6">
            <v>2707.4250000000002</v>
          </cell>
          <cell r="I6">
            <v>2747.9569999999999</v>
          </cell>
          <cell r="J6">
            <v>2800.471</v>
          </cell>
          <cell r="K6">
            <v>2868.6590000000001</v>
          </cell>
          <cell r="L6">
            <v>2935.9960000000001</v>
          </cell>
          <cell r="M6">
            <v>3000.55</v>
          </cell>
          <cell r="N6">
            <v>3067.395</v>
          </cell>
          <cell r="O6">
            <v>3129.1930000000002</v>
          </cell>
          <cell r="P6">
            <v>3192.0929999999998</v>
          </cell>
          <cell r="Q6">
            <v>3253.8310000000001</v>
          </cell>
          <cell r="R6">
            <v>3309.7</v>
          </cell>
          <cell r="S6">
            <v>3357.1759999999999</v>
          </cell>
          <cell r="T6">
            <v>3398.232</v>
          </cell>
          <cell r="U6">
            <v>3434.8069999999998</v>
          </cell>
          <cell r="V6">
            <v>3474.0340000000001</v>
          </cell>
          <cell r="W6">
            <v>3516.915</v>
          </cell>
          <cell r="X6">
            <v>3549.38</v>
          </cell>
          <cell r="Y6">
            <v>3576.2510000000002</v>
          </cell>
          <cell r="Z6">
            <v>3621.221</v>
          </cell>
          <cell r="AA6">
            <v>3676.88</v>
          </cell>
          <cell r="AB6">
            <v>3727.835</v>
          </cell>
          <cell r="AC6">
            <v>3773.288</v>
          </cell>
          <cell r="AD6">
            <v>3811.7179999999998</v>
          </cell>
          <cell r="AE6">
            <v>3841.4360000000001</v>
          </cell>
          <cell r="AF6">
            <v>3871.9769999999999</v>
          </cell>
          <cell r="AG6">
            <v>3903.4650000000001</v>
          </cell>
          <cell r="AH6">
            <v>3934.049</v>
          </cell>
          <cell r="AI6">
            <v>3966.8829999999998</v>
          </cell>
          <cell r="AJ6">
            <v>4002.799</v>
          </cell>
          <cell r="AK6">
            <v>4039.9940000000001</v>
          </cell>
          <cell r="AL6">
            <v>4078.125</v>
          </cell>
          <cell r="AM6">
            <v>4116.6090000000004</v>
          </cell>
          <cell r="AN6">
            <v>4154.674</v>
          </cell>
          <cell r="AO6">
            <v>4192.0780000000004</v>
          </cell>
          <cell r="AP6">
            <v>4228.7430000000004</v>
          </cell>
          <cell r="AQ6">
            <v>4264.6490000000003</v>
          </cell>
          <cell r="AR6">
            <v>4299.7920000000004</v>
          </cell>
          <cell r="AS6">
            <v>4334.1710000000003</v>
          </cell>
          <cell r="AT6">
            <v>4367.7330000000002</v>
          </cell>
          <cell r="AU6">
            <v>4400.4340000000002</v>
          </cell>
          <cell r="AV6">
            <v>4432.5820000000003</v>
          </cell>
          <cell r="AW6">
            <v>4464.3519999999999</v>
          </cell>
          <cell r="AX6">
            <v>4495.7730000000001</v>
          </cell>
          <cell r="AY6">
            <v>4526.8729999999996</v>
          </cell>
          <cell r="AZ6">
            <v>4557.6930000000002</v>
          </cell>
          <cell r="BA6">
            <v>4588.2659999999996</v>
          </cell>
          <cell r="BB6">
            <v>4618.6210000000001</v>
          </cell>
          <cell r="BC6">
            <v>4648.692</v>
          </cell>
        </row>
        <row r="7">
          <cell r="B7" t="str">
            <v>WAPopStock</v>
          </cell>
          <cell r="C7" t="str">
            <v>WA</v>
          </cell>
          <cell r="D7" t="str">
            <v>Washington</v>
          </cell>
          <cell r="E7" t="str">
            <v>Trend (basecase)</v>
          </cell>
          <cell r="F7">
            <v>4406.3850000000002</v>
          </cell>
          <cell r="G7">
            <v>4464.1899999999996</v>
          </cell>
          <cell r="H7">
            <v>4547.0309999999999</v>
          </cell>
          <cell r="I7">
            <v>4652.9070000000002</v>
          </cell>
          <cell r="J7">
            <v>4768.7150000000001</v>
          </cell>
          <cell r="K7">
            <v>4915.9459999999999</v>
          </cell>
          <cell r="L7">
            <v>5043.0330000000004</v>
          </cell>
          <cell r="M7">
            <v>5174.2219999999998</v>
          </cell>
          <cell r="N7">
            <v>5289.3639999999996</v>
          </cell>
          <cell r="O7">
            <v>5388.8370000000004</v>
          </cell>
          <cell r="P7">
            <v>5490.92</v>
          </cell>
          <cell r="Q7">
            <v>5583.7539999999999</v>
          </cell>
          <cell r="R7">
            <v>5685.8310000000001</v>
          </cell>
          <cell r="S7">
            <v>5777.2370000000001</v>
          </cell>
          <cell r="T7">
            <v>5850.9089999999997</v>
          </cell>
          <cell r="U7">
            <v>5920.5039999999999</v>
          </cell>
          <cell r="V7">
            <v>5993.451</v>
          </cell>
          <cell r="W7">
            <v>6057.85</v>
          </cell>
          <cell r="X7">
            <v>6114.7939999999999</v>
          </cell>
          <cell r="Y7">
            <v>6188.66</v>
          </cell>
          <cell r="Z7">
            <v>6273.5249999999996</v>
          </cell>
          <cell r="AA7">
            <v>6380.576</v>
          </cell>
          <cell r="AB7">
            <v>6474.665</v>
          </cell>
          <cell r="AC7">
            <v>6575.5370000000003</v>
          </cell>
          <cell r="AD7">
            <v>6675.0910000000003</v>
          </cell>
          <cell r="AE7">
            <v>6752.683</v>
          </cell>
          <cell r="AF7">
            <v>6830.3310000000001</v>
          </cell>
          <cell r="AG7">
            <v>6904.9059999999999</v>
          </cell>
          <cell r="AH7">
            <v>6981</v>
          </cell>
          <cell r="AI7">
            <v>7058.0010000000002</v>
          </cell>
          <cell r="AJ7">
            <v>7134.8850000000002</v>
          </cell>
          <cell r="AK7">
            <v>7210.4989999999998</v>
          </cell>
          <cell r="AL7">
            <v>7285.5159999999996</v>
          </cell>
          <cell r="AM7">
            <v>7360.0730000000003</v>
          </cell>
          <cell r="AN7">
            <v>7433.7640000000001</v>
          </cell>
          <cell r="AO7">
            <v>7506.3230000000003</v>
          </cell>
          <cell r="AP7">
            <v>7577.2960000000003</v>
          </cell>
          <cell r="AQ7">
            <v>7646.607</v>
          </cell>
          <cell r="AR7">
            <v>7714.268</v>
          </cell>
          <cell r="AS7">
            <v>7780.4369999999999</v>
          </cell>
          <cell r="AT7">
            <v>7845.4889999999996</v>
          </cell>
          <cell r="AU7">
            <v>7909.7030000000004</v>
          </cell>
          <cell r="AV7">
            <v>7973.1719999999996</v>
          </cell>
          <cell r="AW7">
            <v>8035.9170000000004</v>
          </cell>
          <cell r="AX7">
            <v>8097.9880000000003</v>
          </cell>
          <cell r="AY7">
            <v>8159.4440000000004</v>
          </cell>
          <cell r="AZ7">
            <v>8220.3349999999991</v>
          </cell>
          <cell r="BA7">
            <v>8280.7260000000006</v>
          </cell>
          <cell r="BB7">
            <v>8340.6640000000007</v>
          </cell>
          <cell r="BC7">
            <v>8400.2720000000008</v>
          </cell>
        </row>
        <row r="8">
          <cell r="B8" t="str">
            <v>IDPopStock</v>
          </cell>
          <cell r="C8" t="str">
            <v>ID</v>
          </cell>
          <cell r="D8" t="str">
            <v>Idaho</v>
          </cell>
          <cell r="E8" t="str">
            <v>Trend (basecase)</v>
          </cell>
          <cell r="F8">
            <v>993.13199999999995</v>
          </cell>
          <cell r="G8">
            <v>989.48</v>
          </cell>
          <cell r="H8">
            <v>985.447</v>
          </cell>
          <cell r="I8">
            <v>987.25800000000004</v>
          </cell>
          <cell r="J8">
            <v>997.22299999999996</v>
          </cell>
          <cell r="K8">
            <v>1016.634</v>
          </cell>
          <cell r="L8">
            <v>1045.135</v>
          </cell>
          <cell r="M8">
            <v>1076.6510000000001</v>
          </cell>
          <cell r="N8">
            <v>1113.1759999999999</v>
          </cell>
          <cell r="O8">
            <v>1148.825</v>
          </cell>
          <cell r="P8">
            <v>1180.0889999999999</v>
          </cell>
          <cell r="Q8">
            <v>1206.2</v>
          </cell>
          <cell r="R8">
            <v>1231.357</v>
          </cell>
          <cell r="S8">
            <v>1255.1849999999999</v>
          </cell>
          <cell r="T8">
            <v>1278.7760000000001</v>
          </cell>
          <cell r="U8">
            <v>1301.894</v>
          </cell>
          <cell r="V8">
            <v>1322.481</v>
          </cell>
          <cell r="W8">
            <v>1343.3820000000001</v>
          </cell>
          <cell r="X8">
            <v>1367.23</v>
          </cell>
          <cell r="Y8">
            <v>1396.7929999999999</v>
          </cell>
          <cell r="Z8">
            <v>1433.46</v>
          </cell>
          <cell r="AA8">
            <v>1472.8989999999999</v>
          </cell>
          <cell r="AB8">
            <v>1508.2539999999999</v>
          </cell>
          <cell r="AC8">
            <v>1536.239</v>
          </cell>
          <cell r="AD8">
            <v>1556.479</v>
          </cell>
          <cell r="AE8">
            <v>1572.4290000000001</v>
          </cell>
          <cell r="AF8">
            <v>1585.2860000000001</v>
          </cell>
          <cell r="AG8">
            <v>1597.952</v>
          </cell>
          <cell r="AH8">
            <v>1614.3810000000001</v>
          </cell>
          <cell r="AI8">
            <v>1633.1020000000001</v>
          </cell>
          <cell r="AJ8">
            <v>1653.616</v>
          </cell>
          <cell r="AK8">
            <v>1675.2660000000001</v>
          </cell>
          <cell r="AL8">
            <v>1698.1659999999999</v>
          </cell>
          <cell r="AM8">
            <v>1722.0160000000001</v>
          </cell>
          <cell r="AN8">
            <v>1746.183</v>
          </cell>
          <cell r="AO8">
            <v>1770.4179999999999</v>
          </cell>
          <cell r="AP8">
            <v>1794.69</v>
          </cell>
          <cell r="AQ8">
            <v>1818.9970000000001</v>
          </cell>
          <cell r="AR8">
            <v>1843.36</v>
          </cell>
          <cell r="AS8">
            <v>1867.77</v>
          </cell>
          <cell r="AT8">
            <v>1892.2149999999999</v>
          </cell>
          <cell r="AU8">
            <v>1916.6949999999999</v>
          </cell>
          <cell r="AV8">
            <v>1941.2059999999999</v>
          </cell>
          <cell r="AW8">
            <v>1965.741</v>
          </cell>
          <cell r="AX8">
            <v>1990.2360000000001</v>
          </cell>
          <cell r="AY8">
            <v>2014.665</v>
          </cell>
          <cell r="AZ8">
            <v>2039.0309999999999</v>
          </cell>
          <cell r="BA8">
            <v>2063.33</v>
          </cell>
          <cell r="BB8">
            <v>2087.5639999999999</v>
          </cell>
          <cell r="BC8">
            <v>2111.7449999999999</v>
          </cell>
        </row>
        <row r="9">
          <cell r="B9" t="str">
            <v>MTPopStock</v>
          </cell>
          <cell r="C9" t="str">
            <v>MT</v>
          </cell>
          <cell r="D9" t="str">
            <v>Montana</v>
          </cell>
          <cell r="E9" t="str">
            <v>Trend (basecase)</v>
          </cell>
          <cell r="F9">
            <v>820.61699999999996</v>
          </cell>
          <cell r="G9">
            <v>812.64099999999996</v>
          </cell>
          <cell r="H9">
            <v>804.69</v>
          </cell>
          <cell r="I9">
            <v>800.39700000000005</v>
          </cell>
          <cell r="J9">
            <v>799.77599999999995</v>
          </cell>
          <cell r="K9">
            <v>801.93899999999996</v>
          </cell>
          <cell r="L9">
            <v>812.08500000000004</v>
          </cell>
          <cell r="M9">
            <v>828.29399999999998</v>
          </cell>
          <cell r="N9">
            <v>846.649</v>
          </cell>
          <cell r="O9">
            <v>863.10900000000004</v>
          </cell>
          <cell r="P9">
            <v>877.40700000000004</v>
          </cell>
          <cell r="Q9">
            <v>886.32100000000003</v>
          </cell>
          <cell r="R9">
            <v>890.12</v>
          </cell>
          <cell r="S9">
            <v>893.221</v>
          </cell>
          <cell r="T9">
            <v>898.36199999999997</v>
          </cell>
          <cell r="U9">
            <v>903.97699999999998</v>
          </cell>
          <cell r="V9">
            <v>907.64300000000003</v>
          </cell>
          <cell r="W9">
            <v>912.86199999999997</v>
          </cell>
          <cell r="X9">
            <v>921.07</v>
          </cell>
          <cell r="Y9">
            <v>931.24400000000003</v>
          </cell>
          <cell r="Z9">
            <v>941.82</v>
          </cell>
          <cell r="AA9">
            <v>954.14599999999996</v>
          </cell>
          <cell r="AB9">
            <v>966.13900000000001</v>
          </cell>
          <cell r="AC9">
            <v>977.09500000000003</v>
          </cell>
          <cell r="AD9">
            <v>984.86599999999999</v>
          </cell>
          <cell r="AE9">
            <v>991.57600000000002</v>
          </cell>
          <cell r="AF9">
            <v>998.63499999999999</v>
          </cell>
          <cell r="AG9">
            <v>1006.807</v>
          </cell>
          <cell r="AH9">
            <v>1016.352</v>
          </cell>
          <cell r="AI9">
            <v>1025.7760000000001</v>
          </cell>
          <cell r="AJ9">
            <v>1034.779</v>
          </cell>
          <cell r="AK9">
            <v>1043.723</v>
          </cell>
          <cell r="AL9">
            <v>1052.69</v>
          </cell>
          <cell r="AM9">
            <v>1061.3920000000001</v>
          </cell>
          <cell r="AN9">
            <v>1069.5709999999999</v>
          </cell>
          <cell r="AO9">
            <v>1077.162</v>
          </cell>
          <cell r="AP9">
            <v>1084.1869999999999</v>
          </cell>
          <cell r="AQ9">
            <v>1090.6420000000001</v>
          </cell>
          <cell r="AR9">
            <v>1096.5219999999999</v>
          </cell>
          <cell r="AS9">
            <v>1101.83</v>
          </cell>
          <cell r="AT9">
            <v>1106.683</v>
          </cell>
          <cell r="AU9">
            <v>1111.384</v>
          </cell>
          <cell r="AV9">
            <v>1115.998</v>
          </cell>
          <cell r="AW9">
            <v>1120.511</v>
          </cell>
          <cell r="AX9">
            <v>1124.9100000000001</v>
          </cell>
          <cell r="AY9">
            <v>1129.1980000000001</v>
          </cell>
          <cell r="AZ9">
            <v>1133.386</v>
          </cell>
          <cell r="BA9">
            <v>1137.4849999999999</v>
          </cell>
          <cell r="BB9">
            <v>1141.509</v>
          </cell>
          <cell r="BC9">
            <v>1145.4690000000001</v>
          </cell>
        </row>
        <row r="10">
          <cell r="B10" t="str">
            <v>RegionPopStock</v>
          </cell>
          <cell r="C10" t="str">
            <v>Region</v>
          </cell>
          <cell r="D10" t="str">
            <v>Region (with WMT only)</v>
          </cell>
          <cell r="E10" t="str">
            <v>Trend (basecase)</v>
          </cell>
          <cell r="F10">
            <v>8541.5746899999995</v>
          </cell>
          <cell r="G10">
            <v>8602.9903699999995</v>
          </cell>
          <cell r="H10">
            <v>8698.5763000000006</v>
          </cell>
          <cell r="I10">
            <v>8844.3482899999999</v>
          </cell>
          <cell r="J10">
            <v>9022.2813200000001</v>
          </cell>
          <cell r="K10">
            <v>9258.3442299999988</v>
          </cell>
          <cell r="L10">
            <v>9487.052450000001</v>
          </cell>
          <cell r="M10">
            <v>9723.550580000001</v>
          </cell>
          <cell r="N10">
            <v>9952.5249299999996</v>
          </cell>
          <cell r="O10">
            <v>10158.827130000001</v>
          </cell>
          <cell r="P10">
            <v>10363.223989999999</v>
          </cell>
          <cell r="Q10">
            <v>10548.98797</v>
          </cell>
          <cell r="R10">
            <v>10734.256399999998</v>
          </cell>
          <cell r="S10">
            <v>10898.733969999999</v>
          </cell>
          <cell r="T10">
            <v>11039.983339999999</v>
          </cell>
          <cell r="U10">
            <v>11172.471890000001</v>
          </cell>
          <cell r="V10">
            <v>11307.32251</v>
          </cell>
          <cell r="W10">
            <v>11438.47834</v>
          </cell>
          <cell r="X10">
            <v>11556.4139</v>
          </cell>
          <cell r="Y10">
            <v>11692.513080000001</v>
          </cell>
          <cell r="Z10">
            <v>11865.043399999999</v>
          </cell>
          <cell r="AA10">
            <v>12074.218219999999</v>
          </cell>
          <cell r="AB10">
            <v>12261.453230000001</v>
          </cell>
          <cell r="AC10">
            <v>12442.00815</v>
          </cell>
          <cell r="AD10">
            <v>12604.661620000001</v>
          </cell>
          <cell r="AE10">
            <v>12731.74632</v>
          </cell>
          <cell r="AF10">
            <v>12856.81595</v>
          </cell>
          <cell r="AG10">
            <v>12980.202989999998</v>
          </cell>
          <cell r="AH10">
            <v>13108.750639999998</v>
          </cell>
          <cell r="AI10">
            <v>13242.678320000001</v>
          </cell>
          <cell r="AJ10">
            <v>13381.124030000001</v>
          </cell>
          <cell r="AK10">
            <v>13520.68111</v>
          </cell>
          <cell r="AL10">
            <v>13661.840299999998</v>
          </cell>
          <cell r="AM10">
            <v>13803.691440000001</v>
          </cell>
          <cell r="AN10">
            <v>13944.276469999999</v>
          </cell>
          <cell r="AO10">
            <v>14082.801340000002</v>
          </cell>
          <cell r="AP10">
            <v>14218.715590000002</v>
          </cell>
          <cell r="AQ10">
            <v>14351.918940000001</v>
          </cell>
          <cell r="AR10">
            <v>14482.437540000003</v>
          </cell>
          <cell r="AS10">
            <v>14610.4211</v>
          </cell>
          <cell r="AT10">
            <v>14736.24631</v>
          </cell>
          <cell r="AU10">
            <v>14860.320880000001</v>
          </cell>
          <cell r="AV10">
            <v>14983.078860000001</v>
          </cell>
          <cell r="AW10">
            <v>15104.70127</v>
          </cell>
          <cell r="AX10">
            <v>15225.195700000002</v>
          </cell>
          <cell r="AY10">
            <v>15344.62486</v>
          </cell>
          <cell r="AZ10">
            <v>15463.089019999998</v>
          </cell>
          <cell r="BA10">
            <v>15580.68845</v>
          </cell>
          <cell r="BB10">
            <v>15697.50913</v>
          </cell>
          <cell r="BC10">
            <v>15813.626329999999</v>
          </cell>
        </row>
      </sheetData>
      <sheetData sheetId="17"/>
      <sheetData sheetId="18">
        <row r="21">
          <cell r="G21" t="str">
            <v>Number_of_Circuits</v>
          </cell>
          <cell r="H21" t="str">
            <v>Pos_Rel</v>
          </cell>
          <cell r="I21" t="str">
            <v>ID</v>
          </cell>
        </row>
        <row r="22">
          <cell r="G22">
            <v>2</v>
          </cell>
          <cell r="H22" t="str">
            <v>Within 1 mile</v>
          </cell>
          <cell r="I22">
            <v>3337427414</v>
          </cell>
        </row>
        <row r="23">
          <cell r="G23">
            <v>1</v>
          </cell>
          <cell r="H23" t="str">
            <v>Within 1 mile</v>
          </cell>
          <cell r="I23">
            <v>3342618410</v>
          </cell>
        </row>
        <row r="24">
          <cell r="G24">
            <v>2</v>
          </cell>
          <cell r="H24" t="str">
            <v>Within 1 mile</v>
          </cell>
          <cell r="I24">
            <v>3352749805</v>
          </cell>
        </row>
        <row r="25">
          <cell r="G25">
            <v>2</v>
          </cell>
          <cell r="H25" t="str">
            <v>Not verified to be within 1 mile</v>
          </cell>
          <cell r="I25">
            <v>3349560210</v>
          </cell>
        </row>
        <row r="26">
          <cell r="G26">
            <v>1</v>
          </cell>
          <cell r="H26" t="str">
            <v>Not verified to be within 1 mile</v>
          </cell>
          <cell r="I26">
            <v>3349560228</v>
          </cell>
        </row>
        <row r="27">
          <cell r="G27">
            <v>2</v>
          </cell>
          <cell r="H27" t="str">
            <v>Not verified to be within 1 mile</v>
          </cell>
          <cell r="I27">
            <v>3349560223</v>
          </cell>
        </row>
        <row r="28">
          <cell r="G28">
            <v>1</v>
          </cell>
          <cell r="H28" t="str">
            <v>Within 165 feet</v>
          </cell>
          <cell r="I28">
            <v>3342618062</v>
          </cell>
        </row>
        <row r="29">
          <cell r="G29">
            <v>5</v>
          </cell>
          <cell r="H29" t="str">
            <v>Within 165 feet</v>
          </cell>
          <cell r="I29">
            <v>3349559673</v>
          </cell>
        </row>
        <row r="30">
          <cell r="G30">
            <v>7</v>
          </cell>
          <cell r="H30" t="str">
            <v>Within 165 feet</v>
          </cell>
          <cell r="I30">
            <v>3337405809</v>
          </cell>
        </row>
        <row r="31">
          <cell r="G31">
            <v>4</v>
          </cell>
          <cell r="H31" t="str">
            <v>Within 40 feet</v>
          </cell>
          <cell r="I31">
            <v>3337405811</v>
          </cell>
        </row>
        <row r="32">
          <cell r="G32">
            <v>4</v>
          </cell>
          <cell r="H32" t="str">
            <v>Within 1 mile</v>
          </cell>
          <cell r="I32">
            <v>3337405841</v>
          </cell>
        </row>
        <row r="33">
          <cell r="G33">
            <v>3</v>
          </cell>
          <cell r="H33" t="str">
            <v>Within 165 feet</v>
          </cell>
          <cell r="I33">
            <v>3337405851</v>
          </cell>
        </row>
        <row r="34">
          <cell r="G34">
            <v>1</v>
          </cell>
          <cell r="H34" t="str">
            <v>Within 1 mile</v>
          </cell>
          <cell r="I34">
            <v>3352750258</v>
          </cell>
        </row>
        <row r="35">
          <cell r="G35">
            <v>8</v>
          </cell>
          <cell r="H35" t="str">
            <v>Within 165 feet</v>
          </cell>
          <cell r="I35">
            <v>3337405875</v>
          </cell>
        </row>
        <row r="36">
          <cell r="G36">
            <v>6</v>
          </cell>
          <cell r="H36" t="str">
            <v>Within 165 feet</v>
          </cell>
          <cell r="I36">
            <v>3337405876</v>
          </cell>
        </row>
        <row r="37">
          <cell r="G37">
            <v>2</v>
          </cell>
          <cell r="H37" t="str">
            <v>Within 165 feet</v>
          </cell>
          <cell r="I37">
            <v>3342618042</v>
          </cell>
        </row>
        <row r="38">
          <cell r="G38">
            <v>4</v>
          </cell>
          <cell r="H38" t="str">
            <v>Within 1 mile</v>
          </cell>
          <cell r="I38">
            <v>3365669816</v>
          </cell>
        </row>
        <row r="39">
          <cell r="G39">
            <v>3</v>
          </cell>
          <cell r="H39" t="str">
            <v>Within 40 feet</v>
          </cell>
          <cell r="I39">
            <v>3337405945</v>
          </cell>
        </row>
        <row r="40">
          <cell r="G40">
            <v>2</v>
          </cell>
          <cell r="H40" t="str">
            <v>Within 1 mile</v>
          </cell>
          <cell r="I40">
            <v>3337428205</v>
          </cell>
        </row>
        <row r="41">
          <cell r="G41">
            <v>2</v>
          </cell>
          <cell r="H41" t="str">
            <v>Not Verified to be within 1 mile</v>
          </cell>
          <cell r="I41">
            <v>3342618238</v>
          </cell>
        </row>
        <row r="42">
          <cell r="G42">
            <v>2</v>
          </cell>
          <cell r="H42" t="str">
            <v>Not Verified to be within 1 mile</v>
          </cell>
          <cell r="I42">
            <v>3342618215</v>
          </cell>
        </row>
        <row r="43">
          <cell r="G43">
            <v>3</v>
          </cell>
          <cell r="H43" t="str">
            <v>Within 1 mile</v>
          </cell>
          <cell r="I43">
            <v>3337405994</v>
          </cell>
        </row>
        <row r="44">
          <cell r="G44">
            <v>1</v>
          </cell>
          <cell r="H44" t="str">
            <v>Within 40 feet</v>
          </cell>
          <cell r="I44">
            <v>3349559578</v>
          </cell>
        </row>
        <row r="45">
          <cell r="G45">
            <v>3</v>
          </cell>
          <cell r="H45" t="str">
            <v>Not Verified to be within 1 mile</v>
          </cell>
          <cell r="I45">
            <v>3342618203</v>
          </cell>
        </row>
        <row r="46">
          <cell r="G46">
            <v>8</v>
          </cell>
          <cell r="H46" t="str">
            <v>Within 165 feet</v>
          </cell>
          <cell r="I46">
            <v>3337406029</v>
          </cell>
        </row>
        <row r="47">
          <cell r="G47">
            <v>6</v>
          </cell>
          <cell r="H47" t="str">
            <v>Within 40 feet</v>
          </cell>
          <cell r="I47">
            <v>3337406039</v>
          </cell>
        </row>
        <row r="48">
          <cell r="G48">
            <v>5</v>
          </cell>
          <cell r="H48" t="str">
            <v>Within 40 feet</v>
          </cell>
          <cell r="I48">
            <v>3337427457</v>
          </cell>
        </row>
        <row r="49">
          <cell r="G49">
            <v>3</v>
          </cell>
          <cell r="H49" t="str">
            <v>Within 40 feet</v>
          </cell>
          <cell r="I49">
            <v>3352750139</v>
          </cell>
        </row>
        <row r="50">
          <cell r="G50">
            <v>1</v>
          </cell>
          <cell r="H50" t="str">
            <v>Within 40 feet</v>
          </cell>
          <cell r="I50">
            <v>3352750138</v>
          </cell>
        </row>
        <row r="51">
          <cell r="G51">
            <v>1</v>
          </cell>
          <cell r="H51" t="str">
            <v>Not Verified to be within 1 mile</v>
          </cell>
          <cell r="I51">
            <v>3342618050</v>
          </cell>
        </row>
        <row r="52">
          <cell r="G52">
            <v>5</v>
          </cell>
          <cell r="H52" t="str">
            <v>Within 165 feet</v>
          </cell>
          <cell r="I52">
            <v>3337406065</v>
          </cell>
        </row>
        <row r="53">
          <cell r="G53">
            <v>1</v>
          </cell>
          <cell r="H53" t="str">
            <v>Within 1 mile</v>
          </cell>
          <cell r="I53">
            <v>3337406075</v>
          </cell>
        </row>
        <row r="54">
          <cell r="G54">
            <v>4</v>
          </cell>
          <cell r="H54" t="str">
            <v>Within 40 feet</v>
          </cell>
          <cell r="I54">
            <v>3353097876</v>
          </cell>
        </row>
        <row r="55">
          <cell r="G55">
            <v>2</v>
          </cell>
          <cell r="H55" t="str">
            <v>Not Verified to be within 1 mile</v>
          </cell>
          <cell r="I55">
            <v>3342618108</v>
          </cell>
        </row>
        <row r="56">
          <cell r="G56">
            <v>5</v>
          </cell>
          <cell r="H56" t="str">
            <v>Within 1 mile</v>
          </cell>
          <cell r="I56">
            <v>3337406092</v>
          </cell>
        </row>
        <row r="57">
          <cell r="G57">
            <v>4</v>
          </cell>
          <cell r="H57" t="str">
            <v>Within 40 feet</v>
          </cell>
          <cell r="I57">
            <v>3349559515</v>
          </cell>
        </row>
        <row r="58">
          <cell r="G58">
            <v>3</v>
          </cell>
          <cell r="H58" t="str">
            <v>Within 40 feet</v>
          </cell>
          <cell r="I58">
            <v>3337406222</v>
          </cell>
        </row>
        <row r="59">
          <cell r="G59">
            <v>1</v>
          </cell>
          <cell r="H59" t="str">
            <v>Within 40 feet</v>
          </cell>
          <cell r="I59">
            <v>3349559567</v>
          </cell>
        </row>
        <row r="60">
          <cell r="G60">
            <v>3</v>
          </cell>
          <cell r="H60" t="str">
            <v>Not verified to be within 1 mile</v>
          </cell>
          <cell r="I60">
            <v>3337406235</v>
          </cell>
        </row>
        <row r="61">
          <cell r="G61">
            <v>3</v>
          </cell>
          <cell r="H61" t="str">
            <v>Not Verified to be within 1 mile</v>
          </cell>
          <cell r="I61">
            <v>3337406236</v>
          </cell>
        </row>
        <row r="62">
          <cell r="G62">
            <v>1</v>
          </cell>
          <cell r="H62" t="str">
            <v>Within 1 mile</v>
          </cell>
          <cell r="I62">
            <v>3337427508</v>
          </cell>
        </row>
        <row r="63">
          <cell r="G63">
            <v>9</v>
          </cell>
          <cell r="H63" t="str">
            <v>Within 40 feet</v>
          </cell>
          <cell r="I63">
            <v>3337406253</v>
          </cell>
        </row>
        <row r="64">
          <cell r="G64">
            <v>1</v>
          </cell>
          <cell r="H64" t="str">
            <v>Not Verified to be within 1 mile</v>
          </cell>
          <cell r="I64">
            <v>3342618167</v>
          </cell>
        </row>
        <row r="65">
          <cell r="G65">
            <v>1</v>
          </cell>
          <cell r="H65" t="str">
            <v>Not Verified to be within 1 mile</v>
          </cell>
          <cell r="I65">
            <v>3342618232</v>
          </cell>
        </row>
        <row r="66">
          <cell r="G66">
            <v>2</v>
          </cell>
          <cell r="H66" t="str">
            <v>Within 40 feet</v>
          </cell>
          <cell r="I66">
            <v>3349559646</v>
          </cell>
        </row>
        <row r="67">
          <cell r="G67">
            <v>2</v>
          </cell>
          <cell r="H67" t="str">
            <v>Within 1 mile</v>
          </cell>
          <cell r="I67">
            <v>3342618182</v>
          </cell>
        </row>
        <row r="68">
          <cell r="G68">
            <v>2</v>
          </cell>
          <cell r="H68" t="str">
            <v>Not Verified to be within 1 mile</v>
          </cell>
          <cell r="I68">
            <v>3337406279</v>
          </cell>
        </row>
        <row r="69">
          <cell r="G69">
            <v>1</v>
          </cell>
          <cell r="H69" t="str">
            <v>Within 40 feet</v>
          </cell>
          <cell r="I69">
            <v>3349559565</v>
          </cell>
        </row>
        <row r="70">
          <cell r="G70">
            <v>3</v>
          </cell>
          <cell r="H70" t="str">
            <v>Within 165 feet</v>
          </cell>
          <cell r="I70">
            <v>3337406291</v>
          </cell>
        </row>
        <row r="71">
          <cell r="G71">
            <v>1</v>
          </cell>
          <cell r="H71" t="str">
            <v>Not Verified to be within 1 mile</v>
          </cell>
          <cell r="I71">
            <v>3342618333</v>
          </cell>
        </row>
        <row r="72">
          <cell r="G72">
            <v>1</v>
          </cell>
          <cell r="H72" t="str">
            <v>Not verified to be within 1 mile</v>
          </cell>
          <cell r="I72">
            <v>3349560041</v>
          </cell>
        </row>
        <row r="73">
          <cell r="G73">
            <v>1</v>
          </cell>
          <cell r="H73" t="str">
            <v>Not verified to be within 1 mile</v>
          </cell>
          <cell r="I73">
            <v>3349560331</v>
          </cell>
        </row>
        <row r="74">
          <cell r="G74">
            <v>2</v>
          </cell>
          <cell r="H74" t="str">
            <v>Within 1 mile</v>
          </cell>
          <cell r="I74">
            <v>3342618130</v>
          </cell>
        </row>
        <row r="75">
          <cell r="G75">
            <v>4</v>
          </cell>
          <cell r="H75" t="str">
            <v>Within 165 feet</v>
          </cell>
          <cell r="I75">
            <v>3353098108</v>
          </cell>
        </row>
        <row r="76">
          <cell r="G76">
            <v>2</v>
          </cell>
          <cell r="H76" t="str">
            <v>Within 40 feet</v>
          </cell>
          <cell r="I76">
            <v>3337406325</v>
          </cell>
        </row>
        <row r="77">
          <cell r="G77">
            <v>2</v>
          </cell>
          <cell r="H77" t="str">
            <v>Within 165 feet</v>
          </cell>
          <cell r="I77">
            <v>3337406328</v>
          </cell>
        </row>
        <row r="78">
          <cell r="G78">
            <v>4</v>
          </cell>
          <cell r="H78" t="str">
            <v>Within 165 feet</v>
          </cell>
          <cell r="I78">
            <v>3349559676</v>
          </cell>
        </row>
        <row r="79">
          <cell r="G79">
            <v>5</v>
          </cell>
          <cell r="H79" t="str">
            <v>Not verified to be within 1 mile</v>
          </cell>
          <cell r="I79">
            <v>3349560178</v>
          </cell>
        </row>
        <row r="80">
          <cell r="G80">
            <v>6</v>
          </cell>
          <cell r="H80" t="str">
            <v>Within 165 feet</v>
          </cell>
          <cell r="I80">
            <v>3337406371</v>
          </cell>
        </row>
        <row r="81">
          <cell r="G81">
            <v>2</v>
          </cell>
          <cell r="H81" t="str">
            <v>Within 1 mile</v>
          </cell>
          <cell r="I81">
            <v>3342617827</v>
          </cell>
        </row>
        <row r="82">
          <cell r="G82">
            <v>2</v>
          </cell>
          <cell r="H82" t="str">
            <v>Within 1 mile</v>
          </cell>
          <cell r="I82">
            <v>3337406374</v>
          </cell>
        </row>
        <row r="83">
          <cell r="G83">
            <v>3</v>
          </cell>
          <cell r="H83" t="str">
            <v>Within 1 mile</v>
          </cell>
          <cell r="I83">
            <v>3337428236</v>
          </cell>
        </row>
        <row r="84">
          <cell r="G84">
            <v>2</v>
          </cell>
          <cell r="H84" t="str">
            <v>Within 165 feet</v>
          </cell>
          <cell r="I84">
            <v>3337406412</v>
          </cell>
        </row>
        <row r="85">
          <cell r="G85">
            <v>1</v>
          </cell>
          <cell r="H85" t="str">
            <v>Not verified to be within 1 mile</v>
          </cell>
          <cell r="I85">
            <v>3349560076</v>
          </cell>
        </row>
        <row r="86">
          <cell r="G86">
            <v>2</v>
          </cell>
          <cell r="H86" t="str">
            <v>Not Verified to be within 1 mile</v>
          </cell>
          <cell r="I86">
            <v>3342618126</v>
          </cell>
        </row>
        <row r="87">
          <cell r="G87">
            <v>1</v>
          </cell>
          <cell r="H87" t="str">
            <v>Not Verified to be within 1 mile</v>
          </cell>
          <cell r="I87">
            <v>3342618089</v>
          </cell>
        </row>
        <row r="88">
          <cell r="G88">
            <v>2</v>
          </cell>
          <cell r="H88" t="str">
            <v>Within 165 feet</v>
          </cell>
          <cell r="I88">
            <v>3352749992</v>
          </cell>
        </row>
        <row r="89">
          <cell r="G89">
            <v>1</v>
          </cell>
          <cell r="H89" t="str">
            <v>Within 165 feet</v>
          </cell>
          <cell r="I89">
            <v>3338290484</v>
          </cell>
        </row>
        <row r="90">
          <cell r="G90">
            <v>1</v>
          </cell>
          <cell r="H90" t="str">
            <v>Not Verified to be within 1 mile</v>
          </cell>
          <cell r="I90">
            <v>3342618281</v>
          </cell>
        </row>
        <row r="91">
          <cell r="G91">
            <v>3</v>
          </cell>
          <cell r="H91" t="str">
            <v>Within 40 feet</v>
          </cell>
          <cell r="I91">
            <v>3337406568</v>
          </cell>
        </row>
        <row r="92">
          <cell r="G92">
            <v>2</v>
          </cell>
          <cell r="H92" t="str">
            <v>Within 1 mile</v>
          </cell>
          <cell r="I92">
            <v>3352749896</v>
          </cell>
        </row>
        <row r="93">
          <cell r="G93">
            <v>4</v>
          </cell>
          <cell r="H93" t="str">
            <v>Within 165 feet</v>
          </cell>
          <cell r="I93">
            <v>3337406590</v>
          </cell>
        </row>
        <row r="94">
          <cell r="G94">
            <v>4</v>
          </cell>
          <cell r="H94" t="str">
            <v>Within 40 feet</v>
          </cell>
          <cell r="I94">
            <v>3337406602</v>
          </cell>
        </row>
        <row r="95">
          <cell r="G95">
            <v>2</v>
          </cell>
          <cell r="H95" t="str">
            <v>Within 1 mile</v>
          </cell>
          <cell r="I95">
            <v>3352749982</v>
          </cell>
        </row>
        <row r="96">
          <cell r="G96">
            <v>1</v>
          </cell>
          <cell r="H96" t="str">
            <v>Not Verified to be within 1 mile</v>
          </cell>
          <cell r="I96">
            <v>3337406632</v>
          </cell>
        </row>
        <row r="97">
          <cell r="G97">
            <v>3</v>
          </cell>
          <cell r="H97" t="str">
            <v>Within 165 feet</v>
          </cell>
          <cell r="I97">
            <v>3337406649</v>
          </cell>
        </row>
        <row r="98">
          <cell r="G98">
            <v>2</v>
          </cell>
          <cell r="H98" t="str">
            <v>Not verified to be within 1 mile</v>
          </cell>
          <cell r="I98">
            <v>3349559693</v>
          </cell>
        </row>
        <row r="99">
          <cell r="G99">
            <v>2</v>
          </cell>
          <cell r="H99" t="str">
            <v>Within 1 mile</v>
          </cell>
          <cell r="I99">
            <v>3353097619</v>
          </cell>
        </row>
        <row r="100">
          <cell r="G100">
            <v>2</v>
          </cell>
          <cell r="H100" t="str">
            <v>Not verified to be within 1 mile</v>
          </cell>
          <cell r="I100">
            <v>3349559868</v>
          </cell>
        </row>
        <row r="101">
          <cell r="G101">
            <v>1</v>
          </cell>
          <cell r="H101" t="str">
            <v>Within 1 mile</v>
          </cell>
          <cell r="I101">
            <v>3342618366</v>
          </cell>
        </row>
        <row r="102">
          <cell r="G102">
            <v>3</v>
          </cell>
          <cell r="H102" t="str">
            <v>Not verified to be within 1 mile</v>
          </cell>
          <cell r="I102">
            <v>3349560078</v>
          </cell>
        </row>
        <row r="103">
          <cell r="G103">
            <v>4</v>
          </cell>
          <cell r="H103" t="str">
            <v>Within 1 mile</v>
          </cell>
          <cell r="I103">
            <v>3337406789</v>
          </cell>
        </row>
        <row r="104">
          <cell r="G104">
            <v>3</v>
          </cell>
          <cell r="H104" t="str">
            <v>Within 1 mile</v>
          </cell>
          <cell r="I104">
            <v>3337406795</v>
          </cell>
        </row>
        <row r="105">
          <cell r="G105">
            <v>2</v>
          </cell>
          <cell r="H105" t="str">
            <v>Within 1 mile</v>
          </cell>
          <cell r="I105">
            <v>3337406808</v>
          </cell>
        </row>
        <row r="106">
          <cell r="G106">
            <v>4</v>
          </cell>
          <cell r="H106" t="str">
            <v>Within 1 mile</v>
          </cell>
          <cell r="I106">
            <v>3337406818</v>
          </cell>
        </row>
        <row r="107">
          <cell r="G107">
            <v>0</v>
          </cell>
          <cell r="H107" t="str">
            <v>Within 165 feet</v>
          </cell>
          <cell r="I107">
            <v>3337406821</v>
          </cell>
        </row>
        <row r="108">
          <cell r="G108">
            <v>0</v>
          </cell>
          <cell r="H108" t="str">
            <v>Within 1 mile</v>
          </cell>
          <cell r="I108">
            <v>3337406822</v>
          </cell>
        </row>
        <row r="109">
          <cell r="G109">
            <v>2</v>
          </cell>
          <cell r="H109" t="str">
            <v>Within 1 mile</v>
          </cell>
          <cell r="I109">
            <v>3352749976</v>
          </cell>
        </row>
        <row r="110">
          <cell r="G110">
            <v>7</v>
          </cell>
          <cell r="H110" t="str">
            <v>Within 40 feet</v>
          </cell>
          <cell r="I110">
            <v>3337406824</v>
          </cell>
        </row>
        <row r="111">
          <cell r="G111">
            <v>5</v>
          </cell>
          <cell r="H111" t="str">
            <v>Within 1 mile</v>
          </cell>
          <cell r="I111">
            <v>3337406842</v>
          </cell>
        </row>
        <row r="112">
          <cell r="G112">
            <v>3</v>
          </cell>
          <cell r="H112" t="str">
            <v>Within 1 mile</v>
          </cell>
          <cell r="I112">
            <v>3341136911</v>
          </cell>
        </row>
        <row r="113">
          <cell r="G113">
            <v>1</v>
          </cell>
          <cell r="H113" t="str">
            <v>Not Verified to be within 1 mile</v>
          </cell>
          <cell r="I113">
            <v>3342618111</v>
          </cell>
        </row>
        <row r="114">
          <cell r="G114">
            <v>3</v>
          </cell>
          <cell r="H114" t="str">
            <v>Not Verified to be within 1 mile</v>
          </cell>
          <cell r="I114">
            <v>3342618095</v>
          </cell>
        </row>
        <row r="115">
          <cell r="G115">
            <v>5</v>
          </cell>
          <cell r="H115" t="str">
            <v>Within 1 mile</v>
          </cell>
          <cell r="I115">
            <v>3337406867</v>
          </cell>
        </row>
        <row r="116">
          <cell r="G116">
            <v>2</v>
          </cell>
          <cell r="H116" t="str">
            <v>Within 1 mile</v>
          </cell>
          <cell r="I116">
            <v>3337406868</v>
          </cell>
        </row>
        <row r="117">
          <cell r="G117">
            <v>2</v>
          </cell>
          <cell r="H117" t="str">
            <v>Not Verified to be within 1 mile</v>
          </cell>
          <cell r="I117">
            <v>3342618197</v>
          </cell>
        </row>
        <row r="118">
          <cell r="G118">
            <v>2</v>
          </cell>
          <cell r="H118" t="str">
            <v>Within 165 feet</v>
          </cell>
          <cell r="I118">
            <v>3337406880</v>
          </cell>
        </row>
        <row r="119">
          <cell r="G119">
            <v>2</v>
          </cell>
          <cell r="H119" t="str">
            <v>Within 165 feet</v>
          </cell>
          <cell r="I119">
            <v>3349560088</v>
          </cell>
        </row>
        <row r="120">
          <cell r="G120">
            <v>2</v>
          </cell>
          <cell r="H120" t="str">
            <v>Within 1 mile</v>
          </cell>
          <cell r="I120">
            <v>3352750254</v>
          </cell>
        </row>
        <row r="121">
          <cell r="G121">
            <v>2</v>
          </cell>
          <cell r="H121" t="str">
            <v>Within 165 feet</v>
          </cell>
          <cell r="I121">
            <v>3337406994</v>
          </cell>
        </row>
        <row r="122">
          <cell r="G122">
            <v>2</v>
          </cell>
          <cell r="H122" t="str">
            <v>Within 165 feet</v>
          </cell>
          <cell r="I122">
            <v>3337406995</v>
          </cell>
        </row>
        <row r="123">
          <cell r="G123">
            <v>2</v>
          </cell>
          <cell r="H123" t="str">
            <v>Within 165 feet</v>
          </cell>
          <cell r="I123">
            <v>3337407000</v>
          </cell>
        </row>
        <row r="124">
          <cell r="G124">
            <v>1</v>
          </cell>
          <cell r="H124" t="str">
            <v>Within 165 feet</v>
          </cell>
          <cell r="I124">
            <v>3337407041</v>
          </cell>
        </row>
        <row r="125">
          <cell r="G125">
            <v>1</v>
          </cell>
          <cell r="H125" t="str">
            <v>Within 165 feet</v>
          </cell>
          <cell r="I125">
            <v>3349560137</v>
          </cell>
        </row>
        <row r="126">
          <cell r="G126">
            <v>1</v>
          </cell>
          <cell r="H126" t="str">
            <v>Within 1 mile</v>
          </cell>
          <cell r="I126">
            <v>3337428131</v>
          </cell>
        </row>
        <row r="127">
          <cell r="G127">
            <v>15</v>
          </cell>
          <cell r="H127" t="str">
            <v>Within 165 feet</v>
          </cell>
          <cell r="I127">
            <v>3337407067</v>
          </cell>
        </row>
        <row r="128">
          <cell r="G128">
            <v>3</v>
          </cell>
          <cell r="H128" t="str">
            <v>Not verified to be within 1 mile</v>
          </cell>
          <cell r="I128">
            <v>3349559961</v>
          </cell>
        </row>
        <row r="129">
          <cell r="G129">
            <v>2</v>
          </cell>
          <cell r="H129" t="str">
            <v>Within 1 mile</v>
          </cell>
          <cell r="I129">
            <v>3352749859</v>
          </cell>
        </row>
        <row r="130">
          <cell r="G130">
            <v>2</v>
          </cell>
          <cell r="H130" t="str">
            <v>Not verified to be within 1 mile</v>
          </cell>
          <cell r="I130">
            <v>3337407118</v>
          </cell>
        </row>
        <row r="131">
          <cell r="G131">
            <v>1</v>
          </cell>
          <cell r="H131" t="str">
            <v>Within 1 mile</v>
          </cell>
          <cell r="I131">
            <v>3337407116</v>
          </cell>
        </row>
        <row r="132">
          <cell r="G132">
            <v>2</v>
          </cell>
          <cell r="H132" t="str">
            <v>Within 1 mile</v>
          </cell>
          <cell r="I132">
            <v>3352750273</v>
          </cell>
        </row>
        <row r="133">
          <cell r="G133">
            <v>1</v>
          </cell>
          <cell r="H133" t="str">
            <v>Not verified to be within 1 mile</v>
          </cell>
          <cell r="I133">
            <v>3349560072</v>
          </cell>
        </row>
        <row r="134">
          <cell r="G134">
            <v>2</v>
          </cell>
          <cell r="H134" t="str">
            <v>Not verified to be within 1 mile</v>
          </cell>
          <cell r="I134">
            <v>3349559794</v>
          </cell>
        </row>
        <row r="135">
          <cell r="G135">
            <v>4</v>
          </cell>
          <cell r="H135" t="str">
            <v>Within 40 feet</v>
          </cell>
          <cell r="I135">
            <v>3337407138</v>
          </cell>
        </row>
        <row r="136">
          <cell r="G136">
            <v>0</v>
          </cell>
          <cell r="H136" t="str">
            <v>Within 1 mile</v>
          </cell>
          <cell r="I136">
            <v>3352750212</v>
          </cell>
        </row>
        <row r="137">
          <cell r="G137">
            <v>1</v>
          </cell>
          <cell r="H137" t="str">
            <v>Not Verified to be within 1 mile</v>
          </cell>
          <cell r="I137">
            <v>3342618103</v>
          </cell>
        </row>
        <row r="138">
          <cell r="G138">
            <v>6</v>
          </cell>
          <cell r="H138" t="str">
            <v>Within 1 mile</v>
          </cell>
          <cell r="I138">
            <v>3337407183</v>
          </cell>
        </row>
        <row r="139">
          <cell r="G139">
            <v>1</v>
          </cell>
          <cell r="H139" t="str">
            <v>Within 1 mile</v>
          </cell>
          <cell r="I139">
            <v>3337428299</v>
          </cell>
        </row>
        <row r="140">
          <cell r="G140">
            <v>1</v>
          </cell>
          <cell r="H140" t="str">
            <v>Within 165 feet</v>
          </cell>
          <cell r="I140">
            <v>3337407204</v>
          </cell>
        </row>
        <row r="141">
          <cell r="G141">
            <v>4</v>
          </cell>
          <cell r="H141" t="str">
            <v>Within 40 feet</v>
          </cell>
          <cell r="I141">
            <v>3337407237</v>
          </cell>
        </row>
        <row r="142">
          <cell r="G142">
            <v>2</v>
          </cell>
          <cell r="H142" t="str">
            <v>Within 1 mile</v>
          </cell>
          <cell r="I142">
            <v>3337407254</v>
          </cell>
        </row>
        <row r="143">
          <cell r="G143">
            <v>1</v>
          </cell>
          <cell r="H143" t="str">
            <v>Not Verified to be within 1 mile</v>
          </cell>
          <cell r="I143">
            <v>3342618135</v>
          </cell>
        </row>
        <row r="144">
          <cell r="G144">
            <v>17</v>
          </cell>
          <cell r="H144" t="str">
            <v>Within 165 feet</v>
          </cell>
          <cell r="I144">
            <v>3337407277</v>
          </cell>
        </row>
        <row r="145">
          <cell r="G145">
            <v>3</v>
          </cell>
          <cell r="H145" t="str">
            <v>Within 1 mile</v>
          </cell>
          <cell r="I145">
            <v>3337428017</v>
          </cell>
        </row>
        <row r="146">
          <cell r="G146">
            <v>6</v>
          </cell>
          <cell r="H146" t="str">
            <v>Within 165 feet</v>
          </cell>
          <cell r="I146">
            <v>3337407283</v>
          </cell>
        </row>
        <row r="147">
          <cell r="G147">
            <v>2</v>
          </cell>
          <cell r="H147" t="str">
            <v>Not verified to be within 1 mile</v>
          </cell>
          <cell r="I147">
            <v>3349560031</v>
          </cell>
        </row>
        <row r="148">
          <cell r="G148">
            <v>1</v>
          </cell>
          <cell r="H148" t="str">
            <v>Within 1 mile</v>
          </cell>
          <cell r="I148">
            <v>3342617843</v>
          </cell>
        </row>
        <row r="149">
          <cell r="G149">
            <v>8</v>
          </cell>
          <cell r="H149" t="str">
            <v>Within 165 feet</v>
          </cell>
          <cell r="I149">
            <v>3337407300</v>
          </cell>
        </row>
        <row r="150">
          <cell r="G150">
            <v>2</v>
          </cell>
          <cell r="H150" t="str">
            <v>Within 165 feet</v>
          </cell>
          <cell r="I150">
            <v>3337407303</v>
          </cell>
        </row>
        <row r="151">
          <cell r="G151">
            <v>1</v>
          </cell>
          <cell r="H151" t="str">
            <v>Within 165 feet</v>
          </cell>
          <cell r="I151">
            <v>3342618041</v>
          </cell>
        </row>
        <row r="152">
          <cell r="G152">
            <v>1</v>
          </cell>
          <cell r="H152" t="str">
            <v>Within 1 mile</v>
          </cell>
          <cell r="I152">
            <v>3353098092</v>
          </cell>
        </row>
        <row r="153">
          <cell r="G153">
            <v>5</v>
          </cell>
          <cell r="H153" t="str">
            <v>Within 40 feet</v>
          </cell>
          <cell r="I153">
            <v>3353097805</v>
          </cell>
        </row>
        <row r="154">
          <cell r="G154">
            <v>8</v>
          </cell>
          <cell r="H154" t="str">
            <v>Within 40 feet</v>
          </cell>
          <cell r="I154">
            <v>3337430122</v>
          </cell>
        </row>
        <row r="155">
          <cell r="G155">
            <v>2</v>
          </cell>
          <cell r="H155" t="str">
            <v>Within 1 mile</v>
          </cell>
          <cell r="I155">
            <v>3342618390</v>
          </cell>
        </row>
        <row r="156">
          <cell r="G156">
            <v>2</v>
          </cell>
          <cell r="H156" t="str">
            <v>Within 165 feet</v>
          </cell>
          <cell r="I156">
            <v>3342618358</v>
          </cell>
        </row>
        <row r="157">
          <cell r="G157">
            <v>2</v>
          </cell>
          <cell r="H157" t="str">
            <v>Within 165 feet</v>
          </cell>
          <cell r="I157">
            <v>3342618316</v>
          </cell>
        </row>
        <row r="158">
          <cell r="G158">
            <v>1</v>
          </cell>
          <cell r="H158" t="str">
            <v>Within 165 feet</v>
          </cell>
          <cell r="I158">
            <v>3337407432</v>
          </cell>
        </row>
        <row r="159">
          <cell r="G159">
            <v>2</v>
          </cell>
          <cell r="H159" t="str">
            <v>Within 165 feet</v>
          </cell>
          <cell r="I159">
            <v>3342617461</v>
          </cell>
        </row>
        <row r="160">
          <cell r="G160">
            <v>1</v>
          </cell>
          <cell r="H160" t="str">
            <v>Not Verified to be within 1 mile</v>
          </cell>
          <cell r="I160">
            <v>3342618150</v>
          </cell>
        </row>
        <row r="161">
          <cell r="G161">
            <v>3</v>
          </cell>
          <cell r="H161" t="str">
            <v>Not Verified to be within 1 mile</v>
          </cell>
          <cell r="I161">
            <v>3342617892</v>
          </cell>
        </row>
        <row r="162">
          <cell r="G162">
            <v>2</v>
          </cell>
          <cell r="H162" t="str">
            <v>Within 165 feet</v>
          </cell>
          <cell r="I162">
            <v>3337407446</v>
          </cell>
        </row>
        <row r="163">
          <cell r="G163">
            <v>1</v>
          </cell>
          <cell r="H163" t="str">
            <v>Within 1 mile</v>
          </cell>
          <cell r="I163">
            <v>3337407462</v>
          </cell>
        </row>
        <row r="164">
          <cell r="G164">
            <v>10</v>
          </cell>
          <cell r="H164" t="str">
            <v>Within 165 feet</v>
          </cell>
          <cell r="I164">
            <v>3337407478</v>
          </cell>
        </row>
        <row r="165">
          <cell r="G165">
            <v>15</v>
          </cell>
          <cell r="H165" t="str">
            <v>Within 40 feet</v>
          </cell>
          <cell r="I165">
            <v>3337407492</v>
          </cell>
        </row>
        <row r="166">
          <cell r="G166">
            <v>2</v>
          </cell>
          <cell r="H166" t="str">
            <v>Within 1 mile</v>
          </cell>
          <cell r="I166">
            <v>3337407495</v>
          </cell>
        </row>
        <row r="167">
          <cell r="G167">
            <v>4</v>
          </cell>
          <cell r="H167" t="str">
            <v>Within 40 feet</v>
          </cell>
          <cell r="I167">
            <v>3349559549</v>
          </cell>
        </row>
        <row r="168">
          <cell r="G168">
            <v>5</v>
          </cell>
          <cell r="H168" t="str">
            <v>Within 165 feet</v>
          </cell>
          <cell r="I168">
            <v>3337407512</v>
          </cell>
        </row>
        <row r="169">
          <cell r="G169">
            <v>2</v>
          </cell>
          <cell r="H169" t="str">
            <v>Not Verified to be within 1 mile</v>
          </cell>
          <cell r="I169">
            <v>3342618415</v>
          </cell>
        </row>
        <row r="170">
          <cell r="G170">
            <v>3</v>
          </cell>
          <cell r="H170" t="str">
            <v>Within 40 feet</v>
          </cell>
          <cell r="I170">
            <v>3337407551</v>
          </cell>
        </row>
        <row r="171">
          <cell r="G171">
            <v>2</v>
          </cell>
          <cell r="H171" t="str">
            <v>Within 40 feet</v>
          </cell>
          <cell r="I171">
            <v>3353097803</v>
          </cell>
        </row>
        <row r="172">
          <cell r="G172">
            <v>1</v>
          </cell>
          <cell r="H172" t="str">
            <v>Within 165 feet</v>
          </cell>
          <cell r="I172">
            <v>3342618045</v>
          </cell>
        </row>
        <row r="173">
          <cell r="G173">
            <v>3</v>
          </cell>
          <cell r="H173" t="str">
            <v>Within 1 mile</v>
          </cell>
          <cell r="I173">
            <v>3342618189</v>
          </cell>
        </row>
        <row r="174">
          <cell r="G174">
            <v>3</v>
          </cell>
          <cell r="H174" t="str">
            <v>Within 165 feet</v>
          </cell>
          <cell r="I174">
            <v>3349559930</v>
          </cell>
        </row>
        <row r="175">
          <cell r="G175">
            <v>6</v>
          </cell>
          <cell r="H175" t="str">
            <v>Within 1 mile</v>
          </cell>
          <cell r="I175">
            <v>3337407591</v>
          </cell>
        </row>
        <row r="176">
          <cell r="G176">
            <v>2</v>
          </cell>
          <cell r="H176" t="str">
            <v>Within 165 feet</v>
          </cell>
          <cell r="I176">
            <v>3337407592</v>
          </cell>
        </row>
        <row r="177">
          <cell r="G177">
            <v>2</v>
          </cell>
          <cell r="H177" t="str">
            <v>Not Verified to be within 1 mile</v>
          </cell>
          <cell r="I177">
            <v>3342618257</v>
          </cell>
        </row>
        <row r="178">
          <cell r="G178">
            <v>1</v>
          </cell>
          <cell r="H178" t="str">
            <v>Within 1 mile</v>
          </cell>
          <cell r="I178">
            <v>3353097518</v>
          </cell>
        </row>
        <row r="179">
          <cell r="G179">
            <v>2</v>
          </cell>
          <cell r="H179" t="str">
            <v>Within 165 feet</v>
          </cell>
          <cell r="I179">
            <v>3352750017</v>
          </cell>
        </row>
        <row r="180">
          <cell r="G180">
            <v>1</v>
          </cell>
          <cell r="H180" t="str">
            <v>Within 1 mile</v>
          </cell>
          <cell r="I180">
            <v>3337407624</v>
          </cell>
        </row>
        <row r="181">
          <cell r="G181">
            <v>2</v>
          </cell>
          <cell r="H181" t="str">
            <v>Within 165 feet</v>
          </cell>
          <cell r="I181">
            <v>3349559689</v>
          </cell>
        </row>
        <row r="182">
          <cell r="G182">
            <v>1</v>
          </cell>
          <cell r="H182" t="str">
            <v>Not Verified to be within 1 mile</v>
          </cell>
          <cell r="I182">
            <v>3337407636</v>
          </cell>
        </row>
        <row r="183">
          <cell r="G183">
            <v>2</v>
          </cell>
          <cell r="H183" t="str">
            <v>Within 40 feet</v>
          </cell>
          <cell r="I183">
            <v>3352750117</v>
          </cell>
        </row>
        <row r="184">
          <cell r="G184">
            <v>1</v>
          </cell>
          <cell r="H184" t="str">
            <v>Not verified to be within 1 mile</v>
          </cell>
          <cell r="I184">
            <v>3349559951</v>
          </cell>
        </row>
        <row r="185">
          <cell r="G185">
            <v>2</v>
          </cell>
          <cell r="H185" t="str">
            <v>Within 165 feet</v>
          </cell>
          <cell r="I185">
            <v>3337407673</v>
          </cell>
        </row>
        <row r="186">
          <cell r="G186">
            <v>2</v>
          </cell>
          <cell r="H186" t="str">
            <v>Within 165 feet</v>
          </cell>
          <cell r="I186">
            <v>3342618421</v>
          </cell>
        </row>
        <row r="187">
          <cell r="G187">
            <v>3</v>
          </cell>
          <cell r="H187" t="str">
            <v>Within 1 mile</v>
          </cell>
          <cell r="I187">
            <v>3337407696</v>
          </cell>
        </row>
        <row r="188">
          <cell r="G188">
            <v>1</v>
          </cell>
          <cell r="H188" t="str">
            <v>Within 1 mile</v>
          </cell>
          <cell r="I188">
            <v>3337407698</v>
          </cell>
        </row>
        <row r="189">
          <cell r="G189">
            <v>2</v>
          </cell>
          <cell r="H189" t="str">
            <v>Within 165 feet</v>
          </cell>
          <cell r="I189">
            <v>3349559674</v>
          </cell>
        </row>
        <row r="190">
          <cell r="G190">
            <v>1</v>
          </cell>
          <cell r="H190" t="str">
            <v>Within 40 feet</v>
          </cell>
          <cell r="I190">
            <v>3349559551</v>
          </cell>
        </row>
        <row r="191">
          <cell r="G191">
            <v>2</v>
          </cell>
          <cell r="H191" t="str">
            <v>Not verified to be within 1 mile</v>
          </cell>
          <cell r="I191">
            <v>3337407717</v>
          </cell>
        </row>
        <row r="192">
          <cell r="G192">
            <v>2</v>
          </cell>
          <cell r="H192" t="str">
            <v>Within 1 mile</v>
          </cell>
          <cell r="I192">
            <v>3352749858</v>
          </cell>
        </row>
        <row r="193">
          <cell r="G193">
            <v>1</v>
          </cell>
          <cell r="H193" t="str">
            <v>Within 1 mile</v>
          </cell>
          <cell r="I193">
            <v>3337428694</v>
          </cell>
        </row>
        <row r="194">
          <cell r="G194">
            <v>34</v>
          </cell>
          <cell r="H194" t="str">
            <v>Within 40 feet</v>
          </cell>
          <cell r="I194">
            <v>3337407745</v>
          </cell>
        </row>
        <row r="195">
          <cell r="G195">
            <v>8</v>
          </cell>
          <cell r="H195" t="str">
            <v>Within 40 feet</v>
          </cell>
          <cell r="I195">
            <v>3352750349</v>
          </cell>
        </row>
        <row r="196">
          <cell r="G196">
            <v>2</v>
          </cell>
          <cell r="H196" t="str">
            <v>Within 165 feet</v>
          </cell>
          <cell r="I196">
            <v>3337428160</v>
          </cell>
        </row>
        <row r="197">
          <cell r="G197">
            <v>1</v>
          </cell>
          <cell r="H197" t="str">
            <v>Not Verified to be within 1 mile</v>
          </cell>
          <cell r="I197">
            <v>3337407749</v>
          </cell>
        </row>
        <row r="198">
          <cell r="G198">
            <v>2</v>
          </cell>
          <cell r="H198" t="str">
            <v>Not Verified to be within 1 mile</v>
          </cell>
          <cell r="I198">
            <v>3337407750</v>
          </cell>
        </row>
        <row r="199">
          <cell r="G199">
            <v>1</v>
          </cell>
          <cell r="H199" t="str">
            <v>Not Verified to be within 1 mile</v>
          </cell>
          <cell r="I199">
            <v>3342618313</v>
          </cell>
        </row>
        <row r="200">
          <cell r="G200">
            <v>1</v>
          </cell>
          <cell r="H200" t="str">
            <v>Within 1 mile</v>
          </cell>
          <cell r="I200">
            <v>3337428335</v>
          </cell>
        </row>
        <row r="201">
          <cell r="G201">
            <v>1</v>
          </cell>
          <cell r="H201" t="str">
            <v>Within 1 mile</v>
          </cell>
          <cell r="I201">
            <v>3342618000</v>
          </cell>
        </row>
        <row r="202">
          <cell r="G202">
            <v>4</v>
          </cell>
          <cell r="H202" t="str">
            <v>Within 165 feet</v>
          </cell>
          <cell r="I202">
            <v>3337407783</v>
          </cell>
        </row>
        <row r="203">
          <cell r="G203">
            <v>3</v>
          </cell>
          <cell r="H203" t="str">
            <v>Within 165 feet</v>
          </cell>
          <cell r="I203">
            <v>3337407785</v>
          </cell>
        </row>
        <row r="204">
          <cell r="G204">
            <v>4</v>
          </cell>
          <cell r="H204" t="str">
            <v>Not Verified to be within 1 mile</v>
          </cell>
          <cell r="I204">
            <v>3342618139</v>
          </cell>
        </row>
        <row r="205">
          <cell r="G205">
            <v>2</v>
          </cell>
          <cell r="H205" t="str">
            <v>Within 1 mile</v>
          </cell>
          <cell r="I205">
            <v>3342618180</v>
          </cell>
        </row>
        <row r="206">
          <cell r="G206">
            <v>4</v>
          </cell>
          <cell r="H206" t="str">
            <v>Not verified to be within 1 mile</v>
          </cell>
          <cell r="I206">
            <v>3349559718</v>
          </cell>
        </row>
        <row r="207">
          <cell r="G207">
            <v>2</v>
          </cell>
          <cell r="H207" t="str">
            <v>Within 1 mile</v>
          </cell>
          <cell r="I207">
            <v>3352750215</v>
          </cell>
        </row>
        <row r="208">
          <cell r="G208">
            <v>1</v>
          </cell>
          <cell r="H208" t="str">
            <v>Within 165 feet</v>
          </cell>
          <cell r="I208">
            <v>3342618263</v>
          </cell>
        </row>
        <row r="209">
          <cell r="G209">
            <v>23</v>
          </cell>
          <cell r="H209" t="str">
            <v>Within 40 feet</v>
          </cell>
          <cell r="I209">
            <v>3337407825</v>
          </cell>
        </row>
        <row r="210">
          <cell r="G210">
            <v>1</v>
          </cell>
          <cell r="H210" t="str">
            <v>Not verified to be within 1 mile</v>
          </cell>
          <cell r="I210">
            <v>3349559962</v>
          </cell>
        </row>
        <row r="211">
          <cell r="G211">
            <v>1</v>
          </cell>
          <cell r="H211" t="str">
            <v>Within 1 mile</v>
          </cell>
          <cell r="I211">
            <v>3337407830</v>
          </cell>
        </row>
        <row r="212">
          <cell r="G212">
            <v>5</v>
          </cell>
          <cell r="H212" t="str">
            <v>Within 40 feet</v>
          </cell>
          <cell r="I212">
            <v>3337407839</v>
          </cell>
        </row>
        <row r="213">
          <cell r="G213">
            <v>1</v>
          </cell>
          <cell r="H213" t="str">
            <v>Not verified to be within 1 mile</v>
          </cell>
          <cell r="I213">
            <v>3349560338</v>
          </cell>
        </row>
        <row r="214">
          <cell r="G214">
            <v>2</v>
          </cell>
          <cell r="H214" t="str">
            <v>Within 165 feet</v>
          </cell>
          <cell r="I214">
            <v>3337407856</v>
          </cell>
        </row>
        <row r="215">
          <cell r="G215">
            <v>3</v>
          </cell>
          <cell r="H215" t="str">
            <v>Within 1 mile</v>
          </cell>
          <cell r="I215">
            <v>3337407871</v>
          </cell>
        </row>
        <row r="216">
          <cell r="G216">
            <v>4</v>
          </cell>
          <cell r="H216" t="str">
            <v>Within 1 mile</v>
          </cell>
          <cell r="I216">
            <v>3337427710</v>
          </cell>
        </row>
        <row r="217">
          <cell r="G217">
            <v>3</v>
          </cell>
          <cell r="H217" t="str">
            <v>Within 165 feet</v>
          </cell>
          <cell r="I217">
            <v>3337407876</v>
          </cell>
        </row>
        <row r="218">
          <cell r="G218">
            <v>2</v>
          </cell>
          <cell r="H218" t="str">
            <v>Within 40 feet</v>
          </cell>
          <cell r="I218">
            <v>3337407878</v>
          </cell>
        </row>
        <row r="219">
          <cell r="G219">
            <v>2</v>
          </cell>
          <cell r="H219" t="str">
            <v>Within 165 feet</v>
          </cell>
          <cell r="I219">
            <v>3349560168</v>
          </cell>
        </row>
        <row r="220">
          <cell r="G220">
            <v>4</v>
          </cell>
          <cell r="H220" t="str">
            <v>Within 165 feet</v>
          </cell>
          <cell r="I220">
            <v>3352750222</v>
          </cell>
        </row>
        <row r="221">
          <cell r="G221">
            <v>3</v>
          </cell>
          <cell r="H221" t="str">
            <v>Within 40 feet</v>
          </cell>
          <cell r="I221">
            <v>3337407899</v>
          </cell>
        </row>
        <row r="222">
          <cell r="G222">
            <v>2</v>
          </cell>
          <cell r="H222" t="str">
            <v>Within 165 feet</v>
          </cell>
          <cell r="I222">
            <v>3338290448</v>
          </cell>
        </row>
        <row r="223">
          <cell r="G223">
            <v>0</v>
          </cell>
          <cell r="H223" t="str">
            <v>Within 40 feet</v>
          </cell>
          <cell r="I223">
            <v>3337407919</v>
          </cell>
        </row>
        <row r="224">
          <cell r="G224">
            <v>2</v>
          </cell>
          <cell r="H224" t="str">
            <v>Within 165 feet</v>
          </cell>
          <cell r="I224">
            <v>3342617952</v>
          </cell>
        </row>
        <row r="225">
          <cell r="G225">
            <v>3</v>
          </cell>
          <cell r="H225" t="str">
            <v>Within 1 mile</v>
          </cell>
          <cell r="I225">
            <v>3337407968</v>
          </cell>
        </row>
        <row r="226">
          <cell r="G226">
            <v>2</v>
          </cell>
          <cell r="H226" t="str">
            <v>Within 165 feet</v>
          </cell>
          <cell r="I226">
            <v>3337407977</v>
          </cell>
        </row>
        <row r="227">
          <cell r="G227">
            <v>1</v>
          </cell>
          <cell r="H227" t="str">
            <v>Not verified to be within 1 mile</v>
          </cell>
          <cell r="I227">
            <v>3349560205</v>
          </cell>
        </row>
        <row r="228">
          <cell r="G228">
            <v>3</v>
          </cell>
          <cell r="H228" t="str">
            <v>Within 165 feet</v>
          </cell>
          <cell r="I228">
            <v>3337407984</v>
          </cell>
        </row>
        <row r="229">
          <cell r="G229">
            <v>11</v>
          </cell>
          <cell r="H229" t="str">
            <v>Within 40 feet</v>
          </cell>
          <cell r="I229">
            <v>3337408001</v>
          </cell>
        </row>
        <row r="230">
          <cell r="G230">
            <v>1</v>
          </cell>
          <cell r="H230" t="str">
            <v>Within 1 mile</v>
          </cell>
          <cell r="I230">
            <v>3337408003</v>
          </cell>
        </row>
        <row r="231">
          <cell r="G231">
            <v>2</v>
          </cell>
          <cell r="H231" t="str">
            <v>Within 40 feet</v>
          </cell>
          <cell r="I231">
            <v>3353097874</v>
          </cell>
        </row>
        <row r="232">
          <cell r="G232">
            <v>6</v>
          </cell>
          <cell r="H232" t="str">
            <v>Within 165 feet</v>
          </cell>
          <cell r="I232">
            <v>3349559970</v>
          </cell>
        </row>
        <row r="233">
          <cell r="G233">
            <v>1</v>
          </cell>
          <cell r="H233" t="str">
            <v>Not verified to be within 1 mile</v>
          </cell>
          <cell r="I233">
            <v>3349559998</v>
          </cell>
        </row>
        <row r="234">
          <cell r="G234">
            <v>2</v>
          </cell>
          <cell r="H234" t="str">
            <v>Within 1 mile</v>
          </cell>
          <cell r="I234">
            <v>3337408026</v>
          </cell>
        </row>
        <row r="235">
          <cell r="G235">
            <v>4</v>
          </cell>
          <cell r="H235" t="str">
            <v>Within 40 feet</v>
          </cell>
          <cell r="I235">
            <v>3337408044</v>
          </cell>
        </row>
        <row r="236">
          <cell r="G236">
            <v>2</v>
          </cell>
          <cell r="H236" t="str">
            <v>Within 165 feet</v>
          </cell>
          <cell r="I236">
            <v>3338155032</v>
          </cell>
        </row>
        <row r="237">
          <cell r="G237">
            <v>2</v>
          </cell>
          <cell r="H237" t="str">
            <v>Within 1 mile</v>
          </cell>
          <cell r="I237">
            <v>3342617832</v>
          </cell>
        </row>
        <row r="238">
          <cell r="G238">
            <v>2</v>
          </cell>
          <cell r="H238" t="str">
            <v>Within 1 mile</v>
          </cell>
          <cell r="I238">
            <v>3352749888</v>
          </cell>
        </row>
        <row r="239">
          <cell r="G239">
            <v>1</v>
          </cell>
          <cell r="H239" t="str">
            <v>Within 1 mile</v>
          </cell>
          <cell r="I239">
            <v>3337428031</v>
          </cell>
        </row>
        <row r="240">
          <cell r="G240">
            <v>12</v>
          </cell>
          <cell r="H240" t="str">
            <v>Within 40 feet</v>
          </cell>
          <cell r="I240">
            <v>3337408135</v>
          </cell>
        </row>
        <row r="241">
          <cell r="G241">
            <v>3</v>
          </cell>
          <cell r="H241" t="str">
            <v>Within 1 mile</v>
          </cell>
          <cell r="I241">
            <v>3337427407</v>
          </cell>
        </row>
        <row r="242">
          <cell r="G242">
            <v>1</v>
          </cell>
          <cell r="H242" t="str">
            <v>Within 165 feet</v>
          </cell>
          <cell r="I242">
            <v>3337408146</v>
          </cell>
        </row>
        <row r="243">
          <cell r="G243">
            <v>1</v>
          </cell>
          <cell r="H243" t="str">
            <v>Within 40 feet</v>
          </cell>
          <cell r="I243">
            <v>3349559641</v>
          </cell>
        </row>
        <row r="244">
          <cell r="G244">
            <v>1</v>
          </cell>
          <cell r="H244" t="str">
            <v>Within 40 feet</v>
          </cell>
          <cell r="I244">
            <v>3337408167</v>
          </cell>
        </row>
        <row r="245">
          <cell r="G245">
            <v>1</v>
          </cell>
          <cell r="H245" t="str">
            <v>Not verified to be within 1 mile</v>
          </cell>
          <cell r="I245">
            <v>3349559856</v>
          </cell>
        </row>
        <row r="246">
          <cell r="G246">
            <v>2</v>
          </cell>
          <cell r="H246" t="str">
            <v>Within 1 mile</v>
          </cell>
          <cell r="I246">
            <v>3342617895</v>
          </cell>
        </row>
        <row r="247">
          <cell r="G247">
            <v>3</v>
          </cell>
          <cell r="H247" t="str">
            <v>Within 1 mile</v>
          </cell>
          <cell r="I247">
            <v>3337428310</v>
          </cell>
        </row>
        <row r="248">
          <cell r="G248">
            <v>1</v>
          </cell>
          <cell r="H248" t="str">
            <v>Not Verified to be within 1 mile</v>
          </cell>
          <cell r="I248">
            <v>3342618279</v>
          </cell>
        </row>
        <row r="249">
          <cell r="G249">
            <v>3</v>
          </cell>
          <cell r="H249" t="str">
            <v>Not Verified to be within 1 mile</v>
          </cell>
          <cell r="I249">
            <v>3342618204</v>
          </cell>
        </row>
        <row r="250">
          <cell r="G250">
            <v>4</v>
          </cell>
          <cell r="H250" t="str">
            <v>Within 165 feet</v>
          </cell>
          <cell r="I250">
            <v>3337408230</v>
          </cell>
        </row>
        <row r="251">
          <cell r="G251">
            <v>2</v>
          </cell>
          <cell r="H251" t="str">
            <v>Within 1 mile</v>
          </cell>
          <cell r="I251">
            <v>3337428233</v>
          </cell>
        </row>
        <row r="252">
          <cell r="G252">
            <v>1</v>
          </cell>
          <cell r="H252" t="str">
            <v>Within 1 mile</v>
          </cell>
          <cell r="I252">
            <v>3337408235</v>
          </cell>
        </row>
        <row r="253">
          <cell r="G253">
            <v>2</v>
          </cell>
          <cell r="H253" t="str">
            <v>Within 1 mile</v>
          </cell>
          <cell r="I253">
            <v>3342617817</v>
          </cell>
        </row>
        <row r="254">
          <cell r="G254">
            <v>2</v>
          </cell>
          <cell r="H254" t="str">
            <v>Not Verified to be within 1 mile</v>
          </cell>
          <cell r="I254">
            <v>3342618337</v>
          </cell>
        </row>
        <row r="255">
          <cell r="G255">
            <v>1</v>
          </cell>
          <cell r="H255" t="str">
            <v>Within 1 mile</v>
          </cell>
          <cell r="I255">
            <v>3353097795</v>
          </cell>
        </row>
        <row r="256">
          <cell r="G256">
            <v>1</v>
          </cell>
          <cell r="H256" t="str">
            <v>Within 1 mile</v>
          </cell>
          <cell r="I256">
            <v>3337408270</v>
          </cell>
        </row>
        <row r="257">
          <cell r="G257">
            <v>1</v>
          </cell>
          <cell r="H257" t="str">
            <v>Within 1 mile</v>
          </cell>
          <cell r="I257">
            <v>3337408281</v>
          </cell>
        </row>
        <row r="258">
          <cell r="G258">
            <v>1</v>
          </cell>
          <cell r="H258" t="str">
            <v>Not verified to be within 1 mile</v>
          </cell>
          <cell r="I258">
            <v>3349560015</v>
          </cell>
        </row>
        <row r="259">
          <cell r="G259">
            <v>8</v>
          </cell>
          <cell r="H259" t="str">
            <v>Not Verified to be within 1 mile</v>
          </cell>
          <cell r="I259">
            <v>3337408287</v>
          </cell>
        </row>
        <row r="260">
          <cell r="G260">
            <v>2</v>
          </cell>
          <cell r="H260" t="str">
            <v>Not Verified to be within 1 mile</v>
          </cell>
          <cell r="I260">
            <v>3337408295</v>
          </cell>
        </row>
        <row r="261">
          <cell r="G261">
            <v>4</v>
          </cell>
          <cell r="H261" t="str">
            <v>Within 1 mile</v>
          </cell>
          <cell r="I261">
            <v>3337408315</v>
          </cell>
        </row>
        <row r="262">
          <cell r="G262">
            <v>2</v>
          </cell>
          <cell r="H262" t="str">
            <v>Within 1 mile</v>
          </cell>
          <cell r="I262">
            <v>3337408321</v>
          </cell>
        </row>
        <row r="263">
          <cell r="G263">
            <v>2</v>
          </cell>
          <cell r="H263" t="str">
            <v>Within 165 feet</v>
          </cell>
          <cell r="I263">
            <v>3349559761</v>
          </cell>
        </row>
        <row r="264">
          <cell r="G264">
            <v>1</v>
          </cell>
          <cell r="H264" t="str">
            <v>Not verified to be within 1 mile</v>
          </cell>
          <cell r="I264">
            <v>3349559960</v>
          </cell>
        </row>
        <row r="265">
          <cell r="G265">
            <v>2</v>
          </cell>
          <cell r="H265" t="str">
            <v>Not Verified to be within 1 mile</v>
          </cell>
          <cell r="I265">
            <v>3342618283</v>
          </cell>
        </row>
        <row r="266">
          <cell r="G266">
            <v>5</v>
          </cell>
          <cell r="H266" t="str">
            <v>Within 40 feet</v>
          </cell>
          <cell r="I266">
            <v>3349559511</v>
          </cell>
        </row>
        <row r="267">
          <cell r="G267">
            <v>1</v>
          </cell>
          <cell r="H267" t="str">
            <v>Within 1 mile</v>
          </cell>
          <cell r="I267">
            <v>3352749990</v>
          </cell>
        </row>
        <row r="268">
          <cell r="G268">
            <v>3</v>
          </cell>
          <cell r="H268" t="str">
            <v>Not verified to be within 1 mile</v>
          </cell>
          <cell r="I268">
            <v>3337408409</v>
          </cell>
        </row>
        <row r="269">
          <cell r="G269">
            <v>3</v>
          </cell>
          <cell r="H269" t="str">
            <v>Within 1 mile</v>
          </cell>
          <cell r="I269">
            <v>3337408420</v>
          </cell>
        </row>
        <row r="270">
          <cell r="G270">
            <v>4</v>
          </cell>
          <cell r="H270" t="str">
            <v>Within 40 feet</v>
          </cell>
          <cell r="I270">
            <v>3337408422</v>
          </cell>
        </row>
        <row r="271">
          <cell r="G271">
            <v>3</v>
          </cell>
          <cell r="H271" t="str">
            <v>Within 1 mile</v>
          </cell>
          <cell r="I271">
            <v>3337408462</v>
          </cell>
        </row>
        <row r="272">
          <cell r="G272">
            <v>2</v>
          </cell>
          <cell r="H272" t="str">
            <v>Within 1 mile</v>
          </cell>
          <cell r="I272">
            <v>3342618365</v>
          </cell>
        </row>
        <row r="273">
          <cell r="G273">
            <v>11</v>
          </cell>
          <cell r="H273" t="str">
            <v>Within 165 feet</v>
          </cell>
          <cell r="I273">
            <v>3337408470</v>
          </cell>
        </row>
        <row r="274">
          <cell r="G274">
            <v>2</v>
          </cell>
          <cell r="H274" t="str">
            <v>Not Verified to be within 1 mile</v>
          </cell>
          <cell r="I274">
            <v>3342618146</v>
          </cell>
        </row>
        <row r="275">
          <cell r="G275">
            <v>2</v>
          </cell>
          <cell r="H275" t="str">
            <v>Within 1 mile</v>
          </cell>
          <cell r="I275">
            <v>3342618380</v>
          </cell>
        </row>
        <row r="276">
          <cell r="G276">
            <v>4</v>
          </cell>
          <cell r="H276" t="str">
            <v>Within 165 feet</v>
          </cell>
          <cell r="I276">
            <v>3349559763</v>
          </cell>
        </row>
        <row r="277">
          <cell r="G277">
            <v>10</v>
          </cell>
          <cell r="H277" t="str">
            <v>Within 165 feet</v>
          </cell>
          <cell r="I277">
            <v>3337408558</v>
          </cell>
        </row>
        <row r="278">
          <cell r="G278">
            <v>1</v>
          </cell>
          <cell r="H278" t="str">
            <v>Within 1 mile</v>
          </cell>
          <cell r="I278">
            <v>3337428281</v>
          </cell>
        </row>
        <row r="279">
          <cell r="G279">
            <v>2</v>
          </cell>
          <cell r="H279" t="str">
            <v>Within 1 mile</v>
          </cell>
          <cell r="I279">
            <v>3337408594</v>
          </cell>
        </row>
        <row r="280">
          <cell r="G280">
            <v>4</v>
          </cell>
          <cell r="H280" t="str">
            <v>Within 40 feet</v>
          </cell>
          <cell r="I280">
            <v>3337408593</v>
          </cell>
        </row>
        <row r="281">
          <cell r="G281">
            <v>4</v>
          </cell>
          <cell r="H281" t="str">
            <v>Within 40 feet</v>
          </cell>
          <cell r="I281">
            <v>3337408606</v>
          </cell>
        </row>
        <row r="282">
          <cell r="G282">
            <v>2</v>
          </cell>
          <cell r="H282" t="str">
            <v>Not verified to be within 1 mile</v>
          </cell>
          <cell r="I282">
            <v>3349560085</v>
          </cell>
        </row>
        <row r="283">
          <cell r="G283">
            <v>1</v>
          </cell>
          <cell r="H283" t="str">
            <v>Within 1 mile</v>
          </cell>
          <cell r="I283">
            <v>3337428291</v>
          </cell>
        </row>
        <row r="284">
          <cell r="G284">
            <v>1</v>
          </cell>
          <cell r="H284" t="str">
            <v>Not Verified to be within 1 mile</v>
          </cell>
          <cell r="I284">
            <v>3342618164</v>
          </cell>
        </row>
        <row r="285">
          <cell r="G285">
            <v>3</v>
          </cell>
          <cell r="H285" t="str">
            <v>Within 165 feet</v>
          </cell>
          <cell r="I285">
            <v>3342618217</v>
          </cell>
        </row>
        <row r="286">
          <cell r="G286">
            <v>1</v>
          </cell>
          <cell r="H286" t="str">
            <v>Not verified to be within 1 mile</v>
          </cell>
          <cell r="I286">
            <v>3349559717</v>
          </cell>
        </row>
        <row r="287">
          <cell r="G287">
            <v>2</v>
          </cell>
          <cell r="H287" t="str">
            <v>Within 40 feet</v>
          </cell>
          <cell r="I287">
            <v>3353097902</v>
          </cell>
        </row>
        <row r="288">
          <cell r="G288">
            <v>2</v>
          </cell>
          <cell r="H288" t="str">
            <v>Within 40 feet</v>
          </cell>
          <cell r="I288">
            <v>3349559561</v>
          </cell>
        </row>
        <row r="289">
          <cell r="G289">
            <v>2</v>
          </cell>
          <cell r="H289" t="str">
            <v>Within 165 feet</v>
          </cell>
          <cell r="I289">
            <v>3349559712</v>
          </cell>
        </row>
        <row r="290">
          <cell r="G290">
            <v>7</v>
          </cell>
          <cell r="H290" t="str">
            <v>Within 165 feet</v>
          </cell>
          <cell r="I290">
            <v>3337408698</v>
          </cell>
        </row>
        <row r="291">
          <cell r="G291">
            <v>1</v>
          </cell>
          <cell r="H291" t="str">
            <v>Not verified to be within 1 mile</v>
          </cell>
          <cell r="I291">
            <v>3349559934</v>
          </cell>
        </row>
        <row r="292">
          <cell r="G292">
            <v>1</v>
          </cell>
          <cell r="H292" t="str">
            <v>Within 1 mile</v>
          </cell>
          <cell r="I292">
            <v>3337408707</v>
          </cell>
        </row>
        <row r="293">
          <cell r="G293">
            <v>1</v>
          </cell>
          <cell r="H293" t="str">
            <v>Not verified to be within 1 mile</v>
          </cell>
          <cell r="I293">
            <v>3349560238</v>
          </cell>
        </row>
        <row r="294">
          <cell r="G294">
            <v>4</v>
          </cell>
          <cell r="H294" t="str">
            <v>Within 165 feet</v>
          </cell>
          <cell r="I294">
            <v>3342618104</v>
          </cell>
        </row>
        <row r="295">
          <cell r="G295">
            <v>4</v>
          </cell>
          <cell r="H295" t="str">
            <v>Within 1 mile</v>
          </cell>
          <cell r="I295">
            <v>3337408757</v>
          </cell>
        </row>
        <row r="296">
          <cell r="G296">
            <v>3</v>
          </cell>
          <cell r="H296" t="str">
            <v>Within 1 mile</v>
          </cell>
          <cell r="I296">
            <v>3337428082</v>
          </cell>
        </row>
        <row r="297">
          <cell r="G297">
            <v>1</v>
          </cell>
          <cell r="H297" t="str">
            <v>Within 1 mile</v>
          </cell>
          <cell r="I297">
            <v>3337408809</v>
          </cell>
        </row>
        <row r="298">
          <cell r="G298">
            <v>1</v>
          </cell>
          <cell r="H298" t="str">
            <v>Not Verified to be within 1 mile</v>
          </cell>
          <cell r="I298">
            <v>3342618220</v>
          </cell>
        </row>
        <row r="299">
          <cell r="G299">
            <v>2</v>
          </cell>
          <cell r="H299" t="str">
            <v>Not Verified to be within 1 mile</v>
          </cell>
          <cell r="I299">
            <v>3337408817</v>
          </cell>
        </row>
        <row r="300">
          <cell r="G300">
            <v>6</v>
          </cell>
          <cell r="H300" t="str">
            <v>Within 40 feet</v>
          </cell>
          <cell r="I300">
            <v>3337408830</v>
          </cell>
        </row>
        <row r="301">
          <cell r="G301">
            <v>1</v>
          </cell>
          <cell r="H301" t="str">
            <v>Within 1 mile</v>
          </cell>
          <cell r="I301">
            <v>3342618377</v>
          </cell>
        </row>
        <row r="302">
          <cell r="G302">
            <v>2</v>
          </cell>
          <cell r="H302" t="str">
            <v>Within 1 mile</v>
          </cell>
          <cell r="I302">
            <v>3353098144</v>
          </cell>
        </row>
        <row r="303">
          <cell r="G303">
            <v>1</v>
          </cell>
          <cell r="H303" t="str">
            <v>Within 1 mile</v>
          </cell>
          <cell r="I303">
            <v>3337408846</v>
          </cell>
        </row>
        <row r="304">
          <cell r="G304">
            <v>2</v>
          </cell>
          <cell r="H304" t="str">
            <v>Within 165 feet</v>
          </cell>
          <cell r="I304">
            <v>3337408852</v>
          </cell>
        </row>
        <row r="305">
          <cell r="G305">
            <v>1</v>
          </cell>
          <cell r="H305" t="str">
            <v>Within 1 mile</v>
          </cell>
          <cell r="I305">
            <v>3352749880</v>
          </cell>
        </row>
        <row r="306">
          <cell r="G306">
            <v>11</v>
          </cell>
          <cell r="H306" t="str">
            <v>Within 165 feet</v>
          </cell>
          <cell r="I306">
            <v>3337408861</v>
          </cell>
        </row>
        <row r="307">
          <cell r="G307">
            <v>5</v>
          </cell>
          <cell r="H307" t="str">
            <v>Within 165 feet</v>
          </cell>
          <cell r="I307">
            <v>3342617938</v>
          </cell>
        </row>
        <row r="308">
          <cell r="G308">
            <v>1</v>
          </cell>
          <cell r="H308" t="str">
            <v>Within 165 feet</v>
          </cell>
          <cell r="I308">
            <v>3342617899</v>
          </cell>
        </row>
        <row r="309">
          <cell r="G309">
            <v>2</v>
          </cell>
          <cell r="H309" t="str">
            <v>Within 40 feet</v>
          </cell>
          <cell r="I309">
            <v>3337408868</v>
          </cell>
        </row>
        <row r="310">
          <cell r="G310">
            <v>3</v>
          </cell>
          <cell r="H310" t="str">
            <v>Within 1 mile</v>
          </cell>
          <cell r="I310">
            <v>3353097787</v>
          </cell>
        </row>
        <row r="311">
          <cell r="G311">
            <v>2</v>
          </cell>
          <cell r="H311" t="str">
            <v>Within 40 feet</v>
          </cell>
          <cell r="I311">
            <v>3349559512</v>
          </cell>
        </row>
        <row r="312">
          <cell r="G312">
            <v>3</v>
          </cell>
          <cell r="H312" t="str">
            <v>Within 165 feet</v>
          </cell>
          <cell r="I312">
            <v>3337408897</v>
          </cell>
        </row>
        <row r="313">
          <cell r="G313">
            <v>6</v>
          </cell>
          <cell r="H313" t="str">
            <v>Within 1 mile</v>
          </cell>
          <cell r="I313">
            <v>3337408908</v>
          </cell>
        </row>
        <row r="314">
          <cell r="G314">
            <v>2</v>
          </cell>
          <cell r="H314" t="str">
            <v>Within 1 mile</v>
          </cell>
          <cell r="I314">
            <v>3337428278</v>
          </cell>
        </row>
        <row r="315">
          <cell r="G315">
            <v>3</v>
          </cell>
          <cell r="H315" t="str">
            <v>Within 165 feet</v>
          </cell>
          <cell r="I315">
            <v>3337408917</v>
          </cell>
        </row>
        <row r="316">
          <cell r="G316">
            <v>3</v>
          </cell>
          <cell r="H316" t="str">
            <v>Within 165 feet</v>
          </cell>
          <cell r="I316">
            <v>3349559758</v>
          </cell>
        </row>
        <row r="317">
          <cell r="G317">
            <v>3</v>
          </cell>
          <cell r="H317" t="str">
            <v>Not verified to be within 1 mile</v>
          </cell>
          <cell r="I317">
            <v>3365669814</v>
          </cell>
        </row>
        <row r="318">
          <cell r="G318">
            <v>5</v>
          </cell>
          <cell r="H318" t="str">
            <v>Within 165 feet</v>
          </cell>
          <cell r="I318">
            <v>3337408977</v>
          </cell>
        </row>
        <row r="319">
          <cell r="G319">
            <v>2</v>
          </cell>
          <cell r="H319" t="str">
            <v>Within 1 mile</v>
          </cell>
          <cell r="I319">
            <v>3342617894</v>
          </cell>
        </row>
        <row r="320">
          <cell r="G320">
            <v>1</v>
          </cell>
          <cell r="H320" t="str">
            <v>Not verified to be within 1 mile</v>
          </cell>
          <cell r="I320">
            <v>3349560119</v>
          </cell>
        </row>
        <row r="321">
          <cell r="G321">
            <v>2</v>
          </cell>
          <cell r="H321" t="str">
            <v>Within 1 mile</v>
          </cell>
          <cell r="I321">
            <v>3337427747</v>
          </cell>
        </row>
        <row r="322">
          <cell r="G322">
            <v>2</v>
          </cell>
          <cell r="H322" t="str">
            <v>Within 1 mile</v>
          </cell>
          <cell r="I322">
            <v>3353097799</v>
          </cell>
        </row>
        <row r="323">
          <cell r="G323">
            <v>4</v>
          </cell>
          <cell r="H323" t="str">
            <v>Within 165 feet</v>
          </cell>
          <cell r="I323">
            <v>3337409045</v>
          </cell>
        </row>
        <row r="324">
          <cell r="G324">
            <v>8</v>
          </cell>
          <cell r="H324" t="str">
            <v>Within 1 mile</v>
          </cell>
          <cell r="I324">
            <v>3337409051</v>
          </cell>
        </row>
        <row r="325">
          <cell r="G325">
            <v>1</v>
          </cell>
          <cell r="H325" t="str">
            <v>Not verified to be within 1 mile</v>
          </cell>
          <cell r="I325">
            <v>3349560236</v>
          </cell>
        </row>
        <row r="326">
          <cell r="G326">
            <v>1</v>
          </cell>
          <cell r="H326" t="str">
            <v>Not verified to be within 1 mile</v>
          </cell>
          <cell r="I326">
            <v>3349559830</v>
          </cell>
        </row>
        <row r="327">
          <cell r="G327">
            <v>1</v>
          </cell>
          <cell r="H327" t="str">
            <v>Within 165 feet</v>
          </cell>
          <cell r="I327">
            <v>3337409095</v>
          </cell>
        </row>
        <row r="328">
          <cell r="G328">
            <v>2</v>
          </cell>
          <cell r="H328" t="str">
            <v>Not verified to be within 1 mile</v>
          </cell>
          <cell r="I328">
            <v>3342617948</v>
          </cell>
        </row>
        <row r="329">
          <cell r="G329">
            <v>4</v>
          </cell>
          <cell r="H329" t="str">
            <v>Not Verified to be within 1 mile</v>
          </cell>
          <cell r="I329">
            <v>3337409131</v>
          </cell>
        </row>
        <row r="330">
          <cell r="G330">
            <v>15</v>
          </cell>
          <cell r="H330" t="str">
            <v>Within 40 feet</v>
          </cell>
          <cell r="I330">
            <v>3337409201</v>
          </cell>
        </row>
        <row r="331">
          <cell r="G331">
            <v>1</v>
          </cell>
          <cell r="H331" t="str">
            <v>Not Verified to be within 1 mile</v>
          </cell>
          <cell r="I331">
            <v>3342618096</v>
          </cell>
        </row>
        <row r="332">
          <cell r="G332">
            <v>1</v>
          </cell>
          <cell r="H332" t="str">
            <v>Within 165 feet</v>
          </cell>
          <cell r="I332">
            <v>3337409218</v>
          </cell>
        </row>
        <row r="333">
          <cell r="G333">
            <v>6</v>
          </cell>
          <cell r="H333" t="str">
            <v>Within 165 feet</v>
          </cell>
          <cell r="I333">
            <v>3337409220</v>
          </cell>
        </row>
        <row r="334">
          <cell r="G334">
            <v>2</v>
          </cell>
          <cell r="H334" t="str">
            <v>Within 1 mile</v>
          </cell>
          <cell r="I334">
            <v>3342617951</v>
          </cell>
        </row>
        <row r="335">
          <cell r="G335">
            <v>1</v>
          </cell>
          <cell r="H335" t="str">
            <v>Not Verified to be within 1 mile</v>
          </cell>
          <cell r="I335">
            <v>3342618097</v>
          </cell>
        </row>
        <row r="336">
          <cell r="G336">
            <v>3</v>
          </cell>
          <cell r="H336" t="str">
            <v>Within 1 mile</v>
          </cell>
          <cell r="I336">
            <v>3337409263</v>
          </cell>
        </row>
        <row r="337">
          <cell r="G337">
            <v>1</v>
          </cell>
          <cell r="H337" t="str">
            <v>Not verified to be within 1 mile</v>
          </cell>
          <cell r="I337">
            <v>3349560084</v>
          </cell>
        </row>
        <row r="338">
          <cell r="G338">
            <v>12</v>
          </cell>
          <cell r="H338" t="str">
            <v>Within 165 feet</v>
          </cell>
          <cell r="I338">
            <v>3337409315</v>
          </cell>
        </row>
        <row r="339">
          <cell r="G339">
            <v>3</v>
          </cell>
          <cell r="H339" t="str">
            <v>Within 1 mile</v>
          </cell>
          <cell r="I339">
            <v>3337428172</v>
          </cell>
        </row>
        <row r="340">
          <cell r="G340">
            <v>1</v>
          </cell>
          <cell r="H340" t="str">
            <v>Within 1 mile</v>
          </cell>
          <cell r="I340">
            <v>3337428000</v>
          </cell>
        </row>
        <row r="341">
          <cell r="G341">
            <v>2</v>
          </cell>
          <cell r="H341" t="str">
            <v>Within 1 mile</v>
          </cell>
          <cell r="I341">
            <v>3337428232</v>
          </cell>
        </row>
        <row r="342">
          <cell r="G342">
            <v>1</v>
          </cell>
          <cell r="H342" t="str">
            <v>Not Verified to be within 1 mile</v>
          </cell>
          <cell r="I342">
            <v>3342618235</v>
          </cell>
        </row>
        <row r="343">
          <cell r="G343">
            <v>2</v>
          </cell>
          <cell r="H343" t="str">
            <v>Within 1 mile</v>
          </cell>
          <cell r="I343">
            <v>3352750159</v>
          </cell>
        </row>
        <row r="344">
          <cell r="G344">
            <v>1</v>
          </cell>
          <cell r="H344" t="str">
            <v>Not verified to be within 1 mile</v>
          </cell>
          <cell r="I344">
            <v>3349559787</v>
          </cell>
        </row>
        <row r="345">
          <cell r="G345">
            <v>2</v>
          </cell>
          <cell r="H345" t="str">
            <v>Within 1 mile</v>
          </cell>
          <cell r="I345">
            <v>3342618251</v>
          </cell>
        </row>
        <row r="346">
          <cell r="G346">
            <v>3</v>
          </cell>
          <cell r="H346" t="str">
            <v>Within 165 feet</v>
          </cell>
          <cell r="I346">
            <v>3337409531</v>
          </cell>
        </row>
        <row r="347">
          <cell r="G347">
            <v>7</v>
          </cell>
          <cell r="H347" t="str">
            <v>Within 1 mile</v>
          </cell>
          <cell r="I347">
            <v>3337409538</v>
          </cell>
        </row>
        <row r="348">
          <cell r="G348">
            <v>1</v>
          </cell>
          <cell r="H348" t="str">
            <v>Within 165 feet</v>
          </cell>
          <cell r="I348">
            <v>3337409542</v>
          </cell>
        </row>
        <row r="349">
          <cell r="G349">
            <v>3</v>
          </cell>
          <cell r="H349" t="str">
            <v>Within 1 mile</v>
          </cell>
          <cell r="I349">
            <v>3353098145</v>
          </cell>
        </row>
        <row r="350">
          <cell r="G350">
            <v>2</v>
          </cell>
          <cell r="H350" t="str">
            <v>Not verified to be within 1 mile</v>
          </cell>
          <cell r="I350">
            <v>3349559913</v>
          </cell>
        </row>
        <row r="351">
          <cell r="G351">
            <v>1</v>
          </cell>
          <cell r="H351" t="str">
            <v>Not verified to be within 1 mile</v>
          </cell>
          <cell r="I351">
            <v>3349559823</v>
          </cell>
        </row>
        <row r="352">
          <cell r="G352">
            <v>2</v>
          </cell>
          <cell r="H352" t="str">
            <v>Not Verified to be within 1 mile</v>
          </cell>
          <cell r="I352">
            <v>3337409573</v>
          </cell>
        </row>
        <row r="353">
          <cell r="G353">
            <v>2</v>
          </cell>
          <cell r="H353" t="str">
            <v>Not verified to be within 1 mile</v>
          </cell>
          <cell r="I353">
            <v>3349560177</v>
          </cell>
        </row>
        <row r="354">
          <cell r="G354">
            <v>2</v>
          </cell>
          <cell r="H354" t="str">
            <v>Not verified to be within 1 mile</v>
          </cell>
          <cell r="I354">
            <v>3349560192</v>
          </cell>
        </row>
        <row r="355">
          <cell r="G355">
            <v>1</v>
          </cell>
          <cell r="H355" t="str">
            <v>Not verified to be within 1 mile</v>
          </cell>
          <cell r="I355">
            <v>3349560188</v>
          </cell>
        </row>
        <row r="356">
          <cell r="G356">
            <v>1</v>
          </cell>
          <cell r="H356" t="str">
            <v>Not verified to be within 1 mile</v>
          </cell>
          <cell r="I356">
            <v>3349560173</v>
          </cell>
        </row>
        <row r="357">
          <cell r="G357">
            <v>2</v>
          </cell>
          <cell r="H357" t="str">
            <v>Within 40 feet</v>
          </cell>
          <cell r="I357">
            <v>3337409576</v>
          </cell>
        </row>
        <row r="358">
          <cell r="G358">
            <v>1</v>
          </cell>
          <cell r="H358" t="str">
            <v>Not Verified to be within 1 mile</v>
          </cell>
          <cell r="I358">
            <v>3337431214</v>
          </cell>
        </row>
        <row r="359">
          <cell r="G359">
            <v>4</v>
          </cell>
          <cell r="H359" t="str">
            <v>Within 1 mile</v>
          </cell>
          <cell r="I359">
            <v>3337428273</v>
          </cell>
        </row>
        <row r="360">
          <cell r="G360">
            <v>1</v>
          </cell>
          <cell r="H360" t="str">
            <v>Within 1 mile</v>
          </cell>
          <cell r="I360">
            <v>3337428276</v>
          </cell>
        </row>
        <row r="361">
          <cell r="G361">
            <v>1</v>
          </cell>
          <cell r="H361" t="str">
            <v>Not Verified to be within 1 mile</v>
          </cell>
          <cell r="I361">
            <v>3342618143</v>
          </cell>
        </row>
        <row r="362">
          <cell r="G362">
            <v>4</v>
          </cell>
          <cell r="H362" t="str">
            <v>Within 1 mile</v>
          </cell>
          <cell r="I362">
            <v>3337428023</v>
          </cell>
        </row>
        <row r="363">
          <cell r="G363">
            <v>1</v>
          </cell>
          <cell r="H363" t="str">
            <v>Within 1 mile</v>
          </cell>
          <cell r="I363">
            <v>3342618087</v>
          </cell>
        </row>
        <row r="364">
          <cell r="G364">
            <v>1</v>
          </cell>
          <cell r="H364" t="str">
            <v>Not verified to be within 1 mile</v>
          </cell>
          <cell r="I364">
            <v>3349560325</v>
          </cell>
        </row>
        <row r="365">
          <cell r="G365">
            <v>4</v>
          </cell>
          <cell r="H365" t="str">
            <v>Within 165 feet</v>
          </cell>
          <cell r="I365">
            <v>3349559862</v>
          </cell>
        </row>
        <row r="366">
          <cell r="G366">
            <v>2</v>
          </cell>
          <cell r="H366" t="str">
            <v>Within 1 mile</v>
          </cell>
          <cell r="I366">
            <v>3352749837</v>
          </cell>
        </row>
        <row r="367">
          <cell r="G367">
            <v>2</v>
          </cell>
          <cell r="H367" t="str">
            <v>Not Verified to be within 1 mile</v>
          </cell>
          <cell r="I367">
            <v>3342618334</v>
          </cell>
        </row>
        <row r="368">
          <cell r="G368">
            <v>12</v>
          </cell>
          <cell r="H368" t="str">
            <v>Within 40 feet</v>
          </cell>
          <cell r="I368">
            <v>3337409645</v>
          </cell>
        </row>
        <row r="369">
          <cell r="G369">
            <v>4</v>
          </cell>
          <cell r="H369" t="str">
            <v>Within 40 feet</v>
          </cell>
          <cell r="I369">
            <v>3340396311</v>
          </cell>
        </row>
        <row r="370">
          <cell r="G370">
            <v>6</v>
          </cell>
          <cell r="H370" t="str">
            <v>Within 40 feet</v>
          </cell>
          <cell r="I370">
            <v>3337426904</v>
          </cell>
        </row>
        <row r="371">
          <cell r="G371">
            <v>4</v>
          </cell>
          <cell r="H371" t="str">
            <v>Within 1 mile</v>
          </cell>
          <cell r="I371">
            <v>3337409656</v>
          </cell>
        </row>
        <row r="372">
          <cell r="G372">
            <v>6</v>
          </cell>
          <cell r="H372" t="str">
            <v>Within 165 feet</v>
          </cell>
          <cell r="I372">
            <v>3349559838</v>
          </cell>
        </row>
        <row r="373">
          <cell r="G373">
            <v>2</v>
          </cell>
          <cell r="H373" t="str">
            <v>Within 1 mile</v>
          </cell>
          <cell r="I373">
            <v>3342617828</v>
          </cell>
        </row>
        <row r="374">
          <cell r="G374">
            <v>2</v>
          </cell>
          <cell r="H374" t="str">
            <v>Within 165 feet</v>
          </cell>
          <cell r="I374">
            <v>3349560011</v>
          </cell>
        </row>
        <row r="375">
          <cell r="G375">
            <v>1</v>
          </cell>
          <cell r="H375" t="str">
            <v>Not verified to be within 1 mile</v>
          </cell>
          <cell r="I375">
            <v>3349559914</v>
          </cell>
        </row>
        <row r="376">
          <cell r="G376">
            <v>1</v>
          </cell>
          <cell r="H376" t="str">
            <v>Not verified to be within 1 mile</v>
          </cell>
          <cell r="I376">
            <v>3349559874</v>
          </cell>
        </row>
        <row r="377">
          <cell r="G377">
            <v>12</v>
          </cell>
          <cell r="H377" t="str">
            <v>Within 165 feet</v>
          </cell>
          <cell r="I377">
            <v>3341136828</v>
          </cell>
        </row>
        <row r="378">
          <cell r="G378">
            <v>2</v>
          </cell>
          <cell r="H378" t="str">
            <v>Within 1 mile</v>
          </cell>
          <cell r="I378">
            <v>3352749925</v>
          </cell>
        </row>
        <row r="379">
          <cell r="G379">
            <v>1</v>
          </cell>
          <cell r="H379" t="str">
            <v>Not Verified to be within 1 mile</v>
          </cell>
          <cell r="I379">
            <v>3337409743</v>
          </cell>
        </row>
        <row r="380">
          <cell r="G380">
            <v>1</v>
          </cell>
          <cell r="H380" t="str">
            <v>Within 1 mile</v>
          </cell>
          <cell r="I380">
            <v>3337409748</v>
          </cell>
        </row>
        <row r="381">
          <cell r="G381">
            <v>3</v>
          </cell>
          <cell r="H381" t="str">
            <v>Within 165 feet</v>
          </cell>
          <cell r="I381">
            <v>3337409756</v>
          </cell>
        </row>
        <row r="382">
          <cell r="G382">
            <v>2</v>
          </cell>
          <cell r="H382" t="str">
            <v>Within 1 mile</v>
          </cell>
          <cell r="I382">
            <v>3353097640</v>
          </cell>
        </row>
        <row r="383">
          <cell r="G383">
            <v>1</v>
          </cell>
          <cell r="H383" t="str">
            <v>Within 1 mile</v>
          </cell>
          <cell r="I383">
            <v>3353098104</v>
          </cell>
        </row>
        <row r="384">
          <cell r="G384">
            <v>4</v>
          </cell>
          <cell r="H384" t="str">
            <v>Not verified to be within 1 mile</v>
          </cell>
          <cell r="I384">
            <v>3349560217</v>
          </cell>
        </row>
        <row r="385">
          <cell r="G385">
            <v>1</v>
          </cell>
          <cell r="H385" t="str">
            <v>Not verified to be within 1 mile</v>
          </cell>
          <cell r="I385">
            <v>3349559919</v>
          </cell>
        </row>
        <row r="386">
          <cell r="G386">
            <v>5</v>
          </cell>
          <cell r="H386" t="str">
            <v>Within 165 feet</v>
          </cell>
          <cell r="I386">
            <v>3349559832</v>
          </cell>
        </row>
        <row r="387">
          <cell r="G387">
            <v>9</v>
          </cell>
          <cell r="H387" t="str">
            <v>Within 165 feet</v>
          </cell>
          <cell r="I387">
            <v>3337409874</v>
          </cell>
        </row>
        <row r="388">
          <cell r="G388">
            <v>1</v>
          </cell>
          <cell r="H388" t="str">
            <v>Within 1 mile</v>
          </cell>
          <cell r="I388">
            <v>3342617990</v>
          </cell>
        </row>
        <row r="389">
          <cell r="G389">
            <v>1</v>
          </cell>
          <cell r="H389" t="str">
            <v>Not verified to be within 1 mile</v>
          </cell>
          <cell r="I389">
            <v>3349560278</v>
          </cell>
        </row>
        <row r="390">
          <cell r="G390">
            <v>1</v>
          </cell>
          <cell r="H390" t="str">
            <v>Not verified to be within 1 mile</v>
          </cell>
          <cell r="I390">
            <v>3349560387</v>
          </cell>
        </row>
        <row r="391">
          <cell r="G391">
            <v>2</v>
          </cell>
          <cell r="H391" t="str">
            <v>Not Verified to be within 1 mile</v>
          </cell>
          <cell r="I391">
            <v>3342617929</v>
          </cell>
        </row>
        <row r="392">
          <cell r="G392">
            <v>3</v>
          </cell>
          <cell r="H392" t="str">
            <v>Within 165 feet</v>
          </cell>
          <cell r="I392">
            <v>3337409954</v>
          </cell>
        </row>
        <row r="393">
          <cell r="G393">
            <v>2</v>
          </cell>
          <cell r="H393" t="str">
            <v>Within 1 mile</v>
          </cell>
          <cell r="I393">
            <v>3342618113</v>
          </cell>
        </row>
        <row r="394">
          <cell r="G394">
            <v>1</v>
          </cell>
          <cell r="H394" t="str">
            <v>Within 165 feet</v>
          </cell>
          <cell r="I394">
            <v>3337409983</v>
          </cell>
        </row>
        <row r="395">
          <cell r="G395">
            <v>1</v>
          </cell>
          <cell r="H395" t="str">
            <v>Not verified to be within 1 mile</v>
          </cell>
          <cell r="I395">
            <v>3349559805</v>
          </cell>
        </row>
        <row r="396">
          <cell r="G396">
            <v>1</v>
          </cell>
          <cell r="H396" t="str">
            <v>Not verified to be within 1 mile</v>
          </cell>
          <cell r="I396">
            <v>3349559825</v>
          </cell>
        </row>
        <row r="397">
          <cell r="G397">
            <v>2</v>
          </cell>
          <cell r="H397" t="str">
            <v>Within 165 feet</v>
          </cell>
          <cell r="I397">
            <v>3337410057</v>
          </cell>
        </row>
        <row r="398">
          <cell r="G398">
            <v>12</v>
          </cell>
          <cell r="H398" t="str">
            <v>Within 165 feet</v>
          </cell>
          <cell r="I398">
            <v>3337410062</v>
          </cell>
        </row>
        <row r="399">
          <cell r="G399">
            <v>3</v>
          </cell>
          <cell r="H399" t="str">
            <v>Within 40 feet</v>
          </cell>
          <cell r="I399">
            <v>3341136831</v>
          </cell>
        </row>
        <row r="400">
          <cell r="G400">
            <v>3</v>
          </cell>
          <cell r="H400" t="str">
            <v>Within 165 feet</v>
          </cell>
          <cell r="I400">
            <v>3337428277</v>
          </cell>
        </row>
        <row r="401">
          <cell r="G401">
            <v>1</v>
          </cell>
          <cell r="H401" t="str">
            <v>Not verified to be within 1 mile</v>
          </cell>
          <cell r="I401">
            <v>3349559963</v>
          </cell>
        </row>
        <row r="402">
          <cell r="G402">
            <v>2</v>
          </cell>
          <cell r="H402" t="str">
            <v>Within 1 mile</v>
          </cell>
          <cell r="I402">
            <v>3353097790</v>
          </cell>
        </row>
        <row r="403">
          <cell r="G403">
            <v>1</v>
          </cell>
          <cell r="H403" t="str">
            <v>Not Verified to be within 1 mile</v>
          </cell>
          <cell r="I403">
            <v>3342618228</v>
          </cell>
        </row>
        <row r="404">
          <cell r="G404">
            <v>5</v>
          </cell>
          <cell r="H404" t="str">
            <v>Within 1 mile</v>
          </cell>
          <cell r="I404">
            <v>3337428285</v>
          </cell>
        </row>
        <row r="405">
          <cell r="G405">
            <v>4</v>
          </cell>
          <cell r="H405" t="str">
            <v>Within 40 feet</v>
          </cell>
          <cell r="I405">
            <v>3337410138</v>
          </cell>
        </row>
        <row r="406">
          <cell r="G406">
            <v>4</v>
          </cell>
          <cell r="H406" t="str">
            <v>Within 40 feet</v>
          </cell>
          <cell r="I406">
            <v>3337410151</v>
          </cell>
        </row>
        <row r="407">
          <cell r="G407">
            <v>1</v>
          </cell>
          <cell r="H407" t="str">
            <v>Within 1 mile</v>
          </cell>
          <cell r="I407">
            <v>3337410164</v>
          </cell>
        </row>
        <row r="408">
          <cell r="G408">
            <v>8</v>
          </cell>
          <cell r="H408" t="str">
            <v>Within 40 feet</v>
          </cell>
          <cell r="I408">
            <v>3349559508</v>
          </cell>
        </row>
        <row r="409">
          <cell r="G409">
            <v>1</v>
          </cell>
          <cell r="H409" t="str">
            <v>Within 1 mile</v>
          </cell>
          <cell r="I409">
            <v>3337410170</v>
          </cell>
        </row>
        <row r="410">
          <cell r="G410">
            <v>2</v>
          </cell>
          <cell r="H410" t="str">
            <v>Within 1 mile</v>
          </cell>
          <cell r="I410">
            <v>3342618381</v>
          </cell>
        </row>
        <row r="411">
          <cell r="G411">
            <v>2</v>
          </cell>
          <cell r="H411" t="str">
            <v>Within 1 mile</v>
          </cell>
          <cell r="I411">
            <v>3352749867</v>
          </cell>
        </row>
        <row r="412">
          <cell r="G412">
            <v>1</v>
          </cell>
          <cell r="H412" t="str">
            <v>Not Verified to be within 1 mile</v>
          </cell>
          <cell r="I412">
            <v>3337410194</v>
          </cell>
        </row>
        <row r="413">
          <cell r="G413">
            <v>2</v>
          </cell>
          <cell r="H413" t="str">
            <v>Not verified to be within 1 mile</v>
          </cell>
          <cell r="I413">
            <v>3349559800</v>
          </cell>
        </row>
        <row r="414">
          <cell r="G414">
            <v>23</v>
          </cell>
          <cell r="H414" t="str">
            <v>Within 40 feet</v>
          </cell>
          <cell r="I414">
            <v>3337410205</v>
          </cell>
        </row>
        <row r="415">
          <cell r="G415">
            <v>2</v>
          </cell>
          <cell r="H415" t="str">
            <v>Within 1 mile</v>
          </cell>
          <cell r="I415">
            <v>3352750256</v>
          </cell>
        </row>
        <row r="416">
          <cell r="G416">
            <v>2</v>
          </cell>
          <cell r="H416" t="str">
            <v>Within 1 mile</v>
          </cell>
          <cell r="I416">
            <v>3337410218</v>
          </cell>
        </row>
        <row r="417">
          <cell r="G417">
            <v>3</v>
          </cell>
          <cell r="H417" t="str">
            <v>Not verified to be within 1 mile</v>
          </cell>
          <cell r="I417">
            <v>3337410227</v>
          </cell>
        </row>
        <row r="418">
          <cell r="G418">
            <v>5</v>
          </cell>
          <cell r="H418" t="str">
            <v>Within 40 feet</v>
          </cell>
          <cell r="I418">
            <v>3337410261</v>
          </cell>
        </row>
        <row r="419">
          <cell r="G419">
            <v>3</v>
          </cell>
          <cell r="H419" t="str">
            <v>Within 1 mile</v>
          </cell>
          <cell r="I419">
            <v>3337410263</v>
          </cell>
        </row>
        <row r="420">
          <cell r="G420">
            <v>2</v>
          </cell>
          <cell r="H420" t="str">
            <v>Within 1 mile</v>
          </cell>
          <cell r="I420">
            <v>3342617812</v>
          </cell>
        </row>
        <row r="421">
          <cell r="G421">
            <v>1</v>
          </cell>
          <cell r="H421" t="str">
            <v>Within 1 mile</v>
          </cell>
          <cell r="I421">
            <v>3352749879</v>
          </cell>
        </row>
        <row r="422">
          <cell r="G422">
            <v>2</v>
          </cell>
          <cell r="H422" t="str">
            <v>Within 165 feet</v>
          </cell>
          <cell r="I422">
            <v>3342618338</v>
          </cell>
        </row>
        <row r="423">
          <cell r="G423">
            <v>1</v>
          </cell>
          <cell r="H423" t="str">
            <v>Not verified to be within 1 mile</v>
          </cell>
          <cell r="I423">
            <v>3349559719</v>
          </cell>
        </row>
        <row r="424">
          <cell r="G424">
            <v>6</v>
          </cell>
          <cell r="H424" t="str">
            <v>Within 1 mile</v>
          </cell>
          <cell r="I424">
            <v>3337410310</v>
          </cell>
        </row>
        <row r="425">
          <cell r="G425">
            <v>11</v>
          </cell>
          <cell r="H425" t="str">
            <v>Within 40 feet</v>
          </cell>
          <cell r="I425">
            <v>3337410309</v>
          </cell>
        </row>
        <row r="426">
          <cell r="G426">
            <v>4</v>
          </cell>
          <cell r="H426" t="str">
            <v>Within 1 mile</v>
          </cell>
          <cell r="I426">
            <v>3365669817</v>
          </cell>
        </row>
        <row r="427">
          <cell r="G427">
            <v>2</v>
          </cell>
          <cell r="H427" t="str">
            <v>Within 165 feet</v>
          </cell>
          <cell r="I427">
            <v>3349559822</v>
          </cell>
        </row>
        <row r="428">
          <cell r="G428">
            <v>2</v>
          </cell>
          <cell r="H428" t="str">
            <v>Within 1 mile</v>
          </cell>
          <cell r="I428">
            <v>3352749869</v>
          </cell>
        </row>
        <row r="429">
          <cell r="G429">
            <v>4</v>
          </cell>
          <cell r="H429" t="str">
            <v>Within 165 feet</v>
          </cell>
          <cell r="I429">
            <v>3337410366</v>
          </cell>
        </row>
        <row r="430">
          <cell r="G430">
            <v>1</v>
          </cell>
          <cell r="H430" t="str">
            <v>Not Verified to be within 1 mile</v>
          </cell>
          <cell r="I430">
            <v>3342617610</v>
          </cell>
        </row>
        <row r="431">
          <cell r="G431">
            <v>2</v>
          </cell>
          <cell r="H431" t="str">
            <v>Within 1 mile</v>
          </cell>
          <cell r="I431">
            <v>3352750163</v>
          </cell>
        </row>
        <row r="432">
          <cell r="G432">
            <v>1</v>
          </cell>
          <cell r="H432" t="str">
            <v>Not verified to be within 1 mile</v>
          </cell>
          <cell r="I432">
            <v>3349560300</v>
          </cell>
        </row>
        <row r="433">
          <cell r="G433">
            <v>1</v>
          </cell>
          <cell r="H433" t="str">
            <v>Not Verified to be within 1 mile</v>
          </cell>
          <cell r="I433">
            <v>3342618083</v>
          </cell>
        </row>
        <row r="434">
          <cell r="G434">
            <v>2</v>
          </cell>
          <cell r="H434" t="str">
            <v>Not verified to be within 1 mile</v>
          </cell>
          <cell r="I434">
            <v>3349560319</v>
          </cell>
        </row>
        <row r="435">
          <cell r="G435">
            <v>3</v>
          </cell>
          <cell r="H435" t="str">
            <v>Within 1 mile</v>
          </cell>
          <cell r="I435">
            <v>3342617815</v>
          </cell>
        </row>
        <row r="436">
          <cell r="G436">
            <v>3</v>
          </cell>
          <cell r="H436" t="str">
            <v>Within 40 feet</v>
          </cell>
          <cell r="I436">
            <v>3337427840</v>
          </cell>
        </row>
        <row r="437">
          <cell r="G437">
            <v>2</v>
          </cell>
          <cell r="H437" t="str">
            <v>Within 1 mile</v>
          </cell>
          <cell r="I437">
            <v>3352749868</v>
          </cell>
        </row>
        <row r="438">
          <cell r="G438">
            <v>2</v>
          </cell>
          <cell r="H438" t="str">
            <v>Within 1 mile</v>
          </cell>
          <cell r="I438">
            <v>3342617926</v>
          </cell>
        </row>
        <row r="439">
          <cell r="G439">
            <v>1</v>
          </cell>
          <cell r="H439" t="str">
            <v>Not verified to be within 1 mile</v>
          </cell>
          <cell r="I439">
            <v>3337410454</v>
          </cell>
        </row>
        <row r="440">
          <cell r="G440">
            <v>0</v>
          </cell>
          <cell r="H440" t="str">
            <v>Not Verified to be within 1 mile</v>
          </cell>
          <cell r="I440">
            <v>3342618404</v>
          </cell>
        </row>
        <row r="441">
          <cell r="G441">
            <v>4</v>
          </cell>
          <cell r="H441" t="str">
            <v>Within 40 feet</v>
          </cell>
          <cell r="I441">
            <v>3353097802</v>
          </cell>
        </row>
        <row r="442">
          <cell r="G442">
            <v>7</v>
          </cell>
          <cell r="H442" t="str">
            <v>Within 1 mile</v>
          </cell>
          <cell r="I442">
            <v>3337410466</v>
          </cell>
        </row>
        <row r="443">
          <cell r="G443">
            <v>2</v>
          </cell>
          <cell r="H443" t="str">
            <v>Within 1 mile</v>
          </cell>
          <cell r="I443">
            <v>3337410469</v>
          </cell>
        </row>
        <row r="444">
          <cell r="G444">
            <v>12</v>
          </cell>
          <cell r="H444" t="str">
            <v>Within 165 feet</v>
          </cell>
          <cell r="I444">
            <v>3337410472</v>
          </cell>
        </row>
        <row r="445">
          <cell r="G445">
            <v>1</v>
          </cell>
          <cell r="H445" t="str">
            <v>Not verified to be within 1 mile</v>
          </cell>
          <cell r="I445">
            <v>3349560209</v>
          </cell>
        </row>
        <row r="446">
          <cell r="G446">
            <v>2</v>
          </cell>
          <cell r="H446" t="str">
            <v>Within 1 mile</v>
          </cell>
          <cell r="I446">
            <v>3337410499</v>
          </cell>
        </row>
        <row r="447">
          <cell r="G447">
            <v>1</v>
          </cell>
          <cell r="H447" t="str">
            <v>Within 1 mile</v>
          </cell>
          <cell r="I447">
            <v>3342617830</v>
          </cell>
        </row>
        <row r="448">
          <cell r="G448">
            <v>2</v>
          </cell>
          <cell r="H448" t="str">
            <v>Within 1 mile</v>
          </cell>
          <cell r="I448">
            <v>3352749882</v>
          </cell>
        </row>
        <row r="449">
          <cell r="G449">
            <v>1</v>
          </cell>
          <cell r="H449" t="str">
            <v>Not verified to be within 1 mile</v>
          </cell>
          <cell r="I449">
            <v>3349559921</v>
          </cell>
        </row>
        <row r="450">
          <cell r="G450">
            <v>5</v>
          </cell>
          <cell r="H450" t="str">
            <v>Not Verified to be within 1 mile</v>
          </cell>
          <cell r="I450">
            <v>3342618330</v>
          </cell>
        </row>
        <row r="451">
          <cell r="G451">
            <v>8</v>
          </cell>
          <cell r="H451" t="str">
            <v>Within 40 feet</v>
          </cell>
          <cell r="I451">
            <v>3337410535</v>
          </cell>
        </row>
        <row r="452">
          <cell r="G452">
            <v>2</v>
          </cell>
          <cell r="H452" t="str">
            <v>Within 1 mile</v>
          </cell>
          <cell r="I452">
            <v>3337410539</v>
          </cell>
        </row>
        <row r="453">
          <cell r="G453">
            <v>2</v>
          </cell>
          <cell r="H453" t="str">
            <v>Not verified to be within 1 mile</v>
          </cell>
          <cell r="I453">
            <v>3349559748</v>
          </cell>
        </row>
        <row r="454">
          <cell r="G454">
            <v>1</v>
          </cell>
          <cell r="H454" t="str">
            <v>Within 1 mile</v>
          </cell>
          <cell r="I454">
            <v>3337410598</v>
          </cell>
        </row>
        <row r="455">
          <cell r="G455">
            <v>3</v>
          </cell>
          <cell r="H455" t="str">
            <v>Within 1 mile</v>
          </cell>
          <cell r="I455">
            <v>3337427581</v>
          </cell>
        </row>
        <row r="456">
          <cell r="G456">
            <v>1</v>
          </cell>
          <cell r="H456" t="str">
            <v>Within 1 mile</v>
          </cell>
          <cell r="I456">
            <v>3337410635</v>
          </cell>
        </row>
        <row r="457">
          <cell r="G457">
            <v>4</v>
          </cell>
          <cell r="H457" t="str">
            <v>Within 165 feet</v>
          </cell>
          <cell r="I457">
            <v>3337410647</v>
          </cell>
        </row>
        <row r="458">
          <cell r="G458">
            <v>1</v>
          </cell>
          <cell r="H458" t="str">
            <v>Not verified to be within 1 mile</v>
          </cell>
          <cell r="I458">
            <v>3349559767</v>
          </cell>
        </row>
        <row r="459">
          <cell r="G459">
            <v>1</v>
          </cell>
          <cell r="H459" t="str">
            <v>Within 1 mile</v>
          </cell>
          <cell r="I459">
            <v>3337410672</v>
          </cell>
        </row>
        <row r="460">
          <cell r="G460">
            <v>2</v>
          </cell>
          <cell r="H460" t="str">
            <v>Within 1 mile</v>
          </cell>
          <cell r="I460">
            <v>3342617609</v>
          </cell>
        </row>
        <row r="461">
          <cell r="G461">
            <v>2</v>
          </cell>
          <cell r="H461" t="str">
            <v>Within 40 feet</v>
          </cell>
          <cell r="I461">
            <v>3349559632</v>
          </cell>
        </row>
        <row r="462">
          <cell r="G462">
            <v>1</v>
          </cell>
          <cell r="H462" t="str">
            <v>Within 1 mile</v>
          </cell>
          <cell r="I462">
            <v>3352750020</v>
          </cell>
        </row>
        <row r="463">
          <cell r="G463">
            <v>1</v>
          </cell>
          <cell r="H463" t="str">
            <v>Not Verified to be within 1 mile</v>
          </cell>
          <cell r="I463">
            <v>3337410691</v>
          </cell>
        </row>
        <row r="464">
          <cell r="G464">
            <v>2</v>
          </cell>
          <cell r="H464" t="str">
            <v>Not Verified to be within 1 mile</v>
          </cell>
          <cell r="I464">
            <v>3342617891</v>
          </cell>
        </row>
        <row r="465">
          <cell r="G465">
            <v>1</v>
          </cell>
          <cell r="H465" t="str">
            <v>Within 1 mile</v>
          </cell>
          <cell r="I465">
            <v>3337410713</v>
          </cell>
        </row>
        <row r="466">
          <cell r="G466">
            <v>5</v>
          </cell>
          <cell r="H466" t="str">
            <v>Within 40 feet</v>
          </cell>
          <cell r="I466">
            <v>3337410744</v>
          </cell>
        </row>
        <row r="467">
          <cell r="G467">
            <v>1</v>
          </cell>
          <cell r="H467" t="str">
            <v>Within 1 mile</v>
          </cell>
          <cell r="I467">
            <v>3342618304</v>
          </cell>
        </row>
        <row r="468">
          <cell r="G468">
            <v>2</v>
          </cell>
          <cell r="H468" t="str">
            <v>Within 165 feet</v>
          </cell>
          <cell r="I468">
            <v>3353097786</v>
          </cell>
        </row>
        <row r="469">
          <cell r="G469">
            <v>2</v>
          </cell>
          <cell r="H469" t="str">
            <v>Within 1 mile</v>
          </cell>
          <cell r="I469">
            <v>3337430102</v>
          </cell>
        </row>
        <row r="470">
          <cell r="G470">
            <v>4</v>
          </cell>
          <cell r="H470" t="str">
            <v>Within 165 feet</v>
          </cell>
          <cell r="I470">
            <v>3349560046</v>
          </cell>
        </row>
        <row r="471">
          <cell r="G471">
            <v>4</v>
          </cell>
          <cell r="H471" t="str">
            <v>Within 40 feet</v>
          </cell>
          <cell r="I471">
            <v>3337410784</v>
          </cell>
        </row>
        <row r="472">
          <cell r="G472">
            <v>5</v>
          </cell>
          <cell r="H472" t="str">
            <v>Not verified to be within 1 mile</v>
          </cell>
          <cell r="I472">
            <v>3349560357</v>
          </cell>
        </row>
        <row r="473">
          <cell r="G473">
            <v>1</v>
          </cell>
          <cell r="H473" t="str">
            <v>Not verified to be within 1 mile</v>
          </cell>
          <cell r="I473">
            <v>3349559847</v>
          </cell>
        </row>
        <row r="474">
          <cell r="G474">
            <v>2</v>
          </cell>
          <cell r="H474" t="str">
            <v>Within 1 mile</v>
          </cell>
          <cell r="I474">
            <v>3353097532</v>
          </cell>
        </row>
        <row r="475">
          <cell r="G475">
            <v>2</v>
          </cell>
          <cell r="H475" t="str">
            <v>Within 1 mile</v>
          </cell>
          <cell r="I475">
            <v>3352749877</v>
          </cell>
        </row>
        <row r="476">
          <cell r="G476">
            <v>1</v>
          </cell>
          <cell r="H476" t="str">
            <v>Not verified to be within 1 mile</v>
          </cell>
          <cell r="I476">
            <v>3349559949</v>
          </cell>
        </row>
        <row r="477">
          <cell r="G477">
            <v>1</v>
          </cell>
          <cell r="H477" t="str">
            <v>Not verified to be within 1 mile</v>
          </cell>
          <cell r="I477">
            <v>3349559926</v>
          </cell>
        </row>
        <row r="478">
          <cell r="G478">
            <v>3</v>
          </cell>
          <cell r="H478" t="str">
            <v>Within 1 mile</v>
          </cell>
          <cell r="I478">
            <v>3337410875</v>
          </cell>
        </row>
        <row r="479">
          <cell r="G479">
            <v>5</v>
          </cell>
          <cell r="H479" t="str">
            <v>Within 1 mile</v>
          </cell>
          <cell r="I479">
            <v>3337410884</v>
          </cell>
        </row>
        <row r="480">
          <cell r="G480">
            <v>2</v>
          </cell>
          <cell r="H480" t="str">
            <v>Within 1 mile</v>
          </cell>
          <cell r="I480">
            <v>3337427325</v>
          </cell>
        </row>
        <row r="481">
          <cell r="G481">
            <v>5</v>
          </cell>
          <cell r="H481" t="str">
            <v>Not verified to be within 1 mile</v>
          </cell>
          <cell r="I481">
            <v>3349559940</v>
          </cell>
        </row>
        <row r="482">
          <cell r="G482">
            <v>2</v>
          </cell>
          <cell r="H482" t="str">
            <v>Not verified to be within 1 mile</v>
          </cell>
          <cell r="I482">
            <v>3337410893</v>
          </cell>
        </row>
        <row r="483">
          <cell r="G483">
            <v>1</v>
          </cell>
          <cell r="H483" t="str">
            <v>Within 1 mile</v>
          </cell>
          <cell r="I483">
            <v>3337410898</v>
          </cell>
        </row>
        <row r="484">
          <cell r="G484">
            <v>2</v>
          </cell>
          <cell r="H484" t="str">
            <v>Within 1 mile</v>
          </cell>
          <cell r="I484">
            <v>3337410924</v>
          </cell>
        </row>
        <row r="485">
          <cell r="G485">
            <v>4</v>
          </cell>
          <cell r="H485" t="str">
            <v>Within 1 mile</v>
          </cell>
          <cell r="I485">
            <v>3337427366</v>
          </cell>
        </row>
        <row r="486">
          <cell r="G486">
            <v>2</v>
          </cell>
          <cell r="H486" t="str">
            <v>Within 1 mile</v>
          </cell>
          <cell r="I486">
            <v>3337410952</v>
          </cell>
        </row>
        <row r="487">
          <cell r="G487">
            <v>3</v>
          </cell>
          <cell r="H487" t="str">
            <v>Within 165 feet</v>
          </cell>
          <cell r="I487">
            <v>3342617491</v>
          </cell>
        </row>
        <row r="488">
          <cell r="G488">
            <v>13</v>
          </cell>
          <cell r="H488" t="str">
            <v>Within 1 mile</v>
          </cell>
          <cell r="I488">
            <v>3337411001</v>
          </cell>
        </row>
        <row r="489">
          <cell r="G489">
            <v>2</v>
          </cell>
          <cell r="H489" t="str">
            <v>Within 1 mile</v>
          </cell>
          <cell r="I489">
            <v>3352749885</v>
          </cell>
        </row>
        <row r="490">
          <cell r="G490">
            <v>2</v>
          </cell>
          <cell r="H490" t="str">
            <v>Within 165 feet</v>
          </cell>
          <cell r="I490">
            <v>3337411020</v>
          </cell>
        </row>
        <row r="491">
          <cell r="G491">
            <v>1</v>
          </cell>
          <cell r="H491" t="str">
            <v>Within 1 mile</v>
          </cell>
          <cell r="I491">
            <v>3337411021</v>
          </cell>
        </row>
        <row r="492">
          <cell r="G492">
            <v>2</v>
          </cell>
          <cell r="H492" t="str">
            <v>Within 40 feet</v>
          </cell>
          <cell r="I492">
            <v>3337411027</v>
          </cell>
        </row>
        <row r="493">
          <cell r="G493">
            <v>5</v>
          </cell>
          <cell r="H493" t="str">
            <v>Within 1 mile</v>
          </cell>
          <cell r="I493">
            <v>3337411049</v>
          </cell>
        </row>
        <row r="494">
          <cell r="G494">
            <v>2</v>
          </cell>
          <cell r="H494" t="str">
            <v>Within 1 mile</v>
          </cell>
          <cell r="I494">
            <v>3342618370</v>
          </cell>
        </row>
        <row r="495">
          <cell r="G495">
            <v>1</v>
          </cell>
          <cell r="H495" t="str">
            <v>Within 1 mile</v>
          </cell>
          <cell r="I495">
            <v>3337411078</v>
          </cell>
        </row>
        <row r="496">
          <cell r="G496">
            <v>2</v>
          </cell>
          <cell r="H496" t="str">
            <v>Within 1 mile</v>
          </cell>
          <cell r="I496">
            <v>3341136760</v>
          </cell>
        </row>
        <row r="497">
          <cell r="G497">
            <v>3</v>
          </cell>
          <cell r="H497" t="str">
            <v>Within 1 mile</v>
          </cell>
          <cell r="I497">
            <v>3337411105</v>
          </cell>
        </row>
        <row r="498">
          <cell r="G498">
            <v>4</v>
          </cell>
          <cell r="H498" t="str">
            <v>Within 1 mile</v>
          </cell>
          <cell r="I498">
            <v>3337411112</v>
          </cell>
        </row>
        <row r="499">
          <cell r="G499">
            <v>2</v>
          </cell>
          <cell r="H499" t="str">
            <v>Within 1 mile</v>
          </cell>
          <cell r="I499">
            <v>3352749835</v>
          </cell>
        </row>
        <row r="500">
          <cell r="G500">
            <v>2</v>
          </cell>
          <cell r="H500" t="str">
            <v>Not verified to be within 1 mile</v>
          </cell>
          <cell r="I500">
            <v>3349560032</v>
          </cell>
        </row>
        <row r="501">
          <cell r="G501">
            <v>2</v>
          </cell>
          <cell r="H501" t="str">
            <v>Within 1 mile</v>
          </cell>
          <cell r="I501">
            <v>3342618088</v>
          </cell>
        </row>
      </sheetData>
      <sheetData sheetId="19">
        <row r="3">
          <cell r="H3">
            <v>1996</v>
          </cell>
        </row>
        <row r="20">
          <cell r="I20">
            <v>95625721.599999994</v>
          </cell>
          <cell r="J20">
            <v>97978591.5</v>
          </cell>
          <cell r="K20">
            <v>103924856</v>
          </cell>
          <cell r="L20">
            <v>111027588</v>
          </cell>
          <cell r="M20">
            <v>96341311.099999994</v>
          </cell>
          <cell r="N20">
            <v>108671903</v>
          </cell>
          <cell r="O20">
            <v>99866969</v>
          </cell>
          <cell r="P20">
            <v>100944884</v>
          </cell>
          <cell r="Q20">
            <v>73705838.200000003</v>
          </cell>
          <cell r="R20">
            <v>75769386.900000006</v>
          </cell>
          <cell r="S20">
            <v>115245071</v>
          </cell>
          <cell r="T20">
            <v>119849516</v>
          </cell>
          <cell r="U20">
            <v>129241327</v>
          </cell>
          <cell r="V20">
            <v>126669149</v>
          </cell>
          <cell r="W20">
            <v>146991886</v>
          </cell>
          <cell r="X20">
            <v>144899296</v>
          </cell>
          <cell r="Y20">
            <v>154371232</v>
          </cell>
          <cell r="Z20">
            <v>159917766</v>
          </cell>
          <cell r="AA20">
            <v>164882183</v>
          </cell>
          <cell r="AB20">
            <v>169850046</v>
          </cell>
          <cell r="AC20">
            <v>173508403</v>
          </cell>
          <cell r="AD20">
            <v>177411268</v>
          </cell>
          <cell r="AE20">
            <v>183070657</v>
          </cell>
        </row>
        <row r="21">
          <cell r="I21">
            <v>338057128</v>
          </cell>
          <cell r="J21">
            <v>334872035</v>
          </cell>
          <cell r="K21">
            <v>212453978</v>
          </cell>
          <cell r="L21">
            <v>207686900</v>
          </cell>
          <cell r="M21">
            <v>143244318</v>
          </cell>
          <cell r="N21">
            <v>158068222</v>
          </cell>
          <cell r="O21">
            <v>324909659</v>
          </cell>
          <cell r="P21">
            <v>140649871</v>
          </cell>
          <cell r="Q21">
            <v>148856889</v>
          </cell>
          <cell r="R21">
            <v>180963779</v>
          </cell>
          <cell r="S21">
            <v>213474091</v>
          </cell>
          <cell r="T21">
            <v>185920403</v>
          </cell>
          <cell r="U21">
            <v>191972497</v>
          </cell>
          <cell r="V21">
            <v>204206022</v>
          </cell>
          <cell r="W21">
            <v>226259762</v>
          </cell>
          <cell r="X21">
            <v>228985935</v>
          </cell>
          <cell r="Y21">
            <v>233741346</v>
          </cell>
          <cell r="Z21">
            <v>247212327</v>
          </cell>
          <cell r="AA21">
            <v>259314706</v>
          </cell>
          <cell r="AB21">
            <v>278005680</v>
          </cell>
          <cell r="AC21">
            <v>290722968</v>
          </cell>
          <cell r="AD21">
            <v>305585048</v>
          </cell>
          <cell r="AE21">
            <v>312812036</v>
          </cell>
        </row>
        <row r="22">
          <cell r="I22">
            <v>78790207.200000003</v>
          </cell>
          <cell r="J22">
            <v>75161659.200000003</v>
          </cell>
          <cell r="K22">
            <v>65775225.399999999</v>
          </cell>
          <cell r="L22">
            <v>80331725.400000006</v>
          </cell>
          <cell r="M22">
            <v>69086861.299999997</v>
          </cell>
          <cell r="N22">
            <v>139015356</v>
          </cell>
          <cell r="O22">
            <v>100550989</v>
          </cell>
          <cell r="P22">
            <v>101617850</v>
          </cell>
          <cell r="Q22">
            <v>85267538.299999997</v>
          </cell>
          <cell r="R22">
            <v>100045016</v>
          </cell>
          <cell r="S22">
            <v>126846923</v>
          </cell>
          <cell r="T22">
            <v>111398588</v>
          </cell>
          <cell r="U22">
            <v>139066691</v>
          </cell>
          <cell r="V22">
            <v>99032243.5</v>
          </cell>
          <cell r="W22">
            <v>112360290</v>
          </cell>
          <cell r="X22">
            <v>120874543</v>
          </cell>
          <cell r="Y22">
            <v>121603753</v>
          </cell>
          <cell r="Z22">
            <v>132042192</v>
          </cell>
          <cell r="AA22">
            <v>136402533</v>
          </cell>
          <cell r="AB22">
            <v>147000264</v>
          </cell>
          <cell r="AC22">
            <v>154229691</v>
          </cell>
          <cell r="AD22">
            <v>163343414</v>
          </cell>
          <cell r="AE22">
            <v>169539348</v>
          </cell>
        </row>
        <row r="23">
          <cell r="I23">
            <v>186537499</v>
          </cell>
          <cell r="J23">
            <v>187904148</v>
          </cell>
          <cell r="K23">
            <v>210480721</v>
          </cell>
          <cell r="L23">
            <v>207686900</v>
          </cell>
          <cell r="M23">
            <v>185076729</v>
          </cell>
          <cell r="N23">
            <v>222283438</v>
          </cell>
          <cell r="O23">
            <v>215466406</v>
          </cell>
          <cell r="P23">
            <v>184392654</v>
          </cell>
          <cell r="Q23">
            <v>167644652</v>
          </cell>
          <cell r="R23">
            <v>158895025</v>
          </cell>
          <cell r="S23">
            <v>152371000</v>
          </cell>
          <cell r="T23">
            <v>96801531.900000006</v>
          </cell>
          <cell r="U23">
            <v>78602912.200000003</v>
          </cell>
          <cell r="V23">
            <v>105173778</v>
          </cell>
          <cell r="W23">
            <v>106203562</v>
          </cell>
          <cell r="X23">
            <v>104357524</v>
          </cell>
          <cell r="Y23">
            <v>107768596</v>
          </cell>
          <cell r="Z23">
            <v>112969431</v>
          </cell>
          <cell r="AA23">
            <v>119914315</v>
          </cell>
          <cell r="AB23">
            <v>121103844</v>
          </cell>
          <cell r="AC23">
            <v>124154902</v>
          </cell>
          <cell r="AD23">
            <v>129736874</v>
          </cell>
          <cell r="AE23">
            <v>132925216</v>
          </cell>
        </row>
        <row r="25">
          <cell r="H25" t="str">
            <v>Idaho</v>
          </cell>
          <cell r="I25">
            <v>629803398</v>
          </cell>
          <cell r="J25">
            <v>642873377.35000002</v>
          </cell>
          <cell r="K25">
            <v>827853700.19000006</v>
          </cell>
          <cell r="L25">
            <v>949314310.5</v>
          </cell>
          <cell r="M25">
            <v>824671705.72000003</v>
          </cell>
          <cell r="N25">
            <v>1036558543.99</v>
          </cell>
          <cell r="O25">
            <v>921412882.70000005</v>
          </cell>
          <cell r="P25">
            <v>989557786.60000002</v>
          </cell>
          <cell r="Q25">
            <v>1115915065.9000001</v>
          </cell>
          <cell r="R25">
            <v>1206767924.2</v>
          </cell>
          <cell r="S25">
            <v>1308849574.0699999</v>
          </cell>
          <cell r="T25">
            <v>1308585287.1199999</v>
          </cell>
          <cell r="U25">
            <v>1550282951.0999999</v>
          </cell>
          <cell r="V25">
            <v>1525677268</v>
          </cell>
          <cell r="W25">
            <v>1548751854</v>
          </cell>
          <cell r="X25">
            <v>1538633207</v>
          </cell>
          <cell r="Y25">
            <v>1572647948.3599999</v>
          </cell>
          <cell r="Z25">
            <v>1607127657.75</v>
          </cell>
          <cell r="AA25">
            <v>1636247118.73</v>
          </cell>
          <cell r="AB25">
            <v>1670740596.71</v>
          </cell>
          <cell r="AC25">
            <v>1711084692.01</v>
          </cell>
          <cell r="AD25">
            <v>1745849788.4400001</v>
          </cell>
          <cell r="AE25">
            <v>1793842788.48</v>
          </cell>
        </row>
        <row r="26">
          <cell r="H26" t="str">
            <v>Montana</v>
          </cell>
          <cell r="I26">
            <v>157306078.61199999</v>
          </cell>
          <cell r="J26">
            <v>158988866.479</v>
          </cell>
          <cell r="K26">
            <v>148022659.32499999</v>
          </cell>
          <cell r="L26">
            <v>155196955.574</v>
          </cell>
          <cell r="M26">
            <v>150797506.91999999</v>
          </cell>
          <cell r="N26">
            <v>196689240.5</v>
          </cell>
          <cell r="O26">
            <v>190677159.15799999</v>
          </cell>
          <cell r="P26">
            <v>182341406.83200002</v>
          </cell>
          <cell r="Q26">
            <v>229853474.61199999</v>
          </cell>
          <cell r="R26">
            <v>168291733.711</v>
          </cell>
          <cell r="S26">
            <v>185044294.19700003</v>
          </cell>
          <cell r="T26">
            <v>230868388.64999998</v>
          </cell>
          <cell r="U26">
            <v>238708494.85599998</v>
          </cell>
          <cell r="V26">
            <v>318134630.06999993</v>
          </cell>
          <cell r="W26">
            <v>310634073.77999997</v>
          </cell>
          <cell r="X26">
            <v>320834983.16000003</v>
          </cell>
          <cell r="Y26">
            <v>323015623.47000003</v>
          </cell>
          <cell r="Z26">
            <v>319071472.87</v>
          </cell>
          <cell r="AA26">
            <v>320041493.44999999</v>
          </cell>
          <cell r="AB26">
            <v>321220236.61000001</v>
          </cell>
          <cell r="AC26">
            <v>317274315.14999998</v>
          </cell>
          <cell r="AD26">
            <v>317242678.67000002</v>
          </cell>
          <cell r="AE26">
            <v>314343281.5</v>
          </cell>
        </row>
        <row r="27">
          <cell r="H27" t="str">
            <v>Oregon</v>
          </cell>
          <cell r="I27">
            <v>1023141844.83</v>
          </cell>
          <cell r="J27">
            <v>1032526028.86</v>
          </cell>
          <cell r="K27">
            <v>962715823.98000002</v>
          </cell>
          <cell r="L27">
            <v>1076032289.2</v>
          </cell>
          <cell r="M27">
            <v>1134553263.6399999</v>
          </cell>
          <cell r="N27">
            <v>1277568570.9000001</v>
          </cell>
          <cell r="O27">
            <v>1325282272.8</v>
          </cell>
          <cell r="P27">
            <v>1385460617.0999999</v>
          </cell>
          <cell r="Q27">
            <v>1327843272.4000001</v>
          </cell>
          <cell r="R27">
            <v>1262279512.3</v>
          </cell>
          <cell r="S27">
            <v>1527455277.2</v>
          </cell>
          <cell r="T27">
            <v>1481428474.1000001</v>
          </cell>
          <cell r="U27">
            <v>1611305885.4000001</v>
          </cell>
          <cell r="V27">
            <v>1703912175.9000001</v>
          </cell>
          <cell r="W27">
            <v>1822716919.9000001</v>
          </cell>
          <cell r="X27">
            <v>1863138987.4000001</v>
          </cell>
          <cell r="Y27">
            <v>1934947194.0999999</v>
          </cell>
          <cell r="Z27">
            <v>2020589620.3999999</v>
          </cell>
          <cell r="AA27">
            <v>2083950219.9000001</v>
          </cell>
          <cell r="AB27">
            <v>2146630229.3</v>
          </cell>
          <cell r="AC27">
            <v>2204367746.5</v>
          </cell>
          <cell r="AD27">
            <v>2262579257.1000004</v>
          </cell>
          <cell r="AE27">
            <v>2319287101.8000002</v>
          </cell>
        </row>
        <row r="28">
          <cell r="H28" t="str">
            <v>Washington</v>
          </cell>
          <cell r="I28">
            <v>1273438305.8</v>
          </cell>
          <cell r="J28">
            <v>1241509549.7</v>
          </cell>
          <cell r="K28">
            <v>1106339290.4000001</v>
          </cell>
          <cell r="L28">
            <v>1131175190.4000001</v>
          </cell>
          <cell r="M28">
            <v>972920477.39999998</v>
          </cell>
          <cell r="N28">
            <v>1033088739</v>
          </cell>
          <cell r="O28">
            <v>855709439</v>
          </cell>
          <cell r="P28">
            <v>854666682</v>
          </cell>
          <cell r="Q28">
            <v>802092945.5</v>
          </cell>
          <cell r="R28">
            <v>821693254.89999998</v>
          </cell>
          <cell r="S28">
            <v>979969830</v>
          </cell>
          <cell r="T28">
            <v>938821206.89999998</v>
          </cell>
          <cell r="U28">
            <v>1005210320.2</v>
          </cell>
          <cell r="V28">
            <v>1020262416.5</v>
          </cell>
          <cell r="W28">
            <v>1129759628</v>
          </cell>
          <cell r="X28">
            <v>1167452880</v>
          </cell>
          <cell r="Y28">
            <v>1221862862</v>
          </cell>
          <cell r="Z28">
            <v>1302082730</v>
          </cell>
          <cell r="AA28">
            <v>1366273724</v>
          </cell>
          <cell r="AB28">
            <v>1436489624</v>
          </cell>
          <cell r="AC28">
            <v>1503739491</v>
          </cell>
          <cell r="AD28">
            <v>1577162726</v>
          </cell>
          <cell r="AE28">
            <v>1639676320</v>
          </cell>
        </row>
        <row r="30">
          <cell r="G30" t="str">
            <v>2 Digit NAICS descp.</v>
          </cell>
          <cell r="H30" t="str">
            <v>3 digit nics descp</v>
          </cell>
          <cell r="I30" t="str">
            <v>Building type</v>
          </cell>
          <cell r="J30" t="str">
            <v>Mapping to 2020 ECCs</v>
          </cell>
          <cell r="K30" t="str">
            <v>Mapping to 2020 Transportation</v>
          </cell>
          <cell r="L30" t="str">
            <v>Mapping</v>
          </cell>
          <cell r="M30" t="str">
            <v>State</v>
          </cell>
          <cell r="N30" t="str">
            <v>Regions</v>
          </cell>
          <cell r="O30">
            <v>1997</v>
          </cell>
          <cell r="P30">
            <v>1998</v>
          </cell>
          <cell r="Q30">
            <v>1999</v>
          </cell>
          <cell r="R30">
            <v>2000</v>
          </cell>
          <cell r="S30">
            <v>2001</v>
          </cell>
          <cell r="T30">
            <v>2002</v>
          </cell>
          <cell r="U30">
            <v>2003</v>
          </cell>
          <cell r="V30">
            <v>2004</v>
          </cell>
          <cell r="W30">
            <v>2005</v>
          </cell>
          <cell r="X30">
            <v>2006</v>
          </cell>
          <cell r="Y30">
            <v>2007</v>
          </cell>
          <cell r="Z30">
            <v>2008</v>
          </cell>
          <cell r="AA30">
            <v>2009</v>
          </cell>
          <cell r="AB30">
            <v>2010</v>
          </cell>
          <cell r="AC30">
            <v>2011</v>
          </cell>
          <cell r="AD30">
            <v>2012</v>
          </cell>
          <cell r="AE30">
            <v>2013</v>
          </cell>
        </row>
        <row r="31">
          <cell r="G31" t="str">
            <v>Manufacturing</v>
          </cell>
          <cell r="H31" t="str">
            <v>Food Manufacturing</v>
          </cell>
          <cell r="I31" t="str">
            <v>Manufacturing</v>
          </cell>
          <cell r="J31" t="str">
            <v>Food &amp; Tobacco</v>
          </cell>
          <cell r="K31" t="str">
            <v>Freight</v>
          </cell>
          <cell r="L31" t="str">
            <v>Sales (Inflation Adjusted - 2000$)_ID_3115</v>
          </cell>
          <cell r="M31" t="str">
            <v>ID</v>
          </cell>
          <cell r="N31" t="str">
            <v>Idaho</v>
          </cell>
          <cell r="O31">
            <v>629803398</v>
          </cell>
          <cell r="P31">
            <v>642873377.35000002</v>
          </cell>
          <cell r="Q31">
            <v>827853700.19000006</v>
          </cell>
          <cell r="R31">
            <v>949314310.5</v>
          </cell>
          <cell r="S31">
            <v>824671705.72000003</v>
          </cell>
          <cell r="T31">
            <v>1036558543.99</v>
          </cell>
          <cell r="U31">
            <v>921412882.70000005</v>
          </cell>
          <cell r="V31">
            <v>989557786.60000002</v>
          </cell>
          <cell r="W31">
            <v>1115915065.9000001</v>
          </cell>
          <cell r="X31">
            <v>1206767924.2</v>
          </cell>
          <cell r="Y31">
            <v>1308849574.0699999</v>
          </cell>
          <cell r="Z31">
            <v>1308585287.1199999</v>
          </cell>
          <cell r="AA31">
            <v>1550282951.0999999</v>
          </cell>
          <cell r="AB31">
            <v>1525677268</v>
          </cell>
          <cell r="AC31">
            <v>1548751854</v>
          </cell>
          <cell r="AD31">
            <v>1538633207</v>
          </cell>
          <cell r="AE31">
            <v>1572647948.3599999</v>
          </cell>
        </row>
        <row r="32">
          <cell r="G32" t="str">
            <v>Manufacturing</v>
          </cell>
          <cell r="H32" t="str">
            <v>Food Manufacturing</v>
          </cell>
          <cell r="I32" t="str">
            <v>Manufacturing</v>
          </cell>
          <cell r="J32" t="str">
            <v>Food &amp; Tobacco</v>
          </cell>
          <cell r="K32" t="str">
            <v>Freight</v>
          </cell>
          <cell r="L32" t="str">
            <v>Sales (Inflation Adjusted - 2000$)_MT_3115</v>
          </cell>
          <cell r="M32" t="str">
            <v>MT</v>
          </cell>
          <cell r="N32" t="str">
            <v>Montana</v>
          </cell>
          <cell r="O32">
            <v>157306078.61199999</v>
          </cell>
          <cell r="P32">
            <v>158988866.479</v>
          </cell>
          <cell r="Q32">
            <v>148022659.32499999</v>
          </cell>
          <cell r="R32">
            <v>155196955.574</v>
          </cell>
          <cell r="S32">
            <v>150797506.91999999</v>
          </cell>
          <cell r="T32">
            <v>196689240.5</v>
          </cell>
          <cell r="U32">
            <v>190677159.15799999</v>
          </cell>
          <cell r="V32">
            <v>182341406.83200002</v>
          </cell>
          <cell r="W32">
            <v>229853474.61199999</v>
          </cell>
          <cell r="X32">
            <v>168291733.711</v>
          </cell>
          <cell r="Y32">
            <v>185044294.19700003</v>
          </cell>
          <cell r="Z32">
            <v>230868388.64999998</v>
          </cell>
          <cell r="AA32">
            <v>238708494.85599998</v>
          </cell>
          <cell r="AB32">
            <v>318134630.06999993</v>
          </cell>
          <cell r="AC32">
            <v>310634073.77999997</v>
          </cell>
          <cell r="AD32">
            <v>320834983.16000003</v>
          </cell>
          <cell r="AE32">
            <v>323015623.47000003</v>
          </cell>
        </row>
        <row r="33">
          <cell r="G33" t="str">
            <v>Manufacturing</v>
          </cell>
          <cell r="H33" t="str">
            <v>Food Manufacturing</v>
          </cell>
          <cell r="I33" t="str">
            <v>Manufacturing</v>
          </cell>
          <cell r="J33" t="str">
            <v>Food &amp; Tobacco</v>
          </cell>
          <cell r="K33" t="str">
            <v>Freight</v>
          </cell>
          <cell r="L33" t="str">
            <v>Sales (Inflation Adjusted - 2000$)_OR_3115</v>
          </cell>
          <cell r="M33" t="str">
            <v>OR</v>
          </cell>
          <cell r="N33" t="str">
            <v>Oregon</v>
          </cell>
          <cell r="O33">
            <v>1023141844.83</v>
          </cell>
          <cell r="P33">
            <v>1032526028.86</v>
          </cell>
          <cell r="Q33">
            <v>962715823.98000002</v>
          </cell>
          <cell r="R33">
            <v>1076032289.2</v>
          </cell>
          <cell r="S33">
            <v>1134553263.6399999</v>
          </cell>
          <cell r="T33">
            <v>1277568570.9000001</v>
          </cell>
          <cell r="U33">
            <v>1325282272.8</v>
          </cell>
          <cell r="V33">
            <v>1385460617.0999999</v>
          </cell>
          <cell r="W33">
            <v>1327843272.4000001</v>
          </cell>
          <cell r="X33">
            <v>1262279512.3</v>
          </cell>
          <cell r="Y33">
            <v>1527455277.2</v>
          </cell>
          <cell r="Z33">
            <v>1481428474.1000001</v>
          </cell>
          <cell r="AA33">
            <v>1611305885.4000001</v>
          </cell>
          <cell r="AB33">
            <v>1703912175.9000001</v>
          </cell>
          <cell r="AC33">
            <v>1822716919.9000001</v>
          </cell>
          <cell r="AD33">
            <v>1863138987.4000001</v>
          </cell>
          <cell r="AE33">
            <v>1934947194.0999999</v>
          </cell>
        </row>
        <row r="34">
          <cell r="G34" t="str">
            <v>Manufacturing</v>
          </cell>
          <cell r="H34" t="str">
            <v>Food Manufacturing</v>
          </cell>
          <cell r="I34" t="str">
            <v>Manufacturing</v>
          </cell>
          <cell r="J34" t="str">
            <v>Food &amp; Tobacco</v>
          </cell>
          <cell r="K34" t="str">
            <v>Freight</v>
          </cell>
          <cell r="L34" t="str">
            <v>Sales (Inflation Adjusted - 2000$)_WA_3115</v>
          </cell>
          <cell r="M34" t="str">
            <v>WA</v>
          </cell>
          <cell r="N34" t="str">
            <v>Washington</v>
          </cell>
          <cell r="O34">
            <v>1273438305.8</v>
          </cell>
          <cell r="P34">
            <v>1241509549.7</v>
          </cell>
          <cell r="Q34">
            <v>1106339290.4000001</v>
          </cell>
          <cell r="R34">
            <v>1131175190.4000001</v>
          </cell>
          <cell r="S34">
            <v>972920477.39999998</v>
          </cell>
          <cell r="T34">
            <v>1033088739</v>
          </cell>
          <cell r="U34">
            <v>855709439</v>
          </cell>
          <cell r="V34">
            <v>854666682</v>
          </cell>
          <cell r="W34">
            <v>802092945.5</v>
          </cell>
          <cell r="X34">
            <v>821693254.89999998</v>
          </cell>
          <cell r="Y34">
            <v>979969830</v>
          </cell>
          <cell r="Z34">
            <v>938821206.89999998</v>
          </cell>
          <cell r="AA34">
            <v>1005210320.2</v>
          </cell>
          <cell r="AB34">
            <v>1020262416.5</v>
          </cell>
          <cell r="AC34">
            <v>1129759628</v>
          </cell>
          <cell r="AD34">
            <v>1167452880</v>
          </cell>
          <cell r="AE34">
            <v>1221862862</v>
          </cell>
        </row>
        <row r="36">
          <cell r="G36">
            <v>1711084692.01</v>
          </cell>
          <cell r="H36">
            <v>1745849788.4400001</v>
          </cell>
          <cell r="I36">
            <v>1793842788.48</v>
          </cell>
          <cell r="J36">
            <v>1844031455.0799999</v>
          </cell>
          <cell r="K36">
            <v>1900640702.6900001</v>
          </cell>
          <cell r="L36">
            <v>1957464654.45</v>
          </cell>
          <cell r="M36">
            <v>2024591449.8199999</v>
          </cell>
          <cell r="N36">
            <v>2099484002.3499999</v>
          </cell>
          <cell r="O36">
            <v>2182153011.5999999</v>
          </cell>
          <cell r="P36">
            <v>2284892178.5</v>
          </cell>
          <cell r="Q36">
            <v>2378940927.7800002</v>
          </cell>
          <cell r="R36">
            <v>2484467592.8899999</v>
          </cell>
          <cell r="S36">
            <v>2575806943.77</v>
          </cell>
          <cell r="T36">
            <v>2675193452.4000001</v>
          </cell>
          <cell r="U36">
            <v>2783592126.4000001</v>
          </cell>
          <cell r="V36">
            <v>2887561973.1999998</v>
          </cell>
          <cell r="W36">
            <v>2987701908</v>
          </cell>
          <cell r="X36">
            <v>3105538699.9000001</v>
          </cell>
          <cell r="Y36">
            <v>3188441716.3000002</v>
          </cell>
        </row>
        <row r="37">
          <cell r="G37">
            <v>317274315.14999998</v>
          </cell>
          <cell r="H37">
            <v>317242678.67000002</v>
          </cell>
          <cell r="I37">
            <v>314343281.5</v>
          </cell>
          <cell r="J37">
            <v>315500155.42000002</v>
          </cell>
          <cell r="K37">
            <v>316604185.17000002</v>
          </cell>
          <cell r="L37">
            <v>314025803.90000004</v>
          </cell>
          <cell r="M37">
            <v>312165770.96000004</v>
          </cell>
          <cell r="N37">
            <v>316846772.75</v>
          </cell>
          <cell r="O37">
            <v>317154017.94000006</v>
          </cell>
          <cell r="P37">
            <v>317132831.70999998</v>
          </cell>
          <cell r="Q37">
            <v>329619379.67999995</v>
          </cell>
          <cell r="R37">
            <v>331066865.50999999</v>
          </cell>
          <cell r="S37">
            <v>333952763.74000001</v>
          </cell>
          <cell r="T37">
            <v>338486759.89000005</v>
          </cell>
          <cell r="U37">
            <v>344005985.83999997</v>
          </cell>
          <cell r="V37">
            <v>344015536.36000001</v>
          </cell>
          <cell r="W37">
            <v>352166717.38</v>
          </cell>
          <cell r="X37">
            <v>360257472.30000007</v>
          </cell>
          <cell r="Y37">
            <v>360167672.44999999</v>
          </cell>
        </row>
        <row r="38">
          <cell r="G38">
            <v>2204367746.5</v>
          </cell>
          <cell r="H38">
            <v>2262579257.1000004</v>
          </cell>
          <cell r="I38">
            <v>2319287101.8000002</v>
          </cell>
          <cell r="J38">
            <v>2377721823.3000002</v>
          </cell>
          <cell r="K38">
            <v>2439565476.5999999</v>
          </cell>
          <cell r="L38">
            <v>2511493504.3000002</v>
          </cell>
          <cell r="M38">
            <v>2591814073.3999996</v>
          </cell>
          <cell r="N38">
            <v>2679434278</v>
          </cell>
          <cell r="O38">
            <v>2774540250.3000002</v>
          </cell>
          <cell r="P38">
            <v>2879612349.6999998</v>
          </cell>
          <cell r="Q38">
            <v>2984193071.1999998</v>
          </cell>
          <cell r="R38">
            <v>3092428874</v>
          </cell>
          <cell r="S38">
            <v>3202917778.5999999</v>
          </cell>
          <cell r="T38">
            <v>3332498384.6999998</v>
          </cell>
          <cell r="U38">
            <v>3442249037.4000001</v>
          </cell>
          <cell r="V38">
            <v>3565172330.5999999</v>
          </cell>
          <cell r="W38">
            <v>3708165815.2000003</v>
          </cell>
          <cell r="X38">
            <v>3837626194.8000002</v>
          </cell>
          <cell r="Y38">
            <v>3986119730.8000002</v>
          </cell>
        </row>
        <row r="39">
          <cell r="G39">
            <v>1503739491</v>
          </cell>
          <cell r="H39">
            <v>1577162726</v>
          </cell>
          <cell r="I39">
            <v>1639676320</v>
          </cell>
          <cell r="J39">
            <v>1705797870</v>
          </cell>
          <cell r="K39">
            <v>1761876129</v>
          </cell>
          <cell r="L39">
            <v>1832353919</v>
          </cell>
          <cell r="M39">
            <v>1885834558</v>
          </cell>
          <cell r="N39">
            <v>1950702973</v>
          </cell>
          <cell r="O39">
            <v>2024878252</v>
          </cell>
          <cell r="P39">
            <v>2106253871</v>
          </cell>
          <cell r="Q39">
            <v>2193325448</v>
          </cell>
          <cell r="R39">
            <v>2273964959</v>
          </cell>
          <cell r="S39">
            <v>2356511431</v>
          </cell>
          <cell r="T39">
            <v>2435921000</v>
          </cell>
          <cell r="U39">
            <v>2531172713</v>
          </cell>
          <cell r="V39">
            <v>2621004345</v>
          </cell>
          <cell r="W39">
            <v>2698900541</v>
          </cell>
          <cell r="X39">
            <v>2796518159</v>
          </cell>
          <cell r="Y39">
            <v>2869362843</v>
          </cell>
        </row>
        <row r="40">
          <cell r="G40">
            <v>5736466244.6599998</v>
          </cell>
          <cell r="H40">
            <v>5902834450.210001</v>
          </cell>
          <cell r="I40">
            <v>6067149491.7800007</v>
          </cell>
          <cell r="J40">
            <v>6243051303.8000002</v>
          </cell>
          <cell r="K40">
            <v>6418686493.46</v>
          </cell>
          <cell r="L40">
            <v>6615337881.6499996</v>
          </cell>
          <cell r="M40">
            <v>6814405852.1799994</v>
          </cell>
          <cell r="N40">
            <v>7046468026.1000004</v>
          </cell>
          <cell r="O40">
            <v>7298725531.8400002</v>
          </cell>
          <cell r="P40">
            <v>7587891230.9099998</v>
          </cell>
          <cell r="Q40">
            <v>7886078826.6599998</v>
          </cell>
          <cell r="R40">
            <v>8181928291.3999996</v>
          </cell>
          <cell r="S40">
            <v>8469188917.1100006</v>
          </cell>
          <cell r="T40">
            <v>8782099596.9899998</v>
          </cell>
          <cell r="U40">
            <v>9101019862.6399994</v>
          </cell>
          <cell r="V40">
            <v>9417754185.1599998</v>
          </cell>
          <cell r="W40">
            <v>9746934981.5799999</v>
          </cell>
          <cell r="X40">
            <v>10099940526</v>
          </cell>
          <cell r="Y40">
            <v>10404091962.549999</v>
          </cell>
          <cell r="AB40">
            <v>0</v>
          </cell>
        </row>
        <row r="45">
          <cell r="G45" t="str">
            <v>Montana - Sales</v>
          </cell>
          <cell r="H45" t="str">
            <v>Montana - Production</v>
          </cell>
          <cell r="I45" t="str">
            <v>Oregon - Employment</v>
          </cell>
          <cell r="J45" t="str">
            <v>Oregon - Sales</v>
          </cell>
          <cell r="K45" t="str">
            <v>Oregon - Production</v>
          </cell>
          <cell r="L45" t="str">
            <v>Washington - Employment</v>
          </cell>
          <cell r="M45" t="str">
            <v>Washington - Sales</v>
          </cell>
          <cell r="N45" t="str">
            <v>Washington - Production</v>
          </cell>
          <cell r="S45" t="str">
            <v>Milk cows and production by State and region, 2009-2013 (cont.)</v>
          </cell>
        </row>
        <row r="46">
          <cell r="G46">
            <v>157306078.61199999</v>
          </cell>
          <cell r="H46">
            <v>295</v>
          </cell>
          <cell r="J46">
            <v>1023141844.83</v>
          </cell>
          <cell r="K46">
            <v>1610</v>
          </cell>
          <cell r="M46">
            <v>1273438305.8</v>
          </cell>
          <cell r="N46">
            <v>5305</v>
          </cell>
        </row>
        <row r="47">
          <cell r="G47">
            <v>158988866.479</v>
          </cell>
          <cell r="H47">
            <v>291</v>
          </cell>
          <cell r="J47">
            <v>1032526028.86</v>
          </cell>
          <cell r="K47">
            <v>1583</v>
          </cell>
          <cell r="M47">
            <v>1241509549.7</v>
          </cell>
          <cell r="N47">
            <v>5326</v>
          </cell>
          <cell r="R47" t="str">
            <v>State and region</v>
          </cell>
          <cell r="T47" t="str">
            <v>Milk production</v>
          </cell>
        </row>
        <row r="48">
          <cell r="G48">
            <v>148022659.32499999</v>
          </cell>
          <cell r="H48">
            <v>303</v>
          </cell>
          <cell r="J48">
            <v>962715823.98000002</v>
          </cell>
          <cell r="K48">
            <v>1665</v>
          </cell>
          <cell r="M48">
            <v>1106339290.4000001</v>
          </cell>
          <cell r="N48">
            <v>5535</v>
          </cell>
          <cell r="T48">
            <v>2008</v>
          </cell>
          <cell r="V48">
            <v>2009</v>
          </cell>
          <cell r="X48">
            <v>2010</v>
          </cell>
          <cell r="Z48" t="str">
            <v xml:space="preserve">2011  </v>
          </cell>
          <cell r="AB48" t="str">
            <v>2012</v>
          </cell>
          <cell r="AD48" t="str">
            <v>2013 1/</v>
          </cell>
        </row>
        <row r="49">
          <cell r="G49">
            <v>155196955.574</v>
          </cell>
          <cell r="H49">
            <v>338</v>
          </cell>
          <cell r="J49">
            <v>1076032289.2</v>
          </cell>
          <cell r="K49">
            <v>1640</v>
          </cell>
          <cell r="M49">
            <v>1131175190.4000001</v>
          </cell>
          <cell r="N49">
            <v>5593</v>
          </cell>
        </row>
        <row r="50">
          <cell r="G50">
            <v>150797506.91999999</v>
          </cell>
          <cell r="H50">
            <v>346</v>
          </cell>
          <cell r="J50">
            <v>1134553263.6399999</v>
          </cell>
          <cell r="K50">
            <v>1717</v>
          </cell>
          <cell r="M50">
            <v>972920477.39999998</v>
          </cell>
          <cell r="N50">
            <v>5514</v>
          </cell>
          <cell r="T50" t="str">
            <v>mil. pounds</v>
          </cell>
          <cell r="U50" t="str">
            <v>% US</v>
          </cell>
          <cell r="V50" t="str">
            <v>mil. pounds</v>
          </cell>
          <cell r="W50" t="str">
            <v>% US</v>
          </cell>
          <cell r="X50" t="str">
            <v>mil. pounds</v>
          </cell>
          <cell r="Y50" t="str">
            <v>% US</v>
          </cell>
          <cell r="Z50" t="str">
            <v>mil. pounds</v>
          </cell>
          <cell r="AA50" t="str">
            <v>% US</v>
          </cell>
          <cell r="AB50" t="str">
            <v>mil. pounds</v>
          </cell>
          <cell r="AC50" t="str">
            <v>% US</v>
          </cell>
          <cell r="AD50" t="str">
            <v>mil. pounds</v>
          </cell>
          <cell r="AE50" t="str">
            <v>% US</v>
          </cell>
        </row>
        <row r="51">
          <cell r="G51">
            <v>196689240.5</v>
          </cell>
          <cell r="H51">
            <v>341</v>
          </cell>
          <cell r="J51">
            <v>1277568570.9000001</v>
          </cell>
          <cell r="K51">
            <v>2093</v>
          </cell>
          <cell r="M51">
            <v>1033088739</v>
          </cell>
          <cell r="N51">
            <v>5620</v>
          </cell>
          <cell r="R51" t="str">
            <v xml:space="preserve">  Mountain</v>
          </cell>
          <cell r="T51">
            <v>30247.7</v>
          </cell>
          <cell r="U51">
            <v>0.15921325302409753</v>
          </cell>
          <cell r="V51">
            <v>29750.7</v>
          </cell>
          <cell r="W51">
            <v>0.15713375755808795</v>
          </cell>
          <cell r="X51">
            <v>30359.9</v>
          </cell>
          <cell r="Y51">
            <v>0.15823747061052451</v>
          </cell>
          <cell r="Z51">
            <v>31780.1</v>
          </cell>
          <cell r="AA51">
            <v>0.1620073142656728</v>
          </cell>
          <cell r="AB51">
            <v>32550</v>
          </cell>
          <cell r="AC51">
            <v>0.16231418640949052</v>
          </cell>
          <cell r="AD51">
            <v>32405</v>
          </cell>
          <cell r="AE51">
            <v>0.1610450409259655</v>
          </cell>
        </row>
        <row r="52">
          <cell r="G52">
            <v>190677159.15799999</v>
          </cell>
          <cell r="H52">
            <v>345</v>
          </cell>
          <cell r="J52">
            <v>1325282272.8</v>
          </cell>
          <cell r="K52">
            <v>2177</v>
          </cell>
          <cell r="M52">
            <v>855709439</v>
          </cell>
          <cell r="N52">
            <v>5581</v>
          </cell>
          <cell r="S52" t="str">
            <v>Montana</v>
          </cell>
          <cell r="T52">
            <v>313</v>
          </cell>
          <cell r="U52">
            <v>1.6475219007244361E-3</v>
          </cell>
          <cell r="V52">
            <v>299</v>
          </cell>
          <cell r="W52">
            <v>1.5792231278547494E-3</v>
          </cell>
          <cell r="X52">
            <v>284</v>
          </cell>
          <cell r="Y52">
            <v>1.4802236388587893E-3</v>
          </cell>
          <cell r="Z52">
            <v>288</v>
          </cell>
          <cell r="AA52">
            <v>1.4681548046895311E-3</v>
          </cell>
          <cell r="AB52">
            <v>299</v>
          </cell>
          <cell r="AC52">
            <v>1.4909966739304966E-3</v>
          </cell>
          <cell r="AD52">
            <v>298</v>
          </cell>
          <cell r="AE52">
            <v>1.480988186882818E-3</v>
          </cell>
        </row>
        <row r="53">
          <cell r="G53">
            <v>182341406.83200002</v>
          </cell>
          <cell r="H53">
            <v>348</v>
          </cell>
          <cell r="J53">
            <v>1385460617.0999999</v>
          </cell>
          <cell r="K53">
            <v>2270</v>
          </cell>
          <cell r="M53">
            <v>854666682</v>
          </cell>
          <cell r="N53">
            <v>5416</v>
          </cell>
          <cell r="S53" t="str">
            <v>Idaho</v>
          </cell>
          <cell r="T53">
            <v>12315</v>
          </cell>
          <cell r="U53">
            <v>6.4821828138726612E-2</v>
          </cell>
          <cell r="V53">
            <v>12150</v>
          </cell>
          <cell r="W53">
            <v>6.4172444827542488E-2</v>
          </cell>
          <cell r="X53">
            <v>12746</v>
          </cell>
          <cell r="Y53">
            <v>6.6432853876387782E-2</v>
          </cell>
          <cell r="Z53">
            <v>13256</v>
          </cell>
          <cell r="AA53">
            <v>6.7575903093626474E-2</v>
          </cell>
          <cell r="AB53">
            <v>13558</v>
          </cell>
          <cell r="AC53">
            <v>6.7608471254681182E-2</v>
          </cell>
          <cell r="AD53">
            <v>13431</v>
          </cell>
          <cell r="AE53">
            <v>6.6748833349070905E-2</v>
          </cell>
        </row>
        <row r="54">
          <cell r="G54">
            <v>229853474.61199999</v>
          </cell>
          <cell r="H54">
            <v>372</v>
          </cell>
          <cell r="J54">
            <v>1327843272.4000001</v>
          </cell>
          <cell r="K54">
            <v>2284</v>
          </cell>
          <cell r="M54">
            <v>802092945.5</v>
          </cell>
          <cell r="N54">
            <v>5608</v>
          </cell>
        </row>
        <row r="55">
          <cell r="G55">
            <v>168291733.711</v>
          </cell>
          <cell r="H55">
            <v>354</v>
          </cell>
          <cell r="J55">
            <v>1262279512.3</v>
          </cell>
          <cell r="K55">
            <v>2242</v>
          </cell>
          <cell r="M55">
            <v>821693254.89999998</v>
          </cell>
          <cell r="N55">
            <v>5464</v>
          </cell>
          <cell r="R55" t="str">
            <v xml:space="preserve">  Pacific</v>
          </cell>
          <cell r="T55">
            <v>49178.7</v>
          </cell>
          <cell r="U55">
            <v>0.25885937795257769</v>
          </cell>
          <cell r="V55">
            <v>47348.3</v>
          </cell>
          <cell r="W55">
            <v>0.25007869707225766</v>
          </cell>
          <cell r="X55">
            <v>48650.6</v>
          </cell>
          <cell r="Y55">
            <v>0.25356960621360358</v>
          </cell>
          <cell r="Z55">
            <v>50144.3</v>
          </cell>
          <cell r="AA55">
            <v>0.25562359365553217</v>
          </cell>
          <cell r="AB55">
            <v>50582</v>
          </cell>
          <cell r="AC55">
            <v>0.25223275505268355</v>
          </cell>
          <cell r="AD55">
            <v>50139</v>
          </cell>
          <cell r="AE55">
            <v>0.24917874732254233</v>
          </cell>
        </row>
        <row r="56">
          <cell r="G56">
            <v>185044294.19700003</v>
          </cell>
          <cell r="H56">
            <v>333</v>
          </cell>
          <cell r="J56">
            <v>1527455277.2</v>
          </cell>
          <cell r="K56">
            <v>2233</v>
          </cell>
          <cell r="M56">
            <v>979969830</v>
          </cell>
          <cell r="N56">
            <v>5531</v>
          </cell>
          <cell r="S56" t="str">
            <v>Washington</v>
          </cell>
          <cell r="T56">
            <v>5696</v>
          </cell>
          <cell r="U56">
            <v>2.998174040423766E-2</v>
          </cell>
          <cell r="V56">
            <v>5561</v>
          </cell>
          <cell r="W56">
            <v>2.9371437505017597E-2</v>
          </cell>
          <cell r="X56">
            <v>5885</v>
          </cell>
          <cell r="Y56">
            <v>3.0672944065788646E-2</v>
          </cell>
          <cell r="Z56">
            <v>6169</v>
          </cell>
          <cell r="AA56">
            <v>3.1448079826839295E-2</v>
          </cell>
          <cell r="AB56">
            <v>6234</v>
          </cell>
          <cell r="AC56">
            <v>3.1086532659808413E-2</v>
          </cell>
          <cell r="AD56">
            <v>6336</v>
          </cell>
          <cell r="AE56">
            <v>3.1488393127817232E-2</v>
          </cell>
        </row>
        <row r="57">
          <cell r="G57">
            <v>230868388.64999998</v>
          </cell>
          <cell r="H57">
            <v>313</v>
          </cell>
          <cell r="J57">
            <v>1481428474.1000001</v>
          </cell>
          <cell r="K57">
            <v>2254</v>
          </cell>
          <cell r="M57">
            <v>938821206.89999998</v>
          </cell>
          <cell r="N57">
            <v>5696</v>
          </cell>
          <cell r="S57" t="str">
            <v>Oregon</v>
          </cell>
          <cell r="T57">
            <v>2254</v>
          </cell>
          <cell r="U57">
            <v>1.1864263144513989E-2</v>
          </cell>
          <cell r="V57">
            <v>2248</v>
          </cell>
          <cell r="W57">
            <v>1.1873222713770825E-2</v>
          </cell>
          <cell r="X57">
            <v>2379</v>
          </cell>
          <cell r="Y57">
            <v>1.2399479002975562E-2</v>
          </cell>
          <cell r="Z57">
            <v>2479</v>
          </cell>
          <cell r="AA57">
            <v>1.263734639175468E-2</v>
          </cell>
          <cell r="AB57">
            <v>2513</v>
          </cell>
          <cell r="AC57">
            <v>1.2531353316345611E-2</v>
          </cell>
          <cell r="AD57">
            <v>2514</v>
          </cell>
          <cell r="AE57">
            <v>1.2493974167192633E-2</v>
          </cell>
        </row>
        <row r="58">
          <cell r="G58">
            <v>238708494.85599998</v>
          </cell>
          <cell r="H58">
            <v>299</v>
          </cell>
          <cell r="J58">
            <v>1611305885.4000001</v>
          </cell>
          <cell r="K58">
            <v>2248</v>
          </cell>
          <cell r="M58">
            <v>1005210320.2</v>
          </cell>
          <cell r="N58">
            <v>5561</v>
          </cell>
        </row>
        <row r="59">
          <cell r="G59">
            <v>318134630.06999993</v>
          </cell>
          <cell r="H59">
            <v>284</v>
          </cell>
          <cell r="J59">
            <v>1703912175.9000001</v>
          </cell>
          <cell r="K59">
            <v>2379</v>
          </cell>
          <cell r="M59">
            <v>1020262416.5</v>
          </cell>
          <cell r="N59">
            <v>5885</v>
          </cell>
          <cell r="R59" t="str">
            <v xml:space="preserve">  United States</v>
          </cell>
          <cell r="T59">
            <v>189982.3</v>
          </cell>
          <cell r="U59">
            <v>1</v>
          </cell>
          <cell r="V59">
            <v>189333.6</v>
          </cell>
          <cell r="W59">
            <v>1</v>
          </cell>
          <cell r="X59">
            <v>191862.9</v>
          </cell>
          <cell r="Y59">
            <v>1</v>
          </cell>
          <cell r="Z59">
            <v>196164.6</v>
          </cell>
          <cell r="AA59">
            <v>1</v>
          </cell>
          <cell r="AB59">
            <v>200537</v>
          </cell>
          <cell r="AC59">
            <v>1</v>
          </cell>
          <cell r="AD59">
            <v>201217</v>
          </cell>
          <cell r="AE59">
            <v>1</v>
          </cell>
        </row>
        <row r="60">
          <cell r="G60">
            <v>310634073.77999997</v>
          </cell>
          <cell r="H60">
            <v>288</v>
          </cell>
          <cell r="J60">
            <v>1822716919.9000001</v>
          </cell>
          <cell r="K60">
            <v>2479</v>
          </cell>
          <cell r="M60">
            <v>1129759628</v>
          </cell>
          <cell r="N60">
            <v>6169</v>
          </cell>
        </row>
        <row r="61">
          <cell r="G61">
            <v>320834983.16000003</v>
          </cell>
          <cell r="H61">
            <v>299</v>
          </cell>
          <cell r="J61">
            <v>1863138987.4000001</v>
          </cell>
          <cell r="K61">
            <v>2513</v>
          </cell>
          <cell r="M61">
            <v>1167452880</v>
          </cell>
          <cell r="N61">
            <v>6234</v>
          </cell>
          <cell r="R61" t="str">
            <v>Source:  USDA/NASS Annual Milk Production, Disposition, and Income (PDI) and  Milk Production, various years.</v>
          </cell>
        </row>
        <row r="62">
          <cell r="G62">
            <v>323015623.47000003</v>
          </cell>
          <cell r="H62">
            <v>298</v>
          </cell>
          <cell r="J62">
            <v>1934947194.0999999</v>
          </cell>
          <cell r="K62">
            <v>2514</v>
          </cell>
          <cell r="M62">
            <v>1221862862</v>
          </cell>
          <cell r="N62">
            <v>6336</v>
          </cell>
        </row>
        <row r="63">
          <cell r="G63">
            <v>319071472.87</v>
          </cell>
          <cell r="J63">
            <v>2020589620.3999999</v>
          </cell>
          <cell r="M63">
            <v>1302082730</v>
          </cell>
          <cell r="S63" t="str">
            <v>http://www.ers.usda.gov/data-products/dairy-data.aspx</v>
          </cell>
        </row>
        <row r="64">
          <cell r="G64">
            <v>320041493.44999999</v>
          </cell>
          <cell r="J64">
            <v>2083950219.9000001</v>
          </cell>
          <cell r="M64">
            <v>1366273724</v>
          </cell>
        </row>
        <row r="65">
          <cell r="G65">
            <v>321220236.61000001</v>
          </cell>
          <cell r="J65">
            <v>2146630229.3</v>
          </cell>
          <cell r="M65">
            <v>1436489624</v>
          </cell>
        </row>
        <row r="66">
          <cell r="G66">
            <v>317274315.14999998</v>
          </cell>
          <cell r="J66">
            <v>2204367746.5</v>
          </cell>
          <cell r="M66">
            <v>1503739491</v>
          </cell>
        </row>
        <row r="67">
          <cell r="G67">
            <v>317242678.67000002</v>
          </cell>
          <cell r="J67">
            <v>2262579257.1000004</v>
          </cell>
          <cell r="M67">
            <v>1577162726</v>
          </cell>
        </row>
        <row r="68">
          <cell r="G68">
            <v>314343281.5</v>
          </cell>
          <cell r="J68">
            <v>2319287101.8000002</v>
          </cell>
          <cell r="M68">
            <v>1639676320</v>
          </cell>
        </row>
        <row r="69">
          <cell r="G69">
            <v>315500155.42000002</v>
          </cell>
          <cell r="J69">
            <v>2377721823.3000002</v>
          </cell>
          <cell r="M69">
            <v>1705797870</v>
          </cell>
        </row>
        <row r="70">
          <cell r="G70">
            <v>316604185.17000002</v>
          </cell>
          <cell r="J70">
            <v>2439565476.5999999</v>
          </cell>
          <cell r="M70">
            <v>1761876129</v>
          </cell>
        </row>
        <row r="71">
          <cell r="G71">
            <v>314025803.90000004</v>
          </cell>
          <cell r="J71">
            <v>2511493504.3000002</v>
          </cell>
          <cell r="M71">
            <v>1832353919</v>
          </cell>
        </row>
        <row r="72">
          <cell r="G72">
            <v>312165770.96000004</v>
          </cell>
          <cell r="J72">
            <v>2591814073.3999996</v>
          </cell>
          <cell r="M72">
            <v>1885834558</v>
          </cell>
        </row>
        <row r="73">
          <cell r="G73">
            <v>316846772.75</v>
          </cell>
          <cell r="J73">
            <v>2679434278</v>
          </cell>
          <cell r="M73">
            <v>1950702973</v>
          </cell>
        </row>
        <row r="74">
          <cell r="G74">
            <v>317154017.94000006</v>
          </cell>
          <cell r="J74">
            <v>2774540250.3000002</v>
          </cell>
          <cell r="M74">
            <v>2024878252</v>
          </cell>
        </row>
        <row r="75">
          <cell r="G75">
            <v>317132831.70999998</v>
          </cell>
          <cell r="J75">
            <v>2879612349.6999998</v>
          </cell>
          <cell r="M75">
            <v>2106253871</v>
          </cell>
        </row>
        <row r="76">
          <cell r="G76">
            <v>329619379.67999995</v>
          </cell>
          <cell r="J76">
            <v>2984193071.1999998</v>
          </cell>
          <cell r="M76">
            <v>2193325448</v>
          </cell>
        </row>
        <row r="77">
          <cell r="G77">
            <v>331066865.50999999</v>
          </cell>
          <cell r="J77">
            <v>3092428874</v>
          </cell>
          <cell r="M77">
            <v>2273964959</v>
          </cell>
        </row>
        <row r="78">
          <cell r="G78">
            <v>333952763.74000001</v>
          </cell>
          <cell r="J78">
            <v>3202917778.5999999</v>
          </cell>
          <cell r="M78">
            <v>2356511431</v>
          </cell>
        </row>
        <row r="79">
          <cell r="G79">
            <v>338486759.89000005</v>
          </cell>
          <cell r="J79">
            <v>3332498384.6999998</v>
          </cell>
          <cell r="M79">
            <v>2435921000</v>
          </cell>
        </row>
        <row r="80">
          <cell r="G80">
            <v>344005985.83999997</v>
          </cell>
          <cell r="J80">
            <v>3442249037.4000001</v>
          </cell>
          <cell r="M80">
            <v>2531172713</v>
          </cell>
        </row>
        <row r="81">
          <cell r="G81">
            <v>344015536.36000001</v>
          </cell>
          <cell r="J81">
            <v>3565172330.5999999</v>
          </cell>
          <cell r="M81">
            <v>2621004345</v>
          </cell>
        </row>
        <row r="82">
          <cell r="G82">
            <v>352166717.38</v>
          </cell>
          <cell r="J82">
            <v>3708165815.2000003</v>
          </cell>
          <cell r="M82">
            <v>2698900541</v>
          </cell>
        </row>
        <row r="83">
          <cell r="G83">
            <v>360257472.30000007</v>
          </cell>
          <cell r="J83">
            <v>3837626194.8000002</v>
          </cell>
          <cell r="M83">
            <v>2796518159</v>
          </cell>
        </row>
        <row r="84">
          <cell r="G84">
            <v>360167672.44999999</v>
          </cell>
          <cell r="J84">
            <v>3986119730.8000002</v>
          </cell>
          <cell r="M84">
            <v>2869362843</v>
          </cell>
        </row>
        <row r="88">
          <cell r="G88" t="str">
            <v>Sales</v>
          </cell>
          <cell r="H88" t="str">
            <v>Production</v>
          </cell>
          <cell r="J88" t="str">
            <v>Oregon</v>
          </cell>
          <cell r="K88" t="str">
            <v>Sales</v>
          </cell>
          <cell r="L88" t="str">
            <v>Production</v>
          </cell>
          <cell r="N88" t="str">
            <v>Washington</v>
          </cell>
          <cell r="O88" t="str">
            <v>Sales</v>
          </cell>
          <cell r="P88" t="str">
            <v>Production</v>
          </cell>
        </row>
        <row r="89">
          <cell r="G89">
            <v>157.30607861199999</v>
          </cell>
          <cell r="H89">
            <v>295</v>
          </cell>
          <cell r="J89">
            <v>1997</v>
          </cell>
          <cell r="K89">
            <v>1023.1418448300001</v>
          </cell>
          <cell r="L89">
            <v>1610</v>
          </cell>
          <cell r="N89">
            <v>1997</v>
          </cell>
          <cell r="O89">
            <v>1273.4383057999999</v>
          </cell>
          <cell r="P89">
            <v>5305</v>
          </cell>
        </row>
        <row r="90">
          <cell r="G90">
            <v>158.988866479</v>
          </cell>
          <cell r="H90">
            <v>291</v>
          </cell>
          <cell r="J90">
            <v>1998</v>
          </cell>
          <cell r="K90">
            <v>1032.52602886</v>
          </cell>
          <cell r="L90">
            <v>1583</v>
          </cell>
          <cell r="N90">
            <v>1998</v>
          </cell>
          <cell r="O90">
            <v>1241.5095497</v>
          </cell>
          <cell r="P90">
            <v>5326</v>
          </cell>
        </row>
        <row r="91">
          <cell r="G91">
            <v>148.02265932499998</v>
          </cell>
          <cell r="H91">
            <v>303</v>
          </cell>
          <cell r="J91">
            <v>1999</v>
          </cell>
          <cell r="K91">
            <v>962.71582397999998</v>
          </cell>
          <cell r="L91">
            <v>1665</v>
          </cell>
          <cell r="N91">
            <v>1999</v>
          </cell>
          <cell r="O91">
            <v>1106.3392904000002</v>
          </cell>
          <cell r="P91">
            <v>5535</v>
          </cell>
        </row>
        <row r="92">
          <cell r="G92">
            <v>155.19695557400001</v>
          </cell>
          <cell r="H92">
            <v>338</v>
          </cell>
          <cell r="J92">
            <v>2000</v>
          </cell>
          <cell r="K92">
            <v>1076.0322892000002</v>
          </cell>
          <cell r="L92">
            <v>1640</v>
          </cell>
          <cell r="N92">
            <v>2000</v>
          </cell>
          <cell r="O92">
            <v>1131.1751904</v>
          </cell>
          <cell r="P92">
            <v>5593</v>
          </cell>
        </row>
        <row r="93">
          <cell r="G93">
            <v>150.79750691999999</v>
          </cell>
          <cell r="H93">
            <v>346</v>
          </cell>
          <cell r="J93">
            <v>2001</v>
          </cell>
          <cell r="K93">
            <v>1134.5532636399998</v>
          </cell>
          <cell r="L93">
            <v>1717</v>
          </cell>
          <cell r="N93">
            <v>2001</v>
          </cell>
          <cell r="O93">
            <v>972.92047739999998</v>
          </cell>
          <cell r="P93">
            <v>5514</v>
          </cell>
        </row>
        <row r="94">
          <cell r="G94">
            <v>196.68924050000001</v>
          </cell>
          <cell r="H94">
            <v>341</v>
          </cell>
          <cell r="J94">
            <v>2002</v>
          </cell>
          <cell r="K94">
            <v>1277.5685709000002</v>
          </cell>
          <cell r="L94">
            <v>2093</v>
          </cell>
          <cell r="N94">
            <v>2002</v>
          </cell>
          <cell r="O94">
            <v>1033.088739</v>
          </cell>
          <cell r="P94">
            <v>5620</v>
          </cell>
        </row>
        <row r="95">
          <cell r="G95">
            <v>190.67715915799999</v>
          </cell>
          <cell r="H95">
            <v>345</v>
          </cell>
          <cell r="J95">
            <v>2003</v>
          </cell>
          <cell r="K95">
            <v>1325.2822727999999</v>
          </cell>
          <cell r="L95">
            <v>2177</v>
          </cell>
          <cell r="N95">
            <v>2003</v>
          </cell>
          <cell r="O95">
            <v>855.70943899999997</v>
          </cell>
          <cell r="P95">
            <v>5581</v>
          </cell>
        </row>
        <row r="96">
          <cell r="G96">
            <v>182.34140683200002</v>
          </cell>
          <cell r="H96">
            <v>348</v>
          </cell>
          <cell r="J96">
            <v>2004</v>
          </cell>
          <cell r="K96">
            <v>1385.4606170999998</v>
          </cell>
          <cell r="L96">
            <v>2270</v>
          </cell>
          <cell r="N96">
            <v>2004</v>
          </cell>
          <cell r="O96">
            <v>854.66668200000004</v>
          </cell>
          <cell r="P96">
            <v>5416</v>
          </cell>
        </row>
        <row r="97">
          <cell r="G97">
            <v>229.85347461199999</v>
          </cell>
          <cell r="H97">
            <v>372</v>
          </cell>
          <cell r="J97">
            <v>2005</v>
          </cell>
          <cell r="K97">
            <v>1327.8432724000002</v>
          </cell>
          <cell r="L97">
            <v>2284</v>
          </cell>
          <cell r="N97">
            <v>2005</v>
          </cell>
          <cell r="O97">
            <v>802.09294550000004</v>
          </cell>
          <cell r="P97">
            <v>5608</v>
          </cell>
        </row>
        <row r="98">
          <cell r="G98">
            <v>168.29173371100001</v>
          </cell>
          <cell r="H98">
            <v>354</v>
          </cell>
          <cell r="J98">
            <v>2006</v>
          </cell>
          <cell r="K98">
            <v>1262.2795122999999</v>
          </cell>
          <cell r="L98">
            <v>2242</v>
          </cell>
          <cell r="N98">
            <v>2006</v>
          </cell>
          <cell r="O98">
            <v>821.69325489999994</v>
          </cell>
          <cell r="P98">
            <v>5464</v>
          </cell>
        </row>
        <row r="99">
          <cell r="G99">
            <v>185.04429419700003</v>
          </cell>
          <cell r="H99">
            <v>333</v>
          </cell>
          <cell r="I99">
            <v>333</v>
          </cell>
          <cell r="J99">
            <v>2007</v>
          </cell>
          <cell r="K99">
            <v>1527.4552772</v>
          </cell>
          <cell r="L99">
            <v>2233</v>
          </cell>
          <cell r="M99">
            <v>2233</v>
          </cell>
          <cell r="N99">
            <v>2007</v>
          </cell>
          <cell r="O99">
            <v>979.96983</v>
          </cell>
          <cell r="P99">
            <v>5531</v>
          </cell>
        </row>
        <row r="100">
          <cell r="G100">
            <v>230.86838864999999</v>
          </cell>
          <cell r="H100">
            <v>313</v>
          </cell>
          <cell r="I100">
            <v>313</v>
          </cell>
          <cell r="J100">
            <v>2008</v>
          </cell>
          <cell r="K100">
            <v>1481.4284741000001</v>
          </cell>
          <cell r="L100">
            <v>2254</v>
          </cell>
          <cell r="M100">
            <v>2254</v>
          </cell>
          <cell r="N100">
            <v>2008</v>
          </cell>
          <cell r="O100">
            <v>938.82120689999999</v>
          </cell>
          <cell r="P100">
            <v>5696</v>
          </cell>
        </row>
        <row r="101">
          <cell r="G101">
            <v>238.70849485599999</v>
          </cell>
          <cell r="H101">
            <v>299</v>
          </cell>
          <cell r="I101">
            <v>299</v>
          </cell>
          <cell r="J101">
            <v>2009</v>
          </cell>
          <cell r="K101">
            <v>1611.3058854000001</v>
          </cell>
          <cell r="L101">
            <v>2248</v>
          </cell>
          <cell r="M101">
            <v>2248</v>
          </cell>
          <cell r="N101">
            <v>2009</v>
          </cell>
          <cell r="O101">
            <v>1005.2103202000001</v>
          </cell>
          <cell r="P101">
            <v>5561</v>
          </cell>
        </row>
        <row r="102">
          <cell r="G102">
            <v>318.13463006999996</v>
          </cell>
          <cell r="H102">
            <v>284</v>
          </cell>
          <cell r="I102">
            <v>284</v>
          </cell>
          <cell r="J102">
            <v>2010</v>
          </cell>
          <cell r="K102">
            <v>1703.9121759000002</v>
          </cell>
          <cell r="L102">
            <v>2379</v>
          </cell>
          <cell r="M102">
            <v>2379</v>
          </cell>
          <cell r="N102">
            <v>2010</v>
          </cell>
          <cell r="O102">
            <v>1020.2624165</v>
          </cell>
          <cell r="P102">
            <v>5885</v>
          </cell>
        </row>
        <row r="103">
          <cell r="G103">
            <v>310.63407377999999</v>
          </cell>
          <cell r="H103">
            <v>288</v>
          </cell>
          <cell r="I103">
            <v>288</v>
          </cell>
          <cell r="J103">
            <v>2011</v>
          </cell>
          <cell r="K103">
            <v>1822.7169199</v>
          </cell>
          <cell r="L103">
            <v>2479</v>
          </cell>
          <cell r="M103">
            <v>2479</v>
          </cell>
          <cell r="N103">
            <v>2011</v>
          </cell>
          <cell r="O103">
            <v>1129.759628</v>
          </cell>
          <cell r="P103">
            <v>6169</v>
          </cell>
        </row>
        <row r="104">
          <cell r="G104">
            <v>320.83498316000004</v>
          </cell>
          <cell r="H104">
            <v>299</v>
          </cell>
          <cell r="I104">
            <v>299</v>
          </cell>
          <cell r="J104">
            <v>2012</v>
          </cell>
          <cell r="K104">
            <v>1863.1389874000001</v>
          </cell>
          <cell r="L104">
            <v>2513</v>
          </cell>
          <cell r="M104">
            <v>2513</v>
          </cell>
          <cell r="N104">
            <v>2012</v>
          </cell>
          <cell r="O104">
            <v>1167.4528800000001</v>
          </cell>
          <cell r="P104">
            <v>6234</v>
          </cell>
        </row>
        <row r="105">
          <cell r="G105">
            <v>323.01562347000004</v>
          </cell>
          <cell r="H105">
            <v>298</v>
          </cell>
          <cell r="I105">
            <v>298</v>
          </cell>
          <cell r="J105">
            <v>2013</v>
          </cell>
          <cell r="K105">
            <v>1934.9471940999999</v>
          </cell>
          <cell r="L105">
            <v>2514</v>
          </cell>
          <cell r="M105">
            <v>2514</v>
          </cell>
          <cell r="N105">
            <v>2013</v>
          </cell>
          <cell r="O105">
            <v>1221.862862</v>
          </cell>
          <cell r="P105">
            <v>6336</v>
          </cell>
        </row>
        <row r="106">
          <cell r="G106">
            <v>319.07147286999998</v>
          </cell>
          <cell r="H106">
            <v>302.76131756126233</v>
          </cell>
          <cell r="I106">
            <v>299.47815459668072</v>
          </cell>
          <cell r="J106">
            <v>2014</v>
          </cell>
          <cell r="K106">
            <v>2020.5896203999998</v>
          </cell>
          <cell r="L106">
            <v>2659.4969224070219</v>
          </cell>
          <cell r="M106">
            <v>2721.6170570166196</v>
          </cell>
          <cell r="N106">
            <v>2014</v>
          </cell>
          <cell r="O106">
            <v>1302.0827300000001</v>
          </cell>
          <cell r="P106">
            <v>6195.1650315784418</v>
          </cell>
        </row>
        <row r="107">
          <cell r="G107">
            <v>320.04149344999996</v>
          </cell>
          <cell r="H107">
            <v>302.63604149212875</v>
          </cell>
          <cell r="I107">
            <v>299.28188401669991</v>
          </cell>
          <cell r="J107">
            <v>2015</v>
          </cell>
          <cell r="K107">
            <v>2083.9502199000003</v>
          </cell>
          <cell r="L107">
            <v>2702.7077118393454</v>
          </cell>
          <cell r="M107">
            <v>2783.5952297346525</v>
          </cell>
          <cell r="N107">
            <v>2015</v>
          </cell>
          <cell r="O107">
            <v>1366.2737239999999</v>
          </cell>
          <cell r="P107">
            <v>6297.8724834735058</v>
          </cell>
        </row>
        <row r="108">
          <cell r="G108">
            <v>321.22023661000003</v>
          </cell>
          <cell r="H108">
            <v>302.4843194019968</v>
          </cell>
          <cell r="I108">
            <v>299.0433812380665</v>
          </cell>
          <cell r="J108">
            <v>2016</v>
          </cell>
          <cell r="K108">
            <v>2146.6302292999999</v>
          </cell>
          <cell r="L108">
            <v>2744.180551622544</v>
          </cell>
          <cell r="M108">
            <v>2844.9076617384098</v>
          </cell>
          <cell r="N108">
            <v>2016</v>
          </cell>
          <cell r="O108">
            <v>1436.489624</v>
          </cell>
          <cell r="P108">
            <v>6410.2199596867358</v>
          </cell>
        </row>
        <row r="109">
          <cell r="G109">
            <v>317.27431514999995</v>
          </cell>
          <cell r="H109">
            <v>302.9944263448574</v>
          </cell>
          <cell r="I109">
            <v>299.84178521987985</v>
          </cell>
          <cell r="J109">
            <v>2017</v>
          </cell>
          <cell r="K109">
            <v>2204.3677465000001</v>
          </cell>
          <cell r="L109">
            <v>2781.3253166710429</v>
          </cell>
          <cell r="M109">
            <v>2901.3854388044556</v>
          </cell>
          <cell r="N109">
            <v>2017</v>
          </cell>
          <cell r="O109">
            <v>1503.739491</v>
          </cell>
          <cell r="P109">
            <v>6517.8216970870308</v>
          </cell>
        </row>
        <row r="110">
          <cell r="G110">
            <v>317.24267867000003</v>
          </cell>
          <cell r="H110">
            <v>302.99854171936556</v>
          </cell>
          <cell r="I110">
            <v>299.84818643487068</v>
          </cell>
          <cell r="J110">
            <v>2018</v>
          </cell>
          <cell r="K110">
            <v>2262.5792571000002</v>
          </cell>
          <cell r="L110">
            <v>2817.8028576592669</v>
          </cell>
          <cell r="M110">
            <v>2958.3268674938163</v>
          </cell>
          <cell r="N110">
            <v>2018</v>
          </cell>
          <cell r="O110">
            <v>1577.162726</v>
          </cell>
          <cell r="P110">
            <v>6635.301002310789</v>
          </cell>
        </row>
        <row r="111">
          <cell r="G111">
            <v>314.34328149999999</v>
          </cell>
          <cell r="H111">
            <v>303.37745755767685</v>
          </cell>
          <cell r="I111">
            <v>300.4348403429255</v>
          </cell>
          <cell r="J111">
            <v>2019</v>
          </cell>
          <cell r="K111">
            <v>2319.2871018000001</v>
          </cell>
          <cell r="L111">
            <v>2852.4466796581391</v>
          </cell>
          <cell r="M111">
            <v>3013.7974378643494</v>
          </cell>
          <cell r="N111">
            <v>2019</v>
          </cell>
          <cell r="O111">
            <v>1639.67632</v>
          </cell>
          <cell r="P111">
            <v>6735.3245655623969</v>
          </cell>
        </row>
        <row r="112">
          <cell r="G112">
            <v>315.50015542</v>
          </cell>
          <cell r="H112">
            <v>303.22585086442132</v>
          </cell>
          <cell r="I112">
            <v>300.20076251001694</v>
          </cell>
          <cell r="J112">
            <v>2020</v>
          </cell>
          <cell r="K112">
            <v>2377.7218233000003</v>
          </cell>
          <cell r="L112">
            <v>2887.2703785501863</v>
          </cell>
          <cell r="M112">
            <v>3070.9572073494401</v>
          </cell>
          <cell r="N112">
            <v>2020</v>
          </cell>
          <cell r="O112">
            <v>1705.7978700000001</v>
          </cell>
          <cell r="P112">
            <v>6841.1209630422682</v>
          </cell>
        </row>
        <row r="113">
          <cell r="G113">
            <v>316.60418516999999</v>
          </cell>
          <cell r="H113">
            <v>303.08168683583153</v>
          </cell>
          <cell r="I113">
            <v>299.97737698210523</v>
          </cell>
          <cell r="J113">
            <v>2021</v>
          </cell>
          <cell r="K113">
            <v>2439.5654765999998</v>
          </cell>
          <cell r="L113">
            <v>2923.2055190854799</v>
          </cell>
          <cell r="M113">
            <v>3131.4515312035173</v>
          </cell>
          <cell r="N113">
            <v>2021</v>
          </cell>
          <cell r="O113">
            <v>1761.876129</v>
          </cell>
          <cell r="P113">
            <v>6930.8478036735478</v>
          </cell>
        </row>
        <row r="114">
          <cell r="G114">
            <v>314.02580390000003</v>
          </cell>
          <cell r="H114">
            <v>303.41916012380017</v>
          </cell>
          <cell r="I114">
            <v>300.49907765290391</v>
          </cell>
          <cell r="J114">
            <v>2022</v>
          </cell>
          <cell r="K114">
            <v>2511.4935043</v>
          </cell>
          <cell r="L114">
            <v>2963.8717110873577</v>
          </cell>
          <cell r="M114">
            <v>3201.8102045626301</v>
          </cell>
          <cell r="N114">
            <v>2022</v>
          </cell>
          <cell r="O114">
            <v>1832.3539189999999</v>
          </cell>
          <cell r="P114">
            <v>7043.6143114814095</v>
          </cell>
        </row>
        <row r="115">
          <cell r="G115">
            <v>312.16577096000003</v>
          </cell>
          <cell r="H115">
            <v>303.66433680226078</v>
          </cell>
          <cell r="I115">
            <v>300.87543022876076</v>
          </cell>
          <cell r="J115">
            <v>2023</v>
          </cell>
          <cell r="K115">
            <v>2591.8140733999994</v>
          </cell>
          <cell r="L115">
            <v>3007.9285968792492</v>
          </cell>
          <cell r="M115">
            <v>3280.3783075126412</v>
          </cell>
          <cell r="N115">
            <v>2023</v>
          </cell>
          <cell r="O115">
            <v>1885.834558</v>
          </cell>
          <cell r="P115">
            <v>7129.184884783479</v>
          </cell>
        </row>
        <row r="116">
          <cell r="G116">
            <v>316.84677275000001</v>
          </cell>
          <cell r="H116">
            <v>303.05007715937325</v>
          </cell>
          <cell r="I116">
            <v>299.9282926574997</v>
          </cell>
          <cell r="J116">
            <v>2024</v>
          </cell>
          <cell r="K116">
            <v>2679.4342780000002</v>
          </cell>
          <cell r="L116">
            <v>3054.4586648127197</v>
          </cell>
          <cell r="M116">
            <v>3366.0867796095345</v>
          </cell>
          <cell r="N116">
            <v>2024</v>
          </cell>
          <cell r="O116">
            <v>1950.7029729999999</v>
          </cell>
          <cell r="P116">
            <v>7232.9762299232898</v>
          </cell>
        </row>
        <row r="117">
          <cell r="G117">
            <v>317.15401794000007</v>
          </cell>
          <cell r="H117">
            <v>303.01007717776395</v>
          </cell>
          <cell r="I117">
            <v>299.86612573766217</v>
          </cell>
          <cell r="J117">
            <v>2025</v>
          </cell>
          <cell r="K117">
            <v>2774.5402503</v>
          </cell>
          <cell r="L117">
            <v>3103.2723514737127</v>
          </cell>
          <cell r="M117">
            <v>3459.1176919468744</v>
          </cell>
          <cell r="N117">
            <v>2025</v>
          </cell>
          <cell r="O117">
            <v>2024.878252</v>
          </cell>
          <cell r="P117">
            <v>7351.6588273558118</v>
          </cell>
        </row>
        <row r="118">
          <cell r="G118">
            <v>317.13283171</v>
          </cell>
          <cell r="H118">
            <v>303.01283415030065</v>
          </cell>
          <cell r="I118">
            <v>299.87041248552657</v>
          </cell>
          <cell r="J118">
            <v>2026</v>
          </cell>
          <cell r="K118">
            <v>2879.6123496999999</v>
          </cell>
          <cell r="L118">
            <v>3155.2926430989965</v>
          </cell>
          <cell r="M118">
            <v>3561.8972864559109</v>
          </cell>
          <cell r="N118">
            <v>2026</v>
          </cell>
          <cell r="O118">
            <v>2106.2538709999999</v>
          </cell>
          <cell r="P118">
            <v>7481.8621775932852</v>
          </cell>
        </row>
        <row r="119">
          <cell r="G119">
            <v>329.61937967999995</v>
          </cell>
          <cell r="H119">
            <v>301.41907423058802</v>
          </cell>
          <cell r="I119">
            <v>297.34392793194127</v>
          </cell>
          <cell r="J119">
            <v>2027</v>
          </cell>
          <cell r="K119">
            <v>2984.1930711999998</v>
          </cell>
          <cell r="L119">
            <v>3205.2179835947745</v>
          </cell>
          <cell r="M119">
            <v>3664.196224143574</v>
          </cell>
          <cell r="N119">
            <v>2027</v>
          </cell>
          <cell r="O119">
            <v>2193.3254480000001</v>
          </cell>
          <cell r="P119">
            <v>7621.1792258096575</v>
          </cell>
        </row>
        <row r="120">
          <cell r="G120">
            <v>331.06686551000001</v>
          </cell>
          <cell r="H120">
            <v>301.23823851251768</v>
          </cell>
          <cell r="I120">
            <v>297.05104869904079</v>
          </cell>
          <cell r="J120">
            <v>2028</v>
          </cell>
          <cell r="K120">
            <v>3092.4288740000002</v>
          </cell>
          <cell r="L120">
            <v>3255.0785902298294</v>
          </cell>
          <cell r="M120">
            <v>3770.070495112448</v>
          </cell>
          <cell r="N120">
            <v>2028</v>
          </cell>
          <cell r="O120">
            <v>2273.9649589999999</v>
          </cell>
          <cell r="P120">
            <v>7750.2047819005002</v>
          </cell>
        </row>
        <row r="121">
          <cell r="G121">
            <v>333.95276374000002</v>
          </cell>
          <cell r="H121">
            <v>300.88004828067164</v>
          </cell>
          <cell r="I121">
            <v>296.46712611941098</v>
          </cell>
          <cell r="J121">
            <v>2029</v>
          </cell>
          <cell r="K121">
            <v>3202.9177786</v>
          </cell>
          <cell r="L121">
            <v>3304.2085620815005</v>
          </cell>
          <cell r="M121">
            <v>3878.1487088093527</v>
          </cell>
          <cell r="N121">
            <v>2029</v>
          </cell>
          <cell r="O121">
            <v>2356.5114309999999</v>
          </cell>
          <cell r="P121">
            <v>7882.2815308919107</v>
          </cell>
        </row>
        <row r="122">
          <cell r="G122">
            <v>338.48675989000003</v>
          </cell>
          <cell r="H122">
            <v>300.32350497753021</v>
          </cell>
          <cell r="I122">
            <v>295.54973315647896</v>
          </cell>
          <cell r="J122">
            <v>2030</v>
          </cell>
          <cell r="K122">
            <v>3332.4983846999999</v>
          </cell>
          <cell r="L122">
            <v>3359.7128554945239</v>
          </cell>
          <cell r="M122">
            <v>4004.90207366306</v>
          </cell>
          <cell r="N122">
            <v>2030</v>
          </cell>
          <cell r="O122">
            <v>2435.9209999999998</v>
          </cell>
          <cell r="P122">
            <v>8009.3391441152744</v>
          </cell>
        </row>
        <row r="123">
          <cell r="G123">
            <v>344.00598583999999</v>
          </cell>
          <cell r="H123">
            <v>299.65600067965477</v>
          </cell>
          <cell r="I123">
            <v>294.43299223305291</v>
          </cell>
          <cell r="J123">
            <v>2031</v>
          </cell>
          <cell r="K123">
            <v>3442.2490373999999</v>
          </cell>
          <cell r="L123">
            <v>3405.0605171911329</v>
          </cell>
          <cell r="M123">
            <v>4112.258142933797</v>
          </cell>
          <cell r="N123">
            <v>2031</v>
          </cell>
          <cell r="O123">
            <v>2531.1727129999999</v>
          </cell>
          <cell r="P123">
            <v>8161.7446471500134</v>
          </cell>
        </row>
        <row r="124">
          <cell r="G124">
            <v>344.01553636</v>
          </cell>
          <cell r="H124">
            <v>299.65485493072765</v>
          </cell>
          <cell r="I124">
            <v>294.43105981415562</v>
          </cell>
          <cell r="K124">
            <v>3565.1723305999999</v>
          </cell>
          <cell r="L124">
            <v>3454.1652559274162</v>
          </cell>
          <cell r="M124">
            <v>4232.4994467904453</v>
          </cell>
          <cell r="N124">
            <v>2032</v>
          </cell>
          <cell r="O124">
            <v>2621.0043449999998</v>
          </cell>
          <cell r="P124">
            <v>8305.4778634060985</v>
          </cell>
        </row>
        <row r="125">
          <cell r="G125">
            <v>352.16671738000002</v>
          </cell>
          <cell r="H125">
            <v>298.68839934499135</v>
          </cell>
          <cell r="I125">
            <v>292.78177828414539</v>
          </cell>
          <cell r="K125">
            <v>3708.1658152000005</v>
          </cell>
          <cell r="L125">
            <v>3509.2005551615157</v>
          </cell>
          <cell r="M125">
            <v>4372.3730426217498</v>
          </cell>
          <cell r="N125">
            <v>2033</v>
          </cell>
          <cell r="O125">
            <v>2698.900541</v>
          </cell>
          <cell r="P125">
            <v>8430.1140359426772</v>
          </cell>
        </row>
        <row r="126">
          <cell r="G126">
            <v>360.25747230000007</v>
          </cell>
          <cell r="H126">
            <v>297.75098083368539</v>
          </cell>
          <cell r="I126">
            <v>291.14472316039655</v>
          </cell>
          <cell r="K126">
            <v>3837.6261948000001</v>
          </cell>
          <cell r="L126">
            <v>3557.2266817524842</v>
          </cell>
          <cell r="M126">
            <v>4499.0088041250929</v>
          </cell>
          <cell r="N126">
            <v>2034</v>
          </cell>
          <cell r="O126">
            <v>2796.5181590000002</v>
          </cell>
          <cell r="P126">
            <v>8586.3050555870468</v>
          </cell>
        </row>
        <row r="127">
          <cell r="G127">
            <v>360.16767245</v>
          </cell>
          <cell r="H127">
            <v>297.76126931363558</v>
          </cell>
          <cell r="I127">
            <v>291.16289294875475</v>
          </cell>
          <cell r="K127">
            <v>3986.1197308000001</v>
          </cell>
          <cell r="L127">
            <v>3610.3576666465606</v>
          </cell>
          <cell r="M127">
            <v>4644.2624490455355</v>
          </cell>
          <cell r="N127">
            <v>2035</v>
          </cell>
          <cell r="O127">
            <v>2869.3628429999999</v>
          </cell>
          <cell r="P127">
            <v>8702.858662433222</v>
          </cell>
        </row>
        <row r="156">
          <cell r="G156">
            <v>2017</v>
          </cell>
          <cell r="H156">
            <v>2018</v>
          </cell>
          <cell r="I156">
            <v>2019</v>
          </cell>
          <cell r="J156">
            <v>2020</v>
          </cell>
          <cell r="K156">
            <v>2021</v>
          </cell>
          <cell r="L156">
            <v>2022</v>
          </cell>
          <cell r="M156">
            <v>2023</v>
          </cell>
          <cell r="N156">
            <v>2024</v>
          </cell>
          <cell r="O156">
            <v>2025</v>
          </cell>
          <cell r="P156">
            <v>2026</v>
          </cell>
          <cell r="Q156">
            <v>2027</v>
          </cell>
          <cell r="R156">
            <v>2028</v>
          </cell>
          <cell r="S156">
            <v>2029</v>
          </cell>
          <cell r="T156">
            <v>2030</v>
          </cell>
          <cell r="U156">
            <v>2031</v>
          </cell>
          <cell r="V156">
            <v>2032</v>
          </cell>
          <cell r="W156">
            <v>2033</v>
          </cell>
          <cell r="X156">
            <v>2034</v>
          </cell>
          <cell r="Y156">
            <v>2035</v>
          </cell>
        </row>
        <row r="157">
          <cell r="G157">
            <v>13842.907114251881</v>
          </cell>
          <cell r="H157">
            <v>14023.216425344392</v>
          </cell>
          <cell r="I157">
            <v>14266.319353967396</v>
          </cell>
          <cell r="J157">
            <v>14513.683501515552</v>
          </cell>
          <cell r="K157">
            <v>14784.738793280194</v>
          </cell>
          <cell r="L157">
            <v>15048.82150982591</v>
          </cell>
          <cell r="M157">
            <v>15351.081667959821</v>
          </cell>
          <cell r="N157">
            <v>15676.70161423125</v>
          </cell>
          <cell r="O157">
            <v>16022.910400199034</v>
          </cell>
          <cell r="P157">
            <v>16435.334001552066</v>
          </cell>
          <cell r="Q157">
            <v>16796.9270935268</v>
          </cell>
          <cell r="R157">
            <v>17186.008838626629</v>
          </cell>
          <cell r="S157">
            <v>17509.663776252026</v>
          </cell>
          <cell r="T157">
            <v>17849.045518001847</v>
          </cell>
          <cell r="U157">
            <v>18205.116228437721</v>
          </cell>
          <cell r="V157">
            <v>18533.843580326749</v>
          </cell>
          <cell r="W157">
            <v>18839.457555909743</v>
          </cell>
          <cell r="X157">
            <v>19186.22471079613</v>
          </cell>
          <cell r="Y157">
            <v>19422.392838095242</v>
          </cell>
        </row>
        <row r="158">
          <cell r="G158">
            <v>90.898327903457215</v>
          </cell>
          <cell r="H158">
            <v>90.899562515809663</v>
          </cell>
          <cell r="I158">
            <v>91.013237267303055</v>
          </cell>
          <cell r="J158">
            <v>90.967755259326395</v>
          </cell>
          <cell r="K158">
            <v>90.924506050749457</v>
          </cell>
          <cell r="L158">
            <v>91.025748037140048</v>
          </cell>
          <cell r="M158">
            <v>91.099301040678228</v>
          </cell>
          <cell r="N158">
            <v>90.915023147811965</v>
          </cell>
          <cell r="O158">
            <v>90.903023153329187</v>
          </cell>
          <cell r="P158">
            <v>90.903850245090197</v>
          </cell>
          <cell r="Q158">
            <v>90.425722269176404</v>
          </cell>
          <cell r="R158">
            <v>90.371471553755299</v>
          </cell>
          <cell r="S158">
            <v>90.264014484201496</v>
          </cell>
          <cell r="T158">
            <v>90.097051493259059</v>
          </cell>
          <cell r="U158">
            <v>89.896800203896433</v>
          </cell>
          <cell r="V158">
            <v>89.896456479218287</v>
          </cell>
          <cell r="W158">
            <v>89.606519803497406</v>
          </cell>
          <cell r="X158">
            <v>89.325294250105614</v>
          </cell>
          <cell r="Y158">
            <v>89.328380794090677</v>
          </cell>
        </row>
        <row r="159">
          <cell r="G159">
            <v>2781.3253166710429</v>
          </cell>
          <cell r="H159">
            <v>2817.8028576592669</v>
          </cell>
          <cell r="I159">
            <v>2852.4466796581391</v>
          </cell>
          <cell r="J159">
            <v>2887.2703785501863</v>
          </cell>
          <cell r="K159">
            <v>2923.2055190854799</v>
          </cell>
          <cell r="L159">
            <v>2963.8717110873577</v>
          </cell>
          <cell r="M159">
            <v>3007.9285968792492</v>
          </cell>
          <cell r="N159">
            <v>3054.4586648127197</v>
          </cell>
          <cell r="O159">
            <v>3103.2723514737127</v>
          </cell>
          <cell r="P159">
            <v>3155.2926430989965</v>
          </cell>
          <cell r="Q159">
            <v>3205.2179835947745</v>
          </cell>
          <cell r="R159">
            <v>3255.0785902298294</v>
          </cell>
          <cell r="S159">
            <v>3304.2085620815005</v>
          </cell>
          <cell r="T159">
            <v>3359.7128554945239</v>
          </cell>
          <cell r="U159">
            <v>3405.0605171911329</v>
          </cell>
          <cell r="V159">
            <v>3454.1652559274162</v>
          </cell>
          <cell r="W159">
            <v>3509.2005551615157</v>
          </cell>
          <cell r="X159">
            <v>3557.2266817524842</v>
          </cell>
          <cell r="Y159">
            <v>3610.3576666465606</v>
          </cell>
        </row>
        <row r="160">
          <cell r="G160">
            <v>6527.6845985495966</v>
          </cell>
          <cell r="H160">
            <v>6648.0748527559354</v>
          </cell>
          <cell r="I160">
            <v>6750.5768396680051</v>
          </cell>
          <cell r="J160">
            <v>6858.9947023924851</v>
          </cell>
          <cell r="K160">
            <v>6950.9448303929594</v>
          </cell>
          <cell r="L160">
            <v>7066.5055116132971</v>
          </cell>
          <cell r="M160">
            <v>7154.1963866384513</v>
          </cell>
          <cell r="N160">
            <v>7260.5595150379595</v>
          </cell>
          <cell r="O160">
            <v>7382.1828771063319</v>
          </cell>
          <cell r="P160">
            <v>7515.612457778011</v>
          </cell>
          <cell r="Q160">
            <v>7658.3815592644387</v>
          </cell>
          <cell r="R160">
            <v>7790.6041619373518</v>
          </cell>
          <cell r="S160">
            <v>7925.9535611829233</v>
          </cell>
          <cell r="T160">
            <v>8056.1594585167277</v>
          </cell>
          <cell r="U160">
            <v>8212.3413257643278</v>
          </cell>
          <cell r="V160">
            <v>8359.6360208598271</v>
          </cell>
          <cell r="W160">
            <v>8487.3604780857568</v>
          </cell>
          <cell r="X160">
            <v>8647.4216609802097</v>
          </cell>
          <cell r="Y160">
            <v>8766.8632794861296</v>
          </cell>
        </row>
        <row r="161">
          <cell r="G161">
            <v>23242.815357375977</v>
          </cell>
          <cell r="H161">
            <v>23579.993698275401</v>
          </cell>
          <cell r="I161">
            <v>23960.356110560846</v>
          </cell>
          <cell r="J161">
            <v>24350.91633771755</v>
          </cell>
          <cell r="K161">
            <v>24749.813648809384</v>
          </cell>
          <cell r="L161">
            <v>25170.224480563706</v>
          </cell>
          <cell r="M161">
            <v>25604.3059525182</v>
          </cell>
          <cell r="N161">
            <v>26082.63481722974</v>
          </cell>
          <cell r="O161">
            <v>26599.268651932405</v>
          </cell>
          <cell r="P161">
            <v>27197.142952674163</v>
          </cell>
          <cell r="Q161">
            <v>27750.952358655191</v>
          </cell>
          <cell r="R161">
            <v>28322.063062347566</v>
          </cell>
          <cell r="S161">
            <v>28830.089914000651</v>
          </cell>
          <cell r="T161">
            <v>29355.014883506359</v>
          </cell>
          <cell r="U161">
            <v>29912.41487159708</v>
          </cell>
          <cell r="V161">
            <v>30437.54131359321</v>
          </cell>
          <cell r="W161">
            <v>30925.62510896051</v>
          </cell>
          <cell r="X161">
            <v>31480.198347778929</v>
          </cell>
          <cell r="Y161">
            <v>31888.942165022021</v>
          </cell>
          <cell r="AB161">
            <v>0</v>
          </cell>
        </row>
      </sheetData>
      <sheetData sheetId="20">
        <row r="3">
          <cell r="H3">
            <v>2018</v>
          </cell>
        </row>
        <row r="4">
          <cell r="H4">
            <v>14023.216425344392</v>
          </cell>
        </row>
      </sheetData>
      <sheetData sheetId="21">
        <row r="3">
          <cell r="H3">
            <v>2018</v>
          </cell>
        </row>
        <row r="4">
          <cell r="H4">
            <v>14023.216425344392</v>
          </cell>
        </row>
      </sheetData>
      <sheetData sheetId="22">
        <row r="4">
          <cell r="H4">
            <v>2021</v>
          </cell>
        </row>
      </sheetData>
      <sheetData sheetId="23">
        <row r="4">
          <cell r="H4">
            <v>2021</v>
          </cell>
        </row>
      </sheetData>
      <sheetData sheetId="24">
        <row r="4">
          <cell r="H4">
            <v>2021</v>
          </cell>
        </row>
      </sheetData>
      <sheetData sheetId="25">
        <row r="20">
          <cell r="H20">
            <v>22309.51</v>
          </cell>
          <cell r="J20">
            <v>2020</v>
          </cell>
          <cell r="K20">
            <v>30517.62</v>
          </cell>
          <cell r="L20">
            <v>30224.53</v>
          </cell>
          <cell r="M20">
            <v>31240.25</v>
          </cell>
          <cell r="N20">
            <v>30940.36</v>
          </cell>
          <cell r="O20">
            <v>32058.65</v>
          </cell>
          <cell r="P20">
            <v>31753.85</v>
          </cell>
        </row>
        <row r="21">
          <cell r="G21">
            <v>22567.200000000001</v>
          </cell>
          <cell r="H21">
            <v>22551.94</v>
          </cell>
          <cell r="J21">
            <v>2021</v>
          </cell>
          <cell r="K21">
            <v>30579.58</v>
          </cell>
          <cell r="L21">
            <v>30284.62</v>
          </cell>
          <cell r="M21">
            <v>31379.48</v>
          </cell>
          <cell r="N21">
            <v>31076.62</v>
          </cell>
          <cell r="O21">
            <v>32325.31</v>
          </cell>
          <cell r="P21">
            <v>32016.73</v>
          </cell>
        </row>
        <row r="22">
          <cell r="G22">
            <v>22814.09</v>
          </cell>
          <cell r="H22">
            <v>22811.360000000001</v>
          </cell>
          <cell r="J22">
            <v>2022</v>
          </cell>
          <cell r="K22">
            <v>30652.03</v>
          </cell>
          <cell r="L22">
            <v>30355.66</v>
          </cell>
          <cell r="M22">
            <v>31536.59</v>
          </cell>
          <cell r="N22">
            <v>31231.13</v>
          </cell>
          <cell r="O22">
            <v>32611.46</v>
          </cell>
          <cell r="P22">
            <v>32299.52</v>
          </cell>
        </row>
        <row r="23">
          <cell r="G23">
            <v>23071.37</v>
          </cell>
          <cell r="H23">
            <v>23082.07</v>
          </cell>
          <cell r="J23">
            <v>2023</v>
          </cell>
          <cell r="K23">
            <v>30752.01</v>
          </cell>
          <cell r="L23">
            <v>30454.71</v>
          </cell>
          <cell r="M23">
            <v>31707.63</v>
          </cell>
          <cell r="N23">
            <v>31399.98</v>
          </cell>
          <cell r="O23">
            <v>32907.730000000003</v>
          </cell>
          <cell r="P23">
            <v>32592.82</v>
          </cell>
        </row>
        <row r="24">
          <cell r="G24">
            <v>23333.49</v>
          </cell>
          <cell r="H24">
            <v>23358.51</v>
          </cell>
          <cell r="J24">
            <v>2024</v>
          </cell>
          <cell r="K24">
            <v>30868.21</v>
          </cell>
          <cell r="L24">
            <v>30570.46</v>
          </cell>
          <cell r="M24">
            <v>31899.38</v>
          </cell>
          <cell r="N24">
            <v>31589.91</v>
          </cell>
          <cell r="O24">
            <v>33211.82</v>
          </cell>
          <cell r="P24">
            <v>32894.300000000003</v>
          </cell>
        </row>
        <row r="25">
          <cell r="G25">
            <v>23616.99</v>
          </cell>
          <cell r="H25">
            <v>23657.24</v>
          </cell>
          <cell r="J25">
            <v>2025</v>
          </cell>
          <cell r="K25">
            <v>30992.73</v>
          </cell>
          <cell r="L25">
            <v>30694.959999999999</v>
          </cell>
          <cell r="M25">
            <v>32111.85</v>
          </cell>
          <cell r="N25">
            <v>31800.86</v>
          </cell>
          <cell r="O25">
            <v>33537.67</v>
          </cell>
          <cell r="P25">
            <v>33217.839999999997</v>
          </cell>
        </row>
        <row r="26">
          <cell r="G26">
            <v>23909.86</v>
          </cell>
          <cell r="H26">
            <v>23966.37</v>
          </cell>
          <cell r="J26">
            <v>2026</v>
          </cell>
          <cell r="K26">
            <v>31142.31</v>
          </cell>
          <cell r="L26">
            <v>30845</v>
          </cell>
          <cell r="M26">
            <v>32344.22</v>
          </cell>
          <cell r="N26">
            <v>32032.07</v>
          </cell>
          <cell r="O26">
            <v>33886.93</v>
          </cell>
          <cell r="P26">
            <v>33565.1</v>
          </cell>
        </row>
        <row r="27">
          <cell r="G27">
            <v>24213.35</v>
          </cell>
          <cell r="H27">
            <v>24287.21</v>
          </cell>
          <cell r="J27">
            <v>2027</v>
          </cell>
          <cell r="K27">
            <v>31311.07</v>
          </cell>
          <cell r="L27">
            <v>31014.63</v>
          </cell>
          <cell r="M27">
            <v>32602.89</v>
          </cell>
          <cell r="N27">
            <v>32289.9</v>
          </cell>
          <cell r="O27">
            <v>34250.71</v>
          </cell>
          <cell r="P27">
            <v>33927.120000000003</v>
          </cell>
        </row>
        <row r="28">
          <cell r="G28">
            <v>24518.14</v>
          </cell>
          <cell r="H28">
            <v>24610.720000000001</v>
          </cell>
          <cell r="J28">
            <v>2028</v>
          </cell>
          <cell r="K28">
            <v>31474.38</v>
          </cell>
          <cell r="L28">
            <v>31220.240000000002</v>
          </cell>
          <cell r="M28">
            <v>32880.89</v>
          </cell>
          <cell r="N28">
            <v>32638.75</v>
          </cell>
          <cell r="O28">
            <v>34613.980000000003</v>
          </cell>
          <cell r="P28">
            <v>34347.769999999997</v>
          </cell>
        </row>
        <row r="29">
          <cell r="G29">
            <v>24827.279999999999</v>
          </cell>
          <cell r="H29">
            <v>24940.15</v>
          </cell>
          <cell r="J29">
            <v>2029</v>
          </cell>
          <cell r="K29">
            <v>31615.08</v>
          </cell>
          <cell r="L29">
            <v>31630.39</v>
          </cell>
          <cell r="M29">
            <v>33158.54</v>
          </cell>
          <cell r="N29">
            <v>33197.279999999999</v>
          </cell>
          <cell r="O29">
            <v>34983.39</v>
          </cell>
          <cell r="P29">
            <v>35004.050000000003</v>
          </cell>
        </row>
        <row r="30">
          <cell r="G30">
            <v>25156.76</v>
          </cell>
          <cell r="H30">
            <v>25291.09</v>
          </cell>
          <cell r="J30">
            <v>2030</v>
          </cell>
          <cell r="K30">
            <v>31763.1</v>
          </cell>
          <cell r="L30">
            <v>32066.36</v>
          </cell>
          <cell r="M30">
            <v>33454.04</v>
          </cell>
          <cell r="N30">
            <v>33796.879999999997</v>
          </cell>
          <cell r="O30">
            <v>35377.85</v>
          </cell>
          <cell r="P30">
            <v>35713.08</v>
          </cell>
        </row>
        <row r="31">
          <cell r="G31">
            <v>25446.54</v>
          </cell>
          <cell r="H31">
            <v>25603.18</v>
          </cell>
          <cell r="J31">
            <v>2031</v>
          </cell>
          <cell r="K31">
            <v>31871.77</v>
          </cell>
          <cell r="L31">
            <v>32466.51</v>
          </cell>
          <cell r="M31">
            <v>33712.21</v>
          </cell>
          <cell r="N31">
            <v>34363.79</v>
          </cell>
          <cell r="O31">
            <v>35731.08</v>
          </cell>
          <cell r="P31">
            <v>36389.129999999997</v>
          </cell>
        </row>
        <row r="32">
          <cell r="G32">
            <v>25765.17</v>
          </cell>
          <cell r="H32">
            <v>25945.39</v>
          </cell>
          <cell r="J32">
            <v>2032</v>
          </cell>
          <cell r="K32">
            <v>32050.880000000001</v>
          </cell>
          <cell r="L32">
            <v>32948.230000000003</v>
          </cell>
          <cell r="M32">
            <v>34014.519999999997</v>
          </cell>
          <cell r="N32">
            <v>34979.269999999997</v>
          </cell>
          <cell r="O32">
            <v>36125.57</v>
          </cell>
          <cell r="P32">
            <v>37113.089999999997</v>
          </cell>
        </row>
        <row r="33">
          <cell r="G33">
            <v>26094.06</v>
          </cell>
          <cell r="H33">
            <v>26299.41</v>
          </cell>
          <cell r="J33">
            <v>2033</v>
          </cell>
          <cell r="K33">
            <v>32239.52</v>
          </cell>
          <cell r="L33">
            <v>33458.04</v>
          </cell>
          <cell r="M33">
            <v>34316.910000000003</v>
          </cell>
          <cell r="N33">
            <v>35618.07</v>
          </cell>
          <cell r="O33">
            <v>36532.980000000003</v>
          </cell>
          <cell r="P33">
            <v>37875.54</v>
          </cell>
        </row>
        <row r="34">
          <cell r="G34">
            <v>26434.54</v>
          </cell>
          <cell r="H34">
            <v>26666.26</v>
          </cell>
          <cell r="J34">
            <v>2034</v>
          </cell>
          <cell r="K34">
            <v>32439.73</v>
          </cell>
          <cell r="L34">
            <v>33984.230000000003</v>
          </cell>
          <cell r="M34">
            <v>34625.449999999997</v>
          </cell>
          <cell r="N34">
            <v>36272.54</v>
          </cell>
          <cell r="O34">
            <v>36961.5</v>
          </cell>
          <cell r="P34">
            <v>38668.550000000003</v>
          </cell>
        </row>
        <row r="35">
          <cell r="G35">
            <v>26786.02</v>
          </cell>
          <cell r="H35">
            <v>27045.69</v>
          </cell>
          <cell r="J35">
            <v>2035</v>
          </cell>
          <cell r="K35">
            <v>32648.63</v>
          </cell>
          <cell r="L35">
            <v>34541.82</v>
          </cell>
          <cell r="M35">
            <v>34939.879999999997</v>
          </cell>
          <cell r="N35">
            <v>36961.300000000003</v>
          </cell>
          <cell r="O35">
            <v>37400.99</v>
          </cell>
          <cell r="P35">
            <v>39507.519999999997</v>
          </cell>
        </row>
      </sheetData>
      <sheetData sheetId="26"/>
      <sheetData sheetId="27"/>
      <sheetData sheetId="28">
        <row r="25">
          <cell r="G25">
            <v>2017</v>
          </cell>
          <cell r="H25">
            <v>2018</v>
          </cell>
          <cell r="I25">
            <v>2019</v>
          </cell>
          <cell r="J25">
            <v>2020</v>
          </cell>
          <cell r="K25">
            <v>2021</v>
          </cell>
          <cell r="L25">
            <v>2022</v>
          </cell>
          <cell r="M25">
            <v>2023</v>
          </cell>
          <cell r="N25">
            <v>2024</v>
          </cell>
          <cell r="O25">
            <v>2025</v>
          </cell>
          <cell r="P25">
            <v>2026</v>
          </cell>
          <cell r="Q25">
            <v>2027</v>
          </cell>
          <cell r="R25">
            <v>2028</v>
          </cell>
          <cell r="S25">
            <v>2029</v>
          </cell>
          <cell r="T25">
            <v>2030</v>
          </cell>
          <cell r="U25">
            <v>2031</v>
          </cell>
          <cell r="V25">
            <v>2032</v>
          </cell>
          <cell r="W25">
            <v>2033</v>
          </cell>
          <cell r="X25">
            <v>2034</v>
          </cell>
          <cell r="Y25">
            <v>2035</v>
          </cell>
        </row>
        <row r="26">
          <cell r="G26">
            <v>1812.1175799086759</v>
          </cell>
          <cell r="H26">
            <v>1848.224885844749</v>
          </cell>
          <cell r="I26">
            <v>1882.8139269406395</v>
          </cell>
          <cell r="J26">
            <v>1912.091324200913</v>
          </cell>
          <cell r="K26">
            <v>1938.2899543378994</v>
          </cell>
          <cell r="L26">
            <v>1965.4657534246576</v>
          </cell>
          <cell r="M26">
            <v>1991.3242009132421</v>
          </cell>
          <cell r="N26">
            <v>2018.0901826484021</v>
          </cell>
          <cell r="O26">
            <v>2046.033105022831</v>
          </cell>
          <cell r="P26">
            <v>2075.6232876712329</v>
          </cell>
          <cell r="Q26">
            <v>2108.1952054794524</v>
          </cell>
          <cell r="R26">
            <v>2143.4212328767121</v>
          </cell>
          <cell r="S26">
            <v>2176.6529680365297</v>
          </cell>
          <cell r="T26">
            <v>2211.5605022831051</v>
          </cell>
          <cell r="U26">
            <v>2244.461187214612</v>
          </cell>
          <cell r="V26">
            <v>2276.7397260273974</v>
          </cell>
          <cell r="W26">
            <v>2307.0559360730595</v>
          </cell>
          <cell r="X26">
            <v>2336.4189497716893</v>
          </cell>
          <cell r="Y26">
            <v>2365.7865296803657</v>
          </cell>
        </row>
        <row r="27">
          <cell r="G27">
            <v>1773.5022831050228</v>
          </cell>
          <cell r="H27">
            <v>1805.9029680365297</v>
          </cell>
          <cell r="I27">
            <v>1838.228310502283</v>
          </cell>
          <cell r="J27">
            <v>1866.4269406392693</v>
          </cell>
          <cell r="K27">
            <v>1889.961187214612</v>
          </cell>
          <cell r="L27">
            <v>1913.5993150684933</v>
          </cell>
          <cell r="M27">
            <v>1938.0319634703196</v>
          </cell>
          <cell r="N27">
            <v>1964.1392694063927</v>
          </cell>
          <cell r="O27">
            <v>1989.708904109589</v>
          </cell>
          <cell r="P27">
            <v>2015.8835616438355</v>
          </cell>
          <cell r="Q27">
            <v>2043.0970319634703</v>
          </cell>
          <cell r="R27">
            <v>2068.2260273972602</v>
          </cell>
          <cell r="S27">
            <v>2091.9132420091323</v>
          </cell>
          <cell r="T27">
            <v>2115.6894977168949</v>
          </cell>
          <cell r="U27">
            <v>2136.6301369863017</v>
          </cell>
          <cell r="V27">
            <v>2164.0182648401828</v>
          </cell>
          <cell r="W27">
            <v>2190.1484018264841</v>
          </cell>
          <cell r="X27">
            <v>2214.1107305936075</v>
          </cell>
          <cell r="Y27">
            <v>2238.9691780821918</v>
          </cell>
        </row>
        <row r="28">
          <cell r="G28">
            <v>1855.7283105022832</v>
          </cell>
          <cell r="H28">
            <v>1895.9817351598174</v>
          </cell>
          <cell r="I28">
            <v>1937.0627853881276</v>
          </cell>
          <cell r="J28">
            <v>1974.1712328767126</v>
          </cell>
          <cell r="K28">
            <v>2009.4657534246574</v>
          </cell>
          <cell r="L28">
            <v>2046.0616438356165</v>
          </cell>
          <cell r="M28">
            <v>2080.9794520547948</v>
          </cell>
          <cell r="N28">
            <v>2114.1872146118722</v>
          </cell>
          <cell r="O28">
            <v>2146.6244292237443</v>
          </cell>
          <cell r="P28">
            <v>2179.1723744292235</v>
          </cell>
          <cell r="Q28">
            <v>2213.3972602739727</v>
          </cell>
          <cell r="R28">
            <v>2250.9634703196348</v>
          </cell>
          <cell r="S28">
            <v>2286.4589041095892</v>
          </cell>
          <cell r="T28">
            <v>2323.2762557077626</v>
          </cell>
          <cell r="U28">
            <v>2358.0947488584475</v>
          </cell>
          <cell r="V28">
            <v>2393.0821917808221</v>
          </cell>
          <cell r="W28">
            <v>2426.994292237443</v>
          </cell>
          <cell r="X28">
            <v>2458.2031963470322</v>
          </cell>
          <cell r="Y28">
            <v>2489.7511415525114</v>
          </cell>
        </row>
        <row r="31">
          <cell r="G31">
            <v>1.0229263769326289</v>
          </cell>
          <cell r="H31">
            <v>1.0199254763247165</v>
          </cell>
          <cell r="I31">
            <v>1.0187147361561908</v>
          </cell>
          <cell r="J31">
            <v>1.015549809166669</v>
          </cell>
          <cell r="K31">
            <v>1.0137015579775903</v>
          </cell>
          <cell r="L31">
            <v>1.0140205024671043</v>
          </cell>
          <cell r="M31">
            <v>1.0131563968710868</v>
          </cell>
          <cell r="N31">
            <v>1.0134412978674616</v>
          </cell>
          <cell r="O31">
            <v>1.0138462208550851</v>
          </cell>
          <cell r="P31">
            <v>1.0144622208583822</v>
          </cell>
          <cell r="Q31">
            <v>1.0156925960513596</v>
          </cell>
          <cell r="R31">
            <v>1.0167090918837607</v>
          </cell>
          <cell r="S31">
            <v>1.0155040617542157</v>
          </cell>
          <cell r="T31">
            <v>1.0160372529563424</v>
          </cell>
          <cell r="U31">
            <v>1.01487668318255</v>
          </cell>
          <cell r="V31">
            <v>1.0143814199134551</v>
          </cell>
          <cell r="W31">
            <v>1.0133156239595993</v>
          </cell>
          <cell r="X31">
            <v>1.0127274823464445</v>
          </cell>
          <cell r="Y31">
            <v>1.0125694837013481</v>
          </cell>
        </row>
        <row r="32">
          <cell r="G32">
            <v>1.0216470371612512</v>
          </cell>
          <cell r="H32">
            <v>1.0182693223686075</v>
          </cell>
          <cell r="I32">
            <v>1.0178998224366944</v>
          </cell>
          <cell r="J32">
            <v>1.0153401130729409</v>
          </cell>
          <cell r="K32">
            <v>1.0126092514327305</v>
          </cell>
          <cell r="L32">
            <v>1.0125072028006663</v>
          </cell>
          <cell r="M32">
            <v>1.012767901937168</v>
          </cell>
          <cell r="N32">
            <v>1.0134710399148033</v>
          </cell>
          <cell r="O32">
            <v>1.0130182391348064</v>
          </cell>
          <cell r="P32">
            <v>1.0131550185457705</v>
          </cell>
          <cell r="Q32">
            <v>1.0134995248919256</v>
          </cell>
          <cell r="R32">
            <v>1.0122994625515365</v>
          </cell>
          <cell r="S32">
            <v>1.0114529138972692</v>
          </cell>
          <cell r="T32">
            <v>1.0113657943504997</v>
          </cell>
          <cell r="U32">
            <v>1.0098977847609512</v>
          </cell>
          <cell r="V32">
            <v>1.0128183757121914</v>
          </cell>
          <cell r="W32">
            <v>1.0120748227548952</v>
          </cell>
          <cell r="X32">
            <v>1.0109409612367546</v>
          </cell>
          <cell r="Y32">
            <v>1.0112272828748361</v>
          </cell>
        </row>
        <row r="33">
          <cell r="G33">
            <v>1.0255514422919205</v>
          </cell>
          <cell r="H33">
            <v>1.0216914428851058</v>
          </cell>
          <cell r="I33">
            <v>1.02166742931458</v>
          </cell>
          <cell r="J33">
            <v>1.019157070059115</v>
          </cell>
          <cell r="K33">
            <v>1.0178781455023607</v>
          </cell>
          <cell r="L33">
            <v>1.018211751232182</v>
          </cell>
          <cell r="M33">
            <v>1.0170658632521552</v>
          </cell>
          <cell r="N33">
            <v>1.0159577561058026</v>
          </cell>
          <cell r="O33">
            <v>1.0153426406080253</v>
          </cell>
          <cell r="P33">
            <v>1.0151623846083075</v>
          </cell>
          <cell r="Q33">
            <v>1.0157054514118984</v>
          </cell>
          <cell r="R33">
            <v>1.0169721950595585</v>
          </cell>
          <cell r="S33">
            <v>1.015768995924627</v>
          </cell>
          <cell r="T33">
            <v>1.016102345654234</v>
          </cell>
          <cell r="U33">
            <v>1.0149868071285728</v>
          </cell>
          <cell r="V33">
            <v>1.0148371658684674</v>
          </cell>
          <cell r="W33">
            <v>1.0141708883101024</v>
          </cell>
          <cell r="X33">
            <v>1.0128590760223082</v>
          </cell>
          <cell r="Y33">
            <v>1.0128337418372739</v>
          </cell>
        </row>
        <row r="35">
          <cell r="G35">
            <v>1</v>
          </cell>
          <cell r="H35">
            <v>1</v>
          </cell>
          <cell r="I35">
            <v>1</v>
          </cell>
          <cell r="J35">
            <v>1</v>
          </cell>
          <cell r="K35">
            <v>1</v>
          </cell>
          <cell r="L35">
            <v>1</v>
          </cell>
          <cell r="M35">
            <v>1</v>
          </cell>
          <cell r="N35">
            <v>1</v>
          </cell>
          <cell r="O35">
            <v>1</v>
          </cell>
          <cell r="P35">
            <v>1</v>
          </cell>
          <cell r="Q35">
            <v>1</v>
          </cell>
          <cell r="R35">
            <v>1</v>
          </cell>
          <cell r="S35">
            <v>1</v>
          </cell>
          <cell r="T35">
            <v>1</v>
          </cell>
          <cell r="U35">
            <v>1</v>
          </cell>
          <cell r="V35">
            <v>1</v>
          </cell>
          <cell r="W35">
            <v>1</v>
          </cell>
          <cell r="X35">
            <v>1</v>
          </cell>
          <cell r="Y35">
            <v>1</v>
          </cell>
        </row>
        <row r="36">
          <cell r="G36">
            <v>0.97869051256287731</v>
          </cell>
          <cell r="H36">
            <v>0.97710131589918747</v>
          </cell>
          <cell r="I36">
            <v>0.97631969054382173</v>
          </cell>
          <cell r="J36">
            <v>0.97611809489239354</v>
          </cell>
          <cell r="K36">
            <v>0.9750662861275593</v>
          </cell>
          <cell r="L36">
            <v>0.97361112079119594</v>
          </cell>
          <cell r="M36">
            <v>0.97323778949782158</v>
          </cell>
          <cell r="N36">
            <v>0.97326635166957309</v>
          </cell>
          <cell r="O36">
            <v>0.97247151046824654</v>
          </cell>
          <cell r="P36">
            <v>0.97121841598991543</v>
          </cell>
          <cell r="Q36">
            <v>0.96912137294175404</v>
          </cell>
          <cell r="R36">
            <v>0.96491813912912883</v>
          </cell>
          <cell r="S36">
            <v>0.96106879356894559</v>
          </cell>
          <cell r="T36">
            <v>0.95665006475416903</v>
          </cell>
          <cell r="U36">
            <v>0.95195682115486746</v>
          </cell>
          <cell r="V36">
            <v>0.95048996602527847</v>
          </cell>
          <cell r="W36">
            <v>0.94932609460455097</v>
          </cell>
          <cell r="X36">
            <v>0.94765141791456808</v>
          </cell>
          <cell r="Y36">
            <v>0.94639526854719735</v>
          </cell>
        </row>
        <row r="37">
          <cell r="G37">
            <v>1.0240661704721197</v>
          </cell>
          <cell r="H37">
            <v>1.0258393065047604</v>
          </cell>
          <cell r="I37">
            <v>1.0288126498700998</v>
          </cell>
          <cell r="J37">
            <v>1.0324670207380098</v>
          </cell>
          <cell r="K37">
            <v>1.0367209245074331</v>
          </cell>
          <cell r="L37">
            <v>1.0410060008781772</v>
          </cell>
          <cell r="M37">
            <v>1.045022930520523</v>
          </cell>
          <cell r="N37">
            <v>1.0476178085546994</v>
          </cell>
          <cell r="O37">
            <v>1.0491640745958462</v>
          </cell>
          <cell r="P37">
            <v>1.04988818894693</v>
          </cell>
          <cell r="Q37">
            <v>1.0499014771123127</v>
          </cell>
          <cell r="R37">
            <v>1.0501731697873447</v>
          </cell>
          <cell r="S37">
            <v>1.0504471487579901</v>
          </cell>
          <cell r="T37">
            <v>1.0505144459350435</v>
          </cell>
          <cell r="U37">
            <v>1.0506284369233647</v>
          </cell>
          <cell r="V37">
            <v>1.0511004681050771</v>
          </cell>
          <cell r="W37">
            <v>1.0519876238321884</v>
          </cell>
          <cell r="X37">
            <v>1.0521243189656733</v>
          </cell>
          <cell r="Y37">
            <v>1.0523989000346934</v>
          </cell>
        </row>
        <row r="40">
          <cell r="G40">
            <v>404.69885906229592</v>
          </cell>
          <cell r="H40">
            <v>421.46039895133885</v>
          </cell>
          <cell r="I40">
            <v>419.64642143844253</v>
          </cell>
          <cell r="J40">
            <v>423.66562864853898</v>
          </cell>
          <cell r="K40">
            <v>432.76092390952061</v>
          </cell>
          <cell r="L40">
            <v>446.31531189522576</v>
          </cell>
          <cell r="M40">
            <v>450.98222620533323</v>
          </cell>
          <cell r="N40">
            <v>459.05126073815245</v>
          </cell>
          <cell r="O40">
            <v>470.19601765719887</v>
          </cell>
          <cell r="P40">
            <v>484.16208251533135</v>
          </cell>
          <cell r="Q40">
            <v>494.21069266812788</v>
          </cell>
          <cell r="R40">
            <v>506.64189476780371</v>
          </cell>
          <cell r="S40">
            <v>521.35392484293436</v>
          </cell>
          <cell r="T40">
            <v>538.28523642117</v>
          </cell>
          <cell r="U40">
            <v>554.01935267425768</v>
          </cell>
          <cell r="V40">
            <v>571.88182312772415</v>
          </cell>
          <cell r="W40">
            <v>591.90212163156946</v>
          </cell>
          <cell r="X40">
            <v>614.13634434495953</v>
          </cell>
          <cell r="Y40">
            <v>636.87438282107769</v>
          </cell>
        </row>
        <row r="41">
          <cell r="G41">
            <v>396.07493380929003</v>
          </cell>
          <cell r="H41">
            <v>411.8095104147497</v>
          </cell>
          <cell r="I41">
            <v>409.70906431660239</v>
          </cell>
          <cell r="J41">
            <v>413.54768630780012</v>
          </cell>
          <cell r="K41">
            <v>421.97058685758753</v>
          </cell>
          <cell r="L41">
            <v>434.53755104058291</v>
          </cell>
          <cell r="M41">
            <v>438.91294493488505</v>
          </cell>
          <cell r="N41">
            <v>446.77914576793955</v>
          </cell>
          <cell r="O41">
            <v>457.25223150725049</v>
          </cell>
          <cell r="P41">
            <v>470.22713086291884</v>
          </cell>
          <cell r="Q41">
            <v>478.95014500103133</v>
          </cell>
          <cell r="R41">
            <v>488.86795430420506</v>
          </cell>
          <cell r="S41">
            <v>501.05698757123366</v>
          </cell>
          <cell r="T41">
            <v>514.95060627852547</v>
          </cell>
          <cell r="U41">
            <v>527.40250183006378</v>
          </cell>
          <cell r="V41">
            <v>543.56793463514487</v>
          </cell>
          <cell r="W41">
            <v>561.90812951664577</v>
          </cell>
          <cell r="X41">
            <v>581.98717751137031</v>
          </cell>
          <cell r="Y41">
            <v>602.73490256078435</v>
          </cell>
        </row>
        <row r="42">
          <cell r="G42">
            <v>414.43841079436146</v>
          </cell>
          <cell r="H42">
            <v>432.35064337946108</v>
          </cell>
          <cell r="I42">
            <v>431.73754684858869</v>
          </cell>
          <cell r="J42">
            <v>437.42078939985305</v>
          </cell>
          <cell r="K42">
            <v>448.65230512616915</v>
          </cell>
          <cell r="L42">
            <v>464.61691796674529</v>
          </cell>
          <cell r="M42">
            <v>471.28676764176674</v>
          </cell>
          <cell r="N42">
            <v>480.91027578877521</v>
          </cell>
          <cell r="O42">
            <v>493.31276974396718</v>
          </cell>
          <cell r="P42">
            <v>508.31605196879531</v>
          </cell>
          <cell r="Q42">
            <v>518.87253623696665</v>
          </cell>
          <cell r="R42">
            <v>532.0617245753707</v>
          </cell>
          <cell r="S42">
            <v>547.65474384504785</v>
          </cell>
          <cell r="T42">
            <v>565.47641689399927</v>
          </cell>
          <cell r="U42">
            <v>582.06848652544966</v>
          </cell>
          <cell r="V42">
            <v>601.10525199033577</v>
          </cell>
          <cell r="W42">
            <v>622.67370647642565</v>
          </cell>
          <cell r="X42">
            <v>646.14778304600873</v>
          </cell>
          <cell r="Y42">
            <v>670.24589994117639</v>
          </cell>
        </row>
        <row r="44">
          <cell r="G44">
            <v>404.69885906229592</v>
          </cell>
          <cell r="H44">
            <v>421.46039895133885</v>
          </cell>
          <cell r="I44">
            <v>419.64642143844253</v>
          </cell>
          <cell r="J44">
            <v>423.66562864853898</v>
          </cell>
          <cell r="K44">
            <v>432.76092390952061</v>
          </cell>
          <cell r="L44">
            <v>446.31531189522576</v>
          </cell>
          <cell r="M44">
            <v>450.98222620533323</v>
          </cell>
          <cell r="N44">
            <v>459.05126073815245</v>
          </cell>
          <cell r="O44">
            <v>470.19601765719887</v>
          </cell>
          <cell r="P44">
            <v>484.16208251533135</v>
          </cell>
          <cell r="Q44">
            <v>494.21069266812788</v>
          </cell>
          <cell r="R44">
            <v>506.64189476780371</v>
          </cell>
          <cell r="S44">
            <v>521.35392484293436</v>
          </cell>
          <cell r="T44">
            <v>538.28523642117</v>
          </cell>
          <cell r="U44">
            <v>554.01935267425768</v>
          </cell>
          <cell r="V44">
            <v>571.88182312772415</v>
          </cell>
          <cell r="W44">
            <v>591.90212163156946</v>
          </cell>
          <cell r="X44">
            <v>614.13634434495953</v>
          </cell>
          <cell r="Y44">
            <v>636.87438282107769</v>
          </cell>
        </row>
      </sheetData>
      <sheetData sheetId="29"/>
      <sheetData sheetId="30"/>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Efficacy"/>
      <sheetName val="Prices"/>
    </sheetNames>
    <sheetDataSet>
      <sheetData sheetId="0">
        <row r="27">
          <cell r="R27">
            <v>86</v>
          </cell>
          <cell r="U27">
            <v>102</v>
          </cell>
        </row>
      </sheetData>
      <sheetData sheetId="1">
        <row r="21">
          <cell r="U21">
            <v>0.81005788606478368</v>
          </cell>
        </row>
      </sheetData>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Note"/>
      <sheetName val="Flyover"/>
      <sheetName val="LPDExist"/>
      <sheetName val="Pre_2014"/>
      <sheetName val="LPDNew"/>
      <sheetName val="Post 2014"/>
      <sheetName val="DOE2014 Sales Pen"/>
      <sheetName val="Applic"/>
      <sheetName val="ApplicNotes"/>
      <sheetName val="CBSA Tables"/>
      <sheetName val="CBSA Hrs_Plus"/>
      <sheetName val="CBSA LPD Dist t53"/>
      <sheetName val="LOG"/>
      <sheetName val="6PResults"/>
      <sheetName val="6P New"/>
    </sheetNames>
    <sheetDataSet>
      <sheetData sheetId="0"/>
      <sheetData sheetId="1"/>
      <sheetData sheetId="2"/>
      <sheetData sheetId="3"/>
      <sheetData sheetId="4"/>
      <sheetData sheetId="5"/>
      <sheetData sheetId="6">
        <row r="3">
          <cell r="AA3">
            <v>1</v>
          </cell>
          <cell r="AB3">
            <v>2</v>
          </cell>
          <cell r="AC3">
            <v>3</v>
          </cell>
          <cell r="AD3">
            <v>4</v>
          </cell>
          <cell r="AE3">
            <v>5</v>
          </cell>
          <cell r="AF3">
            <v>6</v>
          </cell>
          <cell r="AG3">
            <v>7</v>
          </cell>
        </row>
        <row r="4">
          <cell r="AB4" t="str">
            <v>Sales Penetration Estimates for Solid State Lighting</v>
          </cell>
        </row>
        <row r="5">
          <cell r="AA5" t="str">
            <v>Lookup Value</v>
          </cell>
          <cell r="AB5" t="str">
            <v>Type</v>
          </cell>
          <cell r="AC5" t="str">
            <v>Sub Type</v>
          </cell>
          <cell r="AD5" t="str">
            <v>DOE Forecast for 2015</v>
          </cell>
          <cell r="AE5" t="str">
            <v>DOE Forecast for 2016</v>
          </cell>
          <cell r="AF5" t="str">
            <v>BPA/Cadeo Estimates Forecast 2016</v>
          </cell>
          <cell r="AG5" t="str">
            <v>Council Forecast  Baseline 2016</v>
          </cell>
          <cell r="AH5" t="str">
            <v>Notes</v>
          </cell>
        </row>
        <row r="6">
          <cell r="AA6" t="str">
            <v>LED_OMNI</v>
          </cell>
          <cell r="AB6" t="str">
            <v>General Service</v>
          </cell>
          <cell r="AC6" t="str">
            <v>All</v>
          </cell>
          <cell r="AD6">
            <v>0.19</v>
          </cell>
          <cell r="AE6">
            <v>0.35333333333334066</v>
          </cell>
          <cell r="AF6">
            <v>0.1</v>
          </cell>
          <cell r="AG6">
            <v>0.12</v>
          </cell>
          <cell r="AH6" t="str">
            <v>revised downward</v>
          </cell>
        </row>
        <row r="7">
          <cell r="AB7" t="str">
            <v>Decorative</v>
          </cell>
          <cell r="AC7" t="str">
            <v>All</v>
          </cell>
          <cell r="AD7">
            <v>0.03</v>
          </cell>
          <cell r="AE7">
            <v>0.06</v>
          </cell>
          <cell r="AF7">
            <v>0.03</v>
          </cell>
          <cell r="AG7">
            <v>0.06</v>
          </cell>
          <cell r="AH7" t="str">
            <v>no change</v>
          </cell>
        </row>
        <row r="8">
          <cell r="AB8" t="str">
            <v>Directional</v>
          </cell>
          <cell r="AC8" t="str">
            <v>All</v>
          </cell>
          <cell r="AD8">
            <v>0.13</v>
          </cell>
          <cell r="AG8">
            <v>0.15</v>
          </cell>
          <cell r="AH8" t="str">
            <v>revised downward</v>
          </cell>
        </row>
        <row r="9">
          <cell r="AA9" t="str">
            <v>DISP_LED_PAR_MR</v>
          </cell>
          <cell r="AB9" t="str">
            <v>Directional</v>
          </cell>
          <cell r="AC9" t="str">
            <v>PAR Lamp</v>
          </cell>
          <cell r="AD9">
            <v>0.25</v>
          </cell>
          <cell r="AE9">
            <v>0.4</v>
          </cell>
          <cell r="AF9">
            <v>0.25</v>
          </cell>
          <cell r="AG9">
            <v>0.3</v>
          </cell>
          <cell r="AH9" t="str">
            <v>revised downward</v>
          </cell>
        </row>
        <row r="10">
          <cell r="AB10" t="str">
            <v>Directional</v>
          </cell>
          <cell r="AC10" t="str">
            <v>MR Lamp</v>
          </cell>
          <cell r="AD10">
            <v>0.25</v>
          </cell>
          <cell r="AE10">
            <v>0.4</v>
          </cell>
          <cell r="AF10">
            <v>0.25</v>
          </cell>
          <cell r="AG10">
            <v>0.25</v>
          </cell>
          <cell r="AH10" t="str">
            <v>revised downward</v>
          </cell>
        </row>
        <row r="11">
          <cell r="AA11" t="str">
            <v>DISP_LED_FIX_KIT</v>
          </cell>
          <cell r="AB11" t="str">
            <v>Directional</v>
          </cell>
          <cell r="AC11" t="str">
            <v>PAR Fixture</v>
          </cell>
          <cell r="AD11">
            <v>0.04</v>
          </cell>
          <cell r="AF11">
            <v>0.05</v>
          </cell>
          <cell r="AG11">
            <v>0.05</v>
          </cell>
          <cell r="AH11" t="str">
            <v>revised downward</v>
          </cell>
        </row>
        <row r="12">
          <cell r="AB12" t="str">
            <v>Directional</v>
          </cell>
          <cell r="AC12" t="str">
            <v>MR Fixture</v>
          </cell>
          <cell r="AD12">
            <v>0.04</v>
          </cell>
          <cell r="AF12">
            <v>0.05</v>
          </cell>
          <cell r="AG12">
            <v>0.05</v>
          </cell>
          <cell r="AH12" t="str">
            <v>revised downward</v>
          </cell>
        </row>
        <row r="13">
          <cell r="AA13" t="str">
            <v>DISP_LED_PAR_MR</v>
          </cell>
          <cell r="AB13" t="str">
            <v>Downlight</v>
          </cell>
          <cell r="AC13" t="str">
            <v>DL Lamp</v>
          </cell>
          <cell r="AD13">
            <v>0.05</v>
          </cell>
          <cell r="AE13">
            <v>0.08</v>
          </cell>
          <cell r="AF13">
            <v>0.05</v>
          </cell>
          <cell r="AG13">
            <v>0.06</v>
          </cell>
          <cell r="AH13" t="str">
            <v>revised downward</v>
          </cell>
        </row>
        <row r="14">
          <cell r="AA14" t="str">
            <v>CAN_LED_FIX_KIT</v>
          </cell>
          <cell r="AB14" t="str">
            <v>Downlight</v>
          </cell>
          <cell r="AC14" t="str">
            <v>DL Luminaire</v>
          </cell>
          <cell r="AD14">
            <v>0.02</v>
          </cell>
          <cell r="AE14">
            <v>0.02</v>
          </cell>
          <cell r="AF14">
            <v>0.05</v>
          </cell>
          <cell r="AG14">
            <v>0.02</v>
          </cell>
          <cell r="AH14" t="str">
            <v>revised downward</v>
          </cell>
        </row>
        <row r="15">
          <cell r="AA15" t="str">
            <v>LF_LED_FIX_KIT</v>
          </cell>
          <cell r="AB15" t="str">
            <v>Linear Fluorescent Fixture</v>
          </cell>
          <cell r="AC15" t="str">
            <v>Commercial</v>
          </cell>
          <cell r="AD15">
            <v>0.08</v>
          </cell>
          <cell r="AE15">
            <v>0.16</v>
          </cell>
          <cell r="AF15">
            <v>0.05</v>
          </cell>
          <cell r="AG15">
            <v>0.06</v>
          </cell>
          <cell r="AH15" t="str">
            <v>revised downward</v>
          </cell>
        </row>
        <row r="16">
          <cell r="AB16" t="str">
            <v>Linear Fluorescent Fixture</v>
          </cell>
          <cell r="AC16" t="str">
            <v>Industrtial</v>
          </cell>
          <cell r="AD16">
            <v>0.05</v>
          </cell>
          <cell r="AF16">
            <v>0.05</v>
          </cell>
          <cell r="AG16">
            <v>0.06</v>
          </cell>
          <cell r="AH16" t="str">
            <v>revised downward</v>
          </cell>
        </row>
        <row r="17">
          <cell r="AA17" t="str">
            <v>HIGHBAY_LED_FIX_KIT</v>
          </cell>
          <cell r="AB17" t="str">
            <v>Low/High Bay</v>
          </cell>
          <cell r="AC17" t="str">
            <v>Commercial</v>
          </cell>
          <cell r="AD17">
            <v>0.04</v>
          </cell>
          <cell r="AE17">
            <v>0.1</v>
          </cell>
          <cell r="AF17">
            <v>0.05</v>
          </cell>
          <cell r="AG17">
            <v>0.06</v>
          </cell>
          <cell r="AH17" t="str">
            <v>revised downward</v>
          </cell>
        </row>
        <row r="18">
          <cell r="AB18" t="str">
            <v>Low/High Bay</v>
          </cell>
          <cell r="AC18" t="str">
            <v>Industrtial</v>
          </cell>
          <cell r="AD18">
            <v>0.09</v>
          </cell>
          <cell r="AF18">
            <v>0.1</v>
          </cell>
          <cell r="AG18">
            <v>0.1</v>
          </cell>
          <cell r="AH18" t="str">
            <v>revised downward</v>
          </cell>
        </row>
        <row r="19">
          <cell r="AA19" t="str">
            <v>Street</v>
          </cell>
          <cell r="AB19" t="str">
            <v>Street &amp; Roadway</v>
          </cell>
          <cell r="AC19" t="str">
            <v>All</v>
          </cell>
          <cell r="AD19">
            <v>0.31</v>
          </cell>
          <cell r="AE19">
            <v>0.4</v>
          </cell>
          <cell r="AF19">
            <v>0.5</v>
          </cell>
          <cell r="AG19">
            <v>0.4</v>
          </cell>
          <cell r="AH19" t="str">
            <v>revised downward</v>
          </cell>
        </row>
        <row r="20">
          <cell r="AA20" t="str">
            <v>ParkingLot</v>
          </cell>
          <cell r="AB20" t="str">
            <v>Parking</v>
          </cell>
          <cell r="AC20" t="str">
            <v>Lot</v>
          </cell>
          <cell r="AD20">
            <v>0.2</v>
          </cell>
          <cell r="AE20">
            <v>0.27</v>
          </cell>
          <cell r="AF20">
            <v>0.25</v>
          </cell>
          <cell r="AG20">
            <v>0.25</v>
          </cell>
          <cell r="AH20" t="str">
            <v>revised downward</v>
          </cell>
        </row>
        <row r="21">
          <cell r="AB21" t="str">
            <v>Parking</v>
          </cell>
          <cell r="AC21" t="str">
            <v>Garage</v>
          </cell>
          <cell r="AD21">
            <v>0.13</v>
          </cell>
          <cell r="AE21">
            <v>0.18</v>
          </cell>
          <cell r="AF21">
            <v>0.2</v>
          </cell>
          <cell r="AG21">
            <v>0.18</v>
          </cell>
          <cell r="AH21" t="str">
            <v>revised downward</v>
          </cell>
        </row>
        <row r="22">
          <cell r="AA22" t="str">
            <v>ExteriorAll</v>
          </cell>
          <cell r="AB22" t="str">
            <v>Exterior</v>
          </cell>
          <cell r="AC22" t="str">
            <v>All</v>
          </cell>
          <cell r="AD22">
            <v>0.17</v>
          </cell>
          <cell r="AE22">
            <v>0.36</v>
          </cell>
          <cell r="AF22">
            <v>0.25</v>
          </cell>
          <cell r="AG22">
            <v>0.25</v>
          </cell>
          <cell r="AH22" t="str">
            <v>revised downward</v>
          </cell>
        </row>
        <row r="23">
          <cell r="AA23" t="str">
            <v>HIGHBAY_LF2018</v>
          </cell>
          <cell r="AB23" t="str">
            <v>HighBay</v>
          </cell>
          <cell r="AC23" t="str">
            <v>HP LF Lamp</v>
          </cell>
          <cell r="AG23">
            <v>0.15</v>
          </cell>
          <cell r="AH23" t="str">
            <v>revised upward</v>
          </cell>
        </row>
        <row r="24">
          <cell r="AA24" t="str">
            <v>LF_LF2018</v>
          </cell>
          <cell r="AB24" t="str">
            <v xml:space="preserve">Linear Fluorescent </v>
          </cell>
          <cell r="AC24" t="str">
            <v>HP LF Lamp</v>
          </cell>
          <cell r="AG24">
            <v>0.15</v>
          </cell>
          <cell r="AH24" t="str">
            <v>revised upward</v>
          </cell>
        </row>
        <row r="25">
          <cell r="AA25" t="str">
            <v>LF_TLED_PIN_DIRECT_LINE_V</v>
          </cell>
          <cell r="AB25" t="str">
            <v xml:space="preserve">Linear Fluorescent </v>
          </cell>
          <cell r="AC25" t="str">
            <v>T-LED Line Voltage Lamp</v>
          </cell>
          <cell r="AG25">
            <v>0.06</v>
          </cell>
          <cell r="AH25" t="str">
            <v>revised downward</v>
          </cell>
        </row>
        <row r="26">
          <cell r="AA26" t="str">
            <v>LF_TLED_PIN_OVER_BALLAST</v>
          </cell>
          <cell r="AB26" t="str">
            <v xml:space="preserve">Linear Fluorescent </v>
          </cell>
          <cell r="AC26" t="str">
            <v>T-LED Over FL Ballast Lamp</v>
          </cell>
          <cell r="AG26">
            <v>0.06</v>
          </cell>
          <cell r="AH26" t="str">
            <v>revised downward</v>
          </cell>
        </row>
        <row r="27">
          <cell r="AA27" t="str">
            <v>CAN_LED_CAN_LAMP</v>
          </cell>
          <cell r="AB27" t="str">
            <v>Recessed Can</v>
          </cell>
          <cell r="AC27" t="str">
            <v>LED lamp for Can</v>
          </cell>
          <cell r="AG27">
            <v>0.06</v>
          </cell>
          <cell r="AH27" t="str">
            <v>revised downward</v>
          </cell>
        </row>
        <row r="28">
          <cell r="AA28" t="str">
            <v>DISP_HID_CMH</v>
          </cell>
          <cell r="AB28" t="str">
            <v>Directional</v>
          </cell>
          <cell r="AC28" t="str">
            <v>Ceramic MH Lamp</v>
          </cell>
          <cell r="AG28">
            <v>0.2</v>
          </cell>
          <cell r="AH28" t="str">
            <v>revised downward</v>
          </cell>
        </row>
        <row r="29">
          <cell r="AA29" t="str">
            <v>OTHER_CFL</v>
          </cell>
          <cell r="AB29" t="str">
            <v>General Service</v>
          </cell>
          <cell r="AC29" t="str">
            <v>CFL</v>
          </cell>
          <cell r="AG29">
            <v>0.3</v>
          </cell>
          <cell r="AH29" t="str">
            <v>revised downward</v>
          </cell>
        </row>
      </sheetData>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4.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hyperlink" Target="http://www.nofs.navy.mil/about_NOFS/darksky/lumentab.html"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Seattle%20LED%20Purchases%20history%20to%20date%208_2014.xlsx" TargetMode="External"/><Relationship Id="rId2" Type="http://schemas.openxmlformats.org/officeDocument/2006/relationships/hyperlink" Target="Portland%20Pricing%202014.pdf" TargetMode="External"/><Relationship Id="rId1" Type="http://schemas.openxmlformats.org/officeDocument/2006/relationships/hyperlink" Target="Seattle%20LED%20Purchases%20history%20to%20date%208_2014.xlsx" TargetMode="Externa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2.xml"/></Relationships>
</file>

<file path=xl/worksheets/_rels/sheet17.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9.xml.rels><?xml version="1.0" encoding="UTF-8" standalone="yes"?>
<Relationships xmlns="http://schemas.openxmlformats.org/package/2006/relationships"><Relationship Id="rId2" Type="http://schemas.openxmlformats.org/officeDocument/2006/relationships/oleObject" Target="../embeddings/Microsoft_Office_Word_97_-_2003_Document1.doc"/><Relationship Id="rId1" Type="http://schemas.openxmlformats.org/officeDocument/2006/relationships/vmlDrawing" Target="../drawings/vmlDrawing10.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1.xml.rels><?xml version="1.0" encoding="UTF-8" standalone="yes"?>
<Relationships xmlns="http://schemas.openxmlformats.org/package/2006/relationships"><Relationship Id="rId2" Type="http://schemas.openxmlformats.org/officeDocument/2006/relationships/hyperlink" Target="Data/PNL%20PNW%20Responses%20to%20Inventory%20Survey.xlsx" TargetMode="External"/><Relationship Id="rId1" Type="http://schemas.openxmlformats.org/officeDocument/2006/relationships/hyperlink" Target="../../Codes%20and%20Standards/Impact%20Estimates/Federal%20Standards%20Estimates/Navigant%202014%20Final%20Deliverables/BPA%20Lighting%20Market%20Model%20FINAL_72014.xlsm" TargetMode="External"/></Relationships>
</file>

<file path=xl/worksheets/_rels/sheet22.xml.rels><?xml version="1.0" encoding="UTF-8" standalone="yes"?>
<Relationships xmlns="http://schemas.openxmlformats.org/package/2006/relationships"><Relationship Id="rId3" Type="http://schemas.openxmlformats.org/officeDocument/2006/relationships/hyperlink" Target="../../../../CG/Main/Plan%206/Commercial/Coml%20Assess%206P/Measure%20Data/Lighting/SSL/nichefinalreport_october2008-revised.pdf" TargetMode="External"/><Relationship Id="rId7" Type="http://schemas.openxmlformats.org/officeDocument/2006/relationships/comments" Target="../comments10.xml"/><Relationship Id="rId2" Type="http://schemas.openxmlformats.org/officeDocument/2006/relationships/hyperlink" Target="../../../../CG/Main/Plan%206/Commercial/Coml%20Assess%206P/Measure%20Data/Lighting/SSL/NicheFinalReportSept2008.pdf" TargetMode="External"/><Relationship Id="rId1" Type="http://schemas.openxmlformats.org/officeDocument/2006/relationships/hyperlink" Target="../../../../CG/Main/Plan%206/Data/DOE/hid_energy_savings_report.pdf" TargetMode="External"/><Relationship Id="rId6" Type="http://schemas.openxmlformats.org/officeDocument/2006/relationships/vmlDrawing" Target="../drawings/vmlDrawing11.vml"/><Relationship Id="rId5" Type="http://schemas.openxmlformats.org/officeDocument/2006/relationships/drawing" Target="../drawings/drawing4.xml"/><Relationship Id="rId4" Type="http://schemas.openxmlformats.org/officeDocument/2006/relationships/printerSettings" Target="../printerSettings/printerSettings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dimension ref="A1:BD12"/>
  <sheetViews>
    <sheetView zoomScale="85" zoomScaleNormal="85" workbookViewId="0">
      <selection activeCell="E3" sqref="E3"/>
    </sheetView>
  </sheetViews>
  <sheetFormatPr defaultRowHeight="12.75"/>
  <cols>
    <col min="1" max="2" width="21.85546875" customWidth="1"/>
    <col min="3" max="3" width="40.28515625" bestFit="1" customWidth="1"/>
    <col min="4" max="4" width="12.28515625" bestFit="1" customWidth="1"/>
    <col min="5" max="5" width="30.5703125" bestFit="1" customWidth="1"/>
    <col min="6" max="8" width="11.85546875" customWidth="1"/>
  </cols>
  <sheetData>
    <row r="1" spans="1:56" ht="15.75" thickBot="1">
      <c r="A1" s="405" t="s">
        <v>1013</v>
      </c>
      <c r="B1" s="405" t="s">
        <v>1014</v>
      </c>
      <c r="C1" s="405" t="s">
        <v>1015</v>
      </c>
      <c r="D1" s="405" t="s">
        <v>1016</v>
      </c>
      <c r="E1" s="405" t="s">
        <v>1017</v>
      </c>
      <c r="F1" s="405" t="s">
        <v>1018</v>
      </c>
      <c r="G1" s="405" t="s">
        <v>1019</v>
      </c>
      <c r="H1" s="405" t="s">
        <v>1020</v>
      </c>
      <c r="I1" s="405" t="s">
        <v>993</v>
      </c>
      <c r="J1" s="405" t="s">
        <v>994</v>
      </c>
      <c r="K1" s="406">
        <v>2016</v>
      </c>
      <c r="L1" s="439">
        <v>2017</v>
      </c>
      <c r="M1" s="439">
        <v>2018</v>
      </c>
      <c r="N1" s="439">
        <v>2019</v>
      </c>
      <c r="O1" s="439">
        <v>2020</v>
      </c>
      <c r="P1" s="439">
        <v>2021</v>
      </c>
      <c r="Q1" s="439">
        <v>2022</v>
      </c>
      <c r="R1" s="439">
        <v>2023</v>
      </c>
      <c r="S1" s="439">
        <v>2024</v>
      </c>
      <c r="T1" s="439">
        <v>2025</v>
      </c>
      <c r="U1" s="439">
        <v>2026</v>
      </c>
      <c r="V1" s="439">
        <v>2027</v>
      </c>
      <c r="W1" s="439">
        <v>2028</v>
      </c>
      <c r="X1" s="439">
        <v>2029</v>
      </c>
      <c r="Y1" s="439">
        <v>2030</v>
      </c>
      <c r="Z1" s="439">
        <v>2031</v>
      </c>
      <c r="AA1" s="439">
        <v>2032</v>
      </c>
      <c r="AB1" s="439">
        <v>2033</v>
      </c>
      <c r="AC1" s="439">
        <v>2034</v>
      </c>
      <c r="AD1" s="439">
        <v>2035</v>
      </c>
      <c r="AE1" s="440" t="s">
        <v>968</v>
      </c>
      <c r="AF1" s="398" t="s">
        <v>956</v>
      </c>
      <c r="AG1" s="399"/>
      <c r="AH1" s="399"/>
      <c r="AI1" s="399"/>
      <c r="AJ1" s="399"/>
      <c r="AK1" s="399"/>
      <c r="AL1" s="399"/>
      <c r="AM1" s="399"/>
      <c r="AN1" s="399"/>
      <c r="AO1" s="399"/>
      <c r="AP1" s="399"/>
      <c r="AQ1" s="387"/>
      <c r="AR1" s="397"/>
      <c r="AS1" s="398" t="s">
        <v>957</v>
      </c>
      <c r="AT1" s="399"/>
      <c r="AU1" s="399"/>
      <c r="AV1" s="399"/>
      <c r="AW1" s="399"/>
      <c r="AX1" s="399"/>
      <c r="AY1" s="399"/>
      <c r="AZ1" s="399"/>
      <c r="BA1" s="399"/>
      <c r="BB1" s="399"/>
      <c r="BC1" s="399"/>
      <c r="BD1" s="387"/>
    </row>
    <row r="2" spans="1:56" ht="15">
      <c r="A2" s="405"/>
      <c r="B2" s="405"/>
      <c r="C2" s="405"/>
      <c r="D2" s="405"/>
      <c r="E2" s="405"/>
      <c r="F2" s="405" t="s">
        <v>958</v>
      </c>
      <c r="G2" s="405" t="s">
        <v>662</v>
      </c>
      <c r="H2" s="405" t="s">
        <v>682</v>
      </c>
      <c r="I2" s="405">
        <f>'[2]SC-New'!D62</f>
        <v>1000</v>
      </c>
      <c r="J2" s="405"/>
      <c r="K2" s="407" t="str">
        <f t="shared" ref="K2:AD2" si="0">CONCATENATE("aMW_",K$1)</f>
        <v>aMW_2016</v>
      </c>
      <c r="L2" s="441" t="str">
        <f t="shared" si="0"/>
        <v>aMW_2017</v>
      </c>
      <c r="M2" s="441" t="str">
        <f t="shared" si="0"/>
        <v>aMW_2018</v>
      </c>
      <c r="N2" s="441" t="str">
        <f t="shared" si="0"/>
        <v>aMW_2019</v>
      </c>
      <c r="O2" s="441" t="str">
        <f t="shared" si="0"/>
        <v>aMW_2020</v>
      </c>
      <c r="P2" s="441" t="str">
        <f t="shared" si="0"/>
        <v>aMW_2021</v>
      </c>
      <c r="Q2" s="441" t="str">
        <f t="shared" si="0"/>
        <v>aMW_2022</v>
      </c>
      <c r="R2" s="441" t="str">
        <f t="shared" si="0"/>
        <v>aMW_2023</v>
      </c>
      <c r="S2" s="441" t="str">
        <f t="shared" si="0"/>
        <v>aMW_2024</v>
      </c>
      <c r="T2" s="441" t="str">
        <f t="shared" si="0"/>
        <v>aMW_2025</v>
      </c>
      <c r="U2" s="441" t="str">
        <f t="shared" si="0"/>
        <v>aMW_2026</v>
      </c>
      <c r="V2" s="441" t="str">
        <f t="shared" si="0"/>
        <v>aMW_2027</v>
      </c>
      <c r="W2" s="441" t="str">
        <f t="shared" si="0"/>
        <v>aMW_2028</v>
      </c>
      <c r="X2" s="441" t="str">
        <f t="shared" si="0"/>
        <v>aMW_2029</v>
      </c>
      <c r="Y2" s="441" t="str">
        <f t="shared" si="0"/>
        <v>aMW_2030</v>
      </c>
      <c r="Z2" s="441" t="str">
        <f t="shared" si="0"/>
        <v>aMW_2031</v>
      </c>
      <c r="AA2" s="441" t="str">
        <f t="shared" si="0"/>
        <v>aMW_2032</v>
      </c>
      <c r="AB2" s="441" t="str">
        <f t="shared" si="0"/>
        <v>aMW_2033</v>
      </c>
      <c r="AC2" s="441" t="str">
        <f t="shared" si="0"/>
        <v>aMW_2034</v>
      </c>
      <c r="AD2" s="441" t="str">
        <f t="shared" si="0"/>
        <v>aMW_2035</v>
      </c>
      <c r="AE2" s="442" t="s">
        <v>968</v>
      </c>
      <c r="AF2" s="380" t="s">
        <v>624</v>
      </c>
      <c r="AG2" s="380" t="s">
        <v>625</v>
      </c>
      <c r="AH2" s="380" t="s">
        <v>626</v>
      </c>
      <c r="AI2" s="380" t="s">
        <v>627</v>
      </c>
      <c r="AJ2" s="380" t="s">
        <v>628</v>
      </c>
      <c r="AK2" s="380" t="s">
        <v>629</v>
      </c>
      <c r="AL2" s="380" t="s">
        <v>630</v>
      </c>
      <c r="AM2" s="380" t="s">
        <v>631</v>
      </c>
      <c r="AN2" s="380" t="s">
        <v>632</v>
      </c>
      <c r="AO2" s="380" t="s">
        <v>633</v>
      </c>
      <c r="AP2" s="380" t="s">
        <v>634</v>
      </c>
      <c r="AQ2" s="380" t="s">
        <v>635</v>
      </c>
      <c r="AR2" s="380"/>
      <c r="AS2" s="380" t="s">
        <v>624</v>
      </c>
      <c r="AT2" s="380" t="s">
        <v>625</v>
      </c>
      <c r="AU2" s="380" t="s">
        <v>626</v>
      </c>
      <c r="AV2" s="380" t="s">
        <v>627</v>
      </c>
      <c r="AW2" s="380" t="s">
        <v>628</v>
      </c>
      <c r="AX2" s="380" t="s">
        <v>629</v>
      </c>
      <c r="AY2" s="380" t="s">
        <v>630</v>
      </c>
      <c r="AZ2" s="380" t="s">
        <v>631</v>
      </c>
      <c r="BA2" s="380" t="s">
        <v>632</v>
      </c>
      <c r="BB2" s="380" t="s">
        <v>633</v>
      </c>
      <c r="BC2" s="380" t="s">
        <v>634</v>
      </c>
      <c r="BD2" s="380" t="s">
        <v>635</v>
      </c>
    </row>
    <row r="3" spans="1:56" ht="15">
      <c r="A3" s="420" t="str">
        <f>VLOOKUP(CONCATENATE(C3,"-",B3),[1]!ACHIEV,2,FALSE)</f>
        <v>LO50Fast</v>
      </c>
      <c r="B3" s="420" t="s">
        <v>37</v>
      </c>
      <c r="C3" s="420" t="str">
        <f>[1]MLIST!$B$68</f>
        <v>Street and Roadway Lighting</v>
      </c>
      <c r="D3" s="420" t="s">
        <v>1021</v>
      </c>
      <c r="E3" s="420" t="s">
        <v>1022</v>
      </c>
      <c r="F3" s="443">
        <f t="shared" ref="F3:F12" si="1">VLOOKUP(CONCATENATE(J3),MeasOut,14,FALSE)</f>
        <v>7.6399321391375424E-2</v>
      </c>
      <c r="G3" s="444">
        <f t="shared" ref="G3:G12" si="2">VLOOKUP(CONCATENATE(J3),MeasOut,3,FALSE)</f>
        <v>327.31145340319665</v>
      </c>
      <c r="H3" s="444">
        <f t="shared" ref="H3:H12" si="3">VLOOKUP(CONCATENATE(J3),MeasOut,11,FALSE)</f>
        <v>-119.07831740351027</v>
      </c>
      <c r="I3" s="11"/>
      <c r="J3" s="11" t="s">
        <v>663</v>
      </c>
      <c r="K3" s="32">
        <f ca="1">VLOOKUP(forRPM!$J3,'SC-New'!$C$48:$Z$508,COLUMN()-8,FALSE)</f>
        <v>5.2344425660880101E-2</v>
      </c>
      <c r="L3" s="32">
        <f ca="1">VLOOKUP(forRPM!$J3,'SC-New'!$C$48:$Z$508,COLUMN()-8,FALSE)</f>
        <v>7.7653161941914572E-2</v>
      </c>
      <c r="M3" s="32">
        <f ca="1">VLOOKUP(forRPM!$J3,'SC-New'!$C$48:$Z$508,COLUMN()-8,FALSE)</f>
        <v>9.4586437513008007E-2</v>
      </c>
      <c r="N3" s="32">
        <f ca="1">VLOOKUP(forRPM!$J3,'SC-New'!$C$48:$Z$508,COLUMN()-8,FALSE)</f>
        <v>0.10428819137679721</v>
      </c>
      <c r="O3" s="32">
        <f ca="1">VLOOKUP(forRPM!$J3,'SC-New'!$C$48:$Z$508,COLUMN()-8,FALSE)</f>
        <v>0.10963449808492039</v>
      </c>
      <c r="P3" s="32">
        <f ca="1">VLOOKUP(forRPM!$J3,'SC-New'!$C$48:$Z$508,COLUMN()-8,FALSE)</f>
        <v>0.11094084631586859</v>
      </c>
      <c r="Q3" s="32">
        <f ca="1">VLOOKUP(forRPM!$J3,'SC-New'!$C$48:$Z$508,COLUMN()-8,FALSE)</f>
        <v>0.11019705190814161</v>
      </c>
      <c r="R3" s="32">
        <f ca="1">VLOOKUP(forRPM!$J3,'SC-New'!$C$48:$Z$508,COLUMN()-8,FALSE)</f>
        <v>0.10855175473934647</v>
      </c>
      <c r="S3" s="32">
        <f ca="1">VLOOKUP(forRPM!$J3,'SC-New'!$C$48:$Z$508,COLUMN()-8,FALSE)</f>
        <v>0.10664867178341396</v>
      </c>
      <c r="T3" s="32">
        <f ca="1">VLOOKUP(forRPM!$J3,'SC-New'!$C$48:$Z$508,COLUMN()-8,FALSE)</f>
        <v>0.10491739808828157</v>
      </c>
      <c r="U3" s="32">
        <f ca="1">VLOOKUP(forRPM!$J3,'SC-New'!$C$48:$Z$508,COLUMN()-8,FALSE)</f>
        <v>0.10347806727163528</v>
      </c>
      <c r="V3" s="32">
        <f ca="1">VLOOKUP(forRPM!$J3,'SC-New'!$C$48:$Z$508,COLUMN()-8,FALSE)</f>
        <v>0.10238580297461428</v>
      </c>
      <c r="W3" s="32">
        <f ca="1">VLOOKUP(forRPM!$J3,'SC-New'!$C$48:$Z$508,COLUMN()-8,FALSE)</f>
        <v>0.10144020990221309</v>
      </c>
      <c r="X3" s="32">
        <f ca="1">VLOOKUP(forRPM!$J3,'SC-New'!$C$48:$Z$508,COLUMN()-8,FALSE)</f>
        <v>0.10049978615147552</v>
      </c>
      <c r="Y3" s="32">
        <f ca="1">VLOOKUP(forRPM!$J3,'SC-New'!$C$48:$Z$508,COLUMN()-8,FALSE)</f>
        <v>9.9611373332875286E-2</v>
      </c>
      <c r="Z3" s="32">
        <f ca="1">VLOOKUP(forRPM!$J3,'SC-New'!$C$48:$Z$508,COLUMN()-8,FALSE)</f>
        <v>9.8806522515916512E-2</v>
      </c>
      <c r="AA3" s="32">
        <f ca="1">VLOOKUP(forRPM!$J3,'SC-New'!$C$48:$Z$508,COLUMN()-8,FALSE)</f>
        <v>9.8085287640871294E-2</v>
      </c>
      <c r="AB3" s="32">
        <f ca="1">VLOOKUP(forRPM!$J3,'SC-New'!$C$48:$Z$508,COLUMN()-8,FALSE)</f>
        <v>9.7435762188512132E-2</v>
      </c>
      <c r="AC3" s="32">
        <f ca="1">VLOOKUP(forRPM!$J3,'SC-New'!$C$48:$Z$508,COLUMN()-8,FALSE)</f>
        <v>9.6849015970648128E-2</v>
      </c>
      <c r="AD3" s="32">
        <f ca="1">VLOOKUP(forRPM!$J3,'SC-New'!$C$48:$Z$508,COLUMN()-8,FALSE)</f>
        <v>9.6441126014964587E-2</v>
      </c>
      <c r="AE3" s="32">
        <f ca="1">VLOOKUP(forRPM!$J3,'SC-New'!$C$48:$Z$508,COLUMN()-8,FALSE)</f>
        <v>1.9747953913762988</v>
      </c>
      <c r="AF3" s="445">
        <f t="shared" ref="AF3:AO12" si="4">VLOOKUP(CONCATENATE($J3),MeasOut,COLUMN()-17,FALSE)</f>
        <v>13.405847760628477</v>
      </c>
      <c r="AG3" s="445">
        <f t="shared" si="4"/>
        <v>9.9104403633442892</v>
      </c>
      <c r="AH3" s="445">
        <f t="shared" si="4"/>
        <v>9.2320322947720754</v>
      </c>
      <c r="AI3" s="445">
        <f t="shared" si="4"/>
        <v>5.2998660086111791</v>
      </c>
      <c r="AJ3" s="445">
        <f t="shared" si="4"/>
        <v>4.2573236582329095</v>
      </c>
      <c r="AK3" s="445">
        <f t="shared" si="4"/>
        <v>3.3024378660413309</v>
      </c>
      <c r="AL3" s="445">
        <f t="shared" si="4"/>
        <v>3.4460681308315255</v>
      </c>
      <c r="AM3" s="445">
        <f t="shared" si="4"/>
        <v>5.0158659436189756</v>
      </c>
      <c r="AN3" s="445">
        <f t="shared" si="4"/>
        <v>6.3371529039448617</v>
      </c>
      <c r="AO3" s="445">
        <f t="shared" si="4"/>
        <v>10.338349500632882</v>
      </c>
      <c r="AP3" s="445">
        <f t="shared" ref="AP3:BD12" si="5">VLOOKUP(CONCATENATE($J3),MeasOut,COLUMN()-17,FALSE)</f>
        <v>11.972086583086911</v>
      </c>
      <c r="AQ3" s="445">
        <f t="shared" si="5"/>
        <v>14.102876580967084</v>
      </c>
      <c r="AR3" s="445">
        <f t="shared" si="5"/>
        <v>0</v>
      </c>
      <c r="AS3" s="445">
        <f t="shared" si="5"/>
        <v>22.218084772927305</v>
      </c>
      <c r="AT3" s="445">
        <f t="shared" si="5"/>
        <v>19.272326811572601</v>
      </c>
      <c r="AU3" s="445">
        <f t="shared" si="5"/>
        <v>19.428590693501764</v>
      </c>
      <c r="AV3" s="445">
        <f t="shared" si="5"/>
        <v>18.500875203589072</v>
      </c>
      <c r="AW3" s="445">
        <f t="shared" si="5"/>
        <v>17.04024781160178</v>
      </c>
      <c r="AX3" s="445">
        <f t="shared" si="5"/>
        <v>15.482647792872569</v>
      </c>
      <c r="AY3" s="445">
        <f t="shared" si="5"/>
        <v>16.906651918914203</v>
      </c>
      <c r="AZ3" s="445">
        <f t="shared" si="5"/>
        <v>18.255862401883515</v>
      </c>
      <c r="BA3" s="445">
        <f t="shared" si="5"/>
        <v>19.677937557907565</v>
      </c>
      <c r="BB3" s="445">
        <f t="shared" si="5"/>
        <v>20.308746339638414</v>
      </c>
      <c r="BC3" s="445">
        <f t="shared" si="5"/>
        <v>21.289237818974108</v>
      </c>
      <c r="BD3" s="445">
        <f t="shared" si="5"/>
        <v>22.309896685101304</v>
      </c>
    </row>
    <row r="4" spans="1:56" ht="15">
      <c r="A4" s="420" t="str">
        <f>VLOOKUP(CONCATENATE(C4,"-",B4),[1]!ACHIEV,2,FALSE)</f>
        <v>LO50Fast</v>
      </c>
      <c r="B4" s="420" t="s">
        <v>37</v>
      </c>
      <c r="C4" s="420" t="str">
        <f>[1]MLIST!$B$68</f>
        <v>Street and Roadway Lighting</v>
      </c>
      <c r="D4" s="420" t="s">
        <v>1021</v>
      </c>
      <c r="E4" s="420" t="s">
        <v>1022</v>
      </c>
      <c r="F4" s="443">
        <f t="shared" si="1"/>
        <v>0.16678725092483371</v>
      </c>
      <c r="G4" s="444">
        <f t="shared" si="2"/>
        <v>714.55317292247162</v>
      </c>
      <c r="H4" s="444">
        <f t="shared" si="3"/>
        <v>-60.021736881709074</v>
      </c>
      <c r="J4" t="s">
        <v>665</v>
      </c>
      <c r="K4" s="32">
        <f ca="1">VLOOKUP(forRPM!$J4,'SC-New'!$C$48:$Z$508,COLUMN()-8,FALSE)</f>
        <v>2.9626344205558118E-2</v>
      </c>
      <c r="L4" s="32">
        <f ca="1">VLOOKUP(forRPM!$J4,'SC-New'!$C$48:$Z$508,COLUMN()-8,FALSE)</f>
        <v>4.3950798490859318E-2</v>
      </c>
      <c r="M4" s="32">
        <f ca="1">VLOOKUP(forRPM!$J4,'SC-New'!$C$48:$Z$508,COLUMN()-8,FALSE)</f>
        <v>5.3534838133340479E-2</v>
      </c>
      <c r="N4" s="32">
        <f ca="1">VLOOKUP(forRPM!$J4,'SC-New'!$C$48:$Z$508,COLUMN()-8,FALSE)</f>
        <v>5.9025919480346883E-2</v>
      </c>
      <c r="O4" s="32">
        <f ca="1">VLOOKUP(forRPM!$J4,'SC-New'!$C$48:$Z$508,COLUMN()-8,FALSE)</f>
        <v>6.2051867721512062E-2</v>
      </c>
      <c r="P4" s="32">
        <f ca="1">VLOOKUP(forRPM!$J4,'SC-New'!$C$48:$Z$508,COLUMN()-8,FALSE)</f>
        <v>6.2791245828230272E-2</v>
      </c>
      <c r="Q4" s="32">
        <f ca="1">VLOOKUP(forRPM!$J4,'SC-New'!$C$48:$Z$508,COLUMN()-8,FALSE)</f>
        <v>6.2370266729438531E-2</v>
      </c>
      <c r="R4" s="32">
        <f ca="1">VLOOKUP(forRPM!$J4,'SC-New'!$C$48:$Z$508,COLUMN()-8,FALSE)</f>
        <v>6.1439047413766795E-2</v>
      </c>
      <c r="S4" s="32">
        <f ca="1">VLOOKUP(forRPM!$J4,'SC-New'!$C$48:$Z$508,COLUMN()-8,FALSE)</f>
        <v>6.0361924300993304E-2</v>
      </c>
      <c r="T4" s="32">
        <f ca="1">VLOOKUP(forRPM!$J4,'SC-New'!$C$48:$Z$508,COLUMN()-8,FALSE)</f>
        <v>5.9382043258104075E-2</v>
      </c>
      <c r="U4" s="32">
        <f ca="1">VLOOKUP(forRPM!$J4,'SC-New'!$C$48:$Z$508,COLUMN()-8,FALSE)</f>
        <v>5.8567398534024151E-2</v>
      </c>
      <c r="V4" s="32">
        <f ca="1">VLOOKUP(forRPM!$J4,'SC-New'!$C$48:$Z$508,COLUMN()-8,FALSE)</f>
        <v>5.7949189477024765E-2</v>
      </c>
      <c r="W4" s="32">
        <f ca="1">VLOOKUP(forRPM!$J4,'SC-New'!$C$48:$Z$508,COLUMN()-8,FALSE)</f>
        <v>5.741399464992239E-2</v>
      </c>
      <c r="X4" s="32">
        <f ca="1">VLOOKUP(forRPM!$J4,'SC-New'!$C$48:$Z$508,COLUMN()-8,FALSE)</f>
        <v>5.6881725599557093E-2</v>
      </c>
      <c r="Y4" s="32">
        <f ca="1">VLOOKUP(forRPM!$J4,'SC-New'!$C$48:$Z$508,COLUMN()-8,FALSE)</f>
        <v>5.6378894139890307E-2</v>
      </c>
      <c r="Z4" s="32">
        <f ca="1">VLOOKUP(forRPM!$J4,'SC-New'!$C$48:$Z$508,COLUMN()-8,FALSE)</f>
        <v>5.5923357814172889E-2</v>
      </c>
      <c r="AA4" s="32">
        <f ca="1">VLOOKUP(forRPM!$J4,'SC-New'!$C$48:$Z$508,COLUMN()-8,FALSE)</f>
        <v>5.5515147151979839E-2</v>
      </c>
      <c r="AB4" s="32">
        <f ca="1">VLOOKUP(forRPM!$J4,'SC-New'!$C$48:$Z$508,COLUMN()-8,FALSE)</f>
        <v>5.5147523200070776E-2</v>
      </c>
      <c r="AC4" s="32">
        <f ca="1">VLOOKUP(forRPM!$J4,'SC-New'!$C$48:$Z$508,COLUMN()-8,FALSE)</f>
        <v>5.4815431574414826E-2</v>
      </c>
      <c r="AD4" s="32">
        <f ca="1">VLOOKUP(forRPM!$J4,'SC-New'!$C$48:$Z$508,COLUMN()-8,FALSE)</f>
        <v>5.4584570540551165E-2</v>
      </c>
      <c r="AE4" s="32">
        <f ca="1">VLOOKUP(forRPM!$J4,'SC-New'!$C$48:$Z$508,COLUMN()-8,FALSE)</f>
        <v>1.117711528243758</v>
      </c>
      <c r="AF4" s="445">
        <f t="shared" si="4"/>
        <v>29.266287364752312</v>
      </c>
      <c r="AG4" s="445">
        <f t="shared" si="4"/>
        <v>21.635468398850211</v>
      </c>
      <c r="AH4" s="445">
        <f t="shared" si="4"/>
        <v>20.154436699854532</v>
      </c>
      <c r="AI4" s="445">
        <f t="shared" si="4"/>
        <v>11.570130018799055</v>
      </c>
      <c r="AJ4" s="445">
        <f t="shared" si="4"/>
        <v>9.2941572820577623</v>
      </c>
      <c r="AK4" s="445">
        <f t="shared" si="4"/>
        <v>7.2095474540338929</v>
      </c>
      <c r="AL4" s="445">
        <f t="shared" si="4"/>
        <v>7.5231064828012189</v>
      </c>
      <c r="AM4" s="445">
        <f t="shared" si="4"/>
        <v>10.950129876914666</v>
      </c>
      <c r="AN4" s="445">
        <f t="shared" si="4"/>
        <v>13.834629579034559</v>
      </c>
      <c r="AO4" s="445">
        <f t="shared" si="4"/>
        <v>22.569636233776009</v>
      </c>
      <c r="AP4" s="445">
        <f t="shared" si="5"/>
        <v>26.136245357443258</v>
      </c>
      <c r="AQ4" s="445">
        <f t="shared" si="5"/>
        <v>30.787970000702796</v>
      </c>
      <c r="AR4" s="445">
        <f t="shared" si="5"/>
        <v>0</v>
      </c>
      <c r="AS4" s="445">
        <f t="shared" si="5"/>
        <v>48.504269574700466</v>
      </c>
      <c r="AT4" s="445">
        <f t="shared" si="5"/>
        <v>42.07338951822188</v>
      </c>
      <c r="AU4" s="445">
        <f t="shared" si="5"/>
        <v>42.414528978771465</v>
      </c>
      <c r="AV4" s="445">
        <f t="shared" si="5"/>
        <v>40.389234599384601</v>
      </c>
      <c r="AW4" s="445">
        <f t="shared" si="5"/>
        <v>37.200540997158818</v>
      </c>
      <c r="AX4" s="445">
        <f t="shared" si="5"/>
        <v>33.800146590073922</v>
      </c>
      <c r="AY4" s="445">
        <f t="shared" si="5"/>
        <v>36.908887991995798</v>
      </c>
      <c r="AZ4" s="445">
        <f t="shared" si="5"/>
        <v>39.854347497069654</v>
      </c>
      <c r="BA4" s="445">
        <f t="shared" si="5"/>
        <v>42.958877767263004</v>
      </c>
      <c r="BB4" s="445">
        <f t="shared" si="5"/>
        <v>44.335995530196548</v>
      </c>
      <c r="BC4" s="445">
        <f t="shared" si="5"/>
        <v>46.476505097760381</v>
      </c>
      <c r="BD4" s="445">
        <f t="shared" si="5"/>
        <v>48.70470403085497</v>
      </c>
    </row>
    <row r="5" spans="1:56" ht="15">
      <c r="A5" s="420" t="str">
        <f>VLOOKUP(CONCATENATE(C5,"-",B5),[1]!ACHIEV,2,FALSE)</f>
        <v>LO50Fast</v>
      </c>
      <c r="B5" s="420" t="s">
        <v>37</v>
      </c>
      <c r="C5" s="420" t="str">
        <f>[1]MLIST!$B$68</f>
        <v>Street and Roadway Lighting</v>
      </c>
      <c r="D5" s="420" t="s">
        <v>1021</v>
      </c>
      <c r="E5" s="420" t="s">
        <v>1022</v>
      </c>
      <c r="F5" s="443">
        <f t="shared" si="1"/>
        <v>9.8996303774740002E-2</v>
      </c>
      <c r="G5" s="444">
        <f t="shared" si="2"/>
        <v>424.12188328301545</v>
      </c>
      <c r="H5" s="444">
        <f t="shared" si="3"/>
        <v>-92.048554693123435</v>
      </c>
      <c r="J5" t="s">
        <v>664</v>
      </c>
      <c r="K5" s="32">
        <f ca="1">VLOOKUP(forRPM!$J5,'SC-New'!$C$48:$Z$508,COLUMN()-8,FALSE)</f>
        <v>1.6454225823289696E-2</v>
      </c>
      <c r="L5" s="32">
        <f ca="1">VLOOKUP(forRPM!$J5,'SC-New'!$C$48:$Z$508,COLUMN()-8,FALSE)</f>
        <v>2.4409908912987856E-2</v>
      </c>
      <c r="M5" s="32">
        <f ca="1">VLOOKUP(forRPM!$J5,'SC-New'!$C$48:$Z$508,COLUMN()-8,FALSE)</f>
        <v>2.9732805031475549E-2</v>
      </c>
      <c r="N5" s="32">
        <f ca="1">VLOOKUP(forRPM!$J5,'SC-New'!$C$48:$Z$508,COLUMN()-8,FALSE)</f>
        <v>3.2782506063462703E-2</v>
      </c>
      <c r="O5" s="32">
        <f ca="1">VLOOKUP(forRPM!$J5,'SC-New'!$C$48:$Z$508,COLUMN()-8,FALSE)</f>
        <v>3.4463092616574348E-2</v>
      </c>
      <c r="P5" s="32">
        <f ca="1">VLOOKUP(forRPM!$J5,'SC-New'!$C$48:$Z$508,COLUMN()-8,FALSE)</f>
        <v>3.4873737083955351E-2</v>
      </c>
      <c r="Q5" s="32">
        <f ca="1">VLOOKUP(forRPM!$J5,'SC-New'!$C$48:$Z$508,COLUMN()-8,FALSE)</f>
        <v>3.4639928784478947E-2</v>
      </c>
      <c r="R5" s="32">
        <f ca="1">VLOOKUP(forRPM!$J5,'SC-New'!$C$48:$Z$508,COLUMN()-8,FALSE)</f>
        <v>3.4122737300954713E-2</v>
      </c>
      <c r="S5" s="32">
        <f ca="1">VLOOKUP(forRPM!$J5,'SC-New'!$C$48:$Z$508,COLUMN()-8,FALSE)</f>
        <v>3.3524512058782097E-2</v>
      </c>
      <c r="T5" s="32">
        <f ca="1">VLOOKUP(forRPM!$J5,'SC-New'!$C$48:$Z$508,COLUMN()-8,FALSE)</f>
        <v>3.2980294255606932E-2</v>
      </c>
      <c r="U5" s="32">
        <f ca="1">VLOOKUP(forRPM!$J5,'SC-New'!$C$48:$Z$508,COLUMN()-8,FALSE)</f>
        <v>3.2527847333274615E-2</v>
      </c>
      <c r="V5" s="32">
        <f ca="1">VLOOKUP(forRPM!$J5,'SC-New'!$C$48:$Z$508,COLUMN()-8,FALSE)</f>
        <v>3.2184499151018557E-2</v>
      </c>
      <c r="W5" s="32">
        <f ca="1">VLOOKUP(forRPM!$J5,'SC-New'!$C$48:$Z$508,COLUMN()-8,FALSE)</f>
        <v>3.188725638344999E-2</v>
      </c>
      <c r="X5" s="32">
        <f ca="1">VLOOKUP(forRPM!$J5,'SC-New'!$C$48:$Z$508,COLUMN()-8,FALSE)</f>
        <v>3.159163856801208E-2</v>
      </c>
      <c r="Y5" s="32">
        <f ca="1">VLOOKUP(forRPM!$J5,'SC-New'!$C$48:$Z$508,COLUMN()-8,FALSE)</f>
        <v>3.1312370146265346E-2</v>
      </c>
      <c r="Z5" s="32">
        <f ca="1">VLOOKUP(forRPM!$J5,'SC-New'!$C$48:$Z$508,COLUMN()-8,FALSE)</f>
        <v>3.1059369049604223E-2</v>
      </c>
      <c r="AA5" s="32">
        <f ca="1">VLOOKUP(forRPM!$J5,'SC-New'!$C$48:$Z$508,COLUMN()-8,FALSE)</f>
        <v>3.0832652233901428E-2</v>
      </c>
      <c r="AB5" s="32">
        <f ca="1">VLOOKUP(forRPM!$J5,'SC-New'!$C$48:$Z$508,COLUMN()-8,FALSE)</f>
        <v>3.0628476940426398E-2</v>
      </c>
      <c r="AC5" s="32">
        <f ca="1">VLOOKUP(forRPM!$J5,'SC-New'!$C$48:$Z$508,COLUMN()-8,FALSE)</f>
        <v>3.0444036006214172E-2</v>
      </c>
      <c r="AD5" s="32">
        <f ca="1">VLOOKUP(forRPM!$J5,'SC-New'!$C$48:$Z$508,COLUMN()-8,FALSE)</f>
        <v>3.0315817702982622E-2</v>
      </c>
      <c r="AE5" s="32">
        <f ca="1">VLOOKUP(forRPM!$J5,'SC-New'!$C$48:$Z$508,COLUMN()-8,FALSE)</f>
        <v>0.62076771144671761</v>
      </c>
      <c r="AF5" s="445">
        <f t="shared" si="4"/>
        <v>17.370957661659439</v>
      </c>
      <c r="AG5" s="445">
        <f t="shared" si="4"/>
        <v>12.841697372220771</v>
      </c>
      <c r="AH5" s="445">
        <f t="shared" si="4"/>
        <v>11.962633396042692</v>
      </c>
      <c r="AI5" s="445">
        <f t="shared" si="4"/>
        <v>6.8674320111581491</v>
      </c>
      <c r="AJ5" s="445">
        <f t="shared" si="4"/>
        <v>5.5165320641891231</v>
      </c>
      <c r="AK5" s="445">
        <f t="shared" si="4"/>
        <v>4.2792152630394726</v>
      </c>
      <c r="AL5" s="445">
        <f t="shared" si="4"/>
        <v>4.46532771882395</v>
      </c>
      <c r="AM5" s="445">
        <f t="shared" si="4"/>
        <v>6.4994319269428988</v>
      </c>
      <c r="AN5" s="445">
        <f t="shared" si="4"/>
        <v>8.2115220727172868</v>
      </c>
      <c r="AO5" s="445">
        <f t="shared" si="4"/>
        <v>13.396171183918664</v>
      </c>
      <c r="AP5" s="445">
        <f t="shared" si="5"/>
        <v>15.513126276675999</v>
      </c>
      <c r="AQ5" s="445">
        <f t="shared" si="5"/>
        <v>18.274149935901015</v>
      </c>
      <c r="AR5" s="445">
        <f t="shared" si="5"/>
        <v>0</v>
      </c>
      <c r="AS5" s="445">
        <f t="shared" si="5"/>
        <v>28.789630973370599</v>
      </c>
      <c r="AT5" s="445">
        <f t="shared" si="5"/>
        <v>24.972592488234923</v>
      </c>
      <c r="AU5" s="445">
        <f t="shared" si="5"/>
        <v>25.175075264819196</v>
      </c>
      <c r="AV5" s="445">
        <f t="shared" si="5"/>
        <v>23.972965052537958</v>
      </c>
      <c r="AW5" s="445">
        <f t="shared" si="5"/>
        <v>22.080321107991043</v>
      </c>
      <c r="AX5" s="445">
        <f t="shared" si="5"/>
        <v>20.062022492172908</v>
      </c>
      <c r="AY5" s="445">
        <f t="shared" si="5"/>
        <v>21.907210937184605</v>
      </c>
      <c r="AZ5" s="445">
        <f t="shared" si="5"/>
        <v>23.655483675680056</v>
      </c>
      <c r="BA5" s="445">
        <f t="shared" si="5"/>
        <v>25.498172610246431</v>
      </c>
      <c r="BB5" s="445">
        <f t="shared" si="5"/>
        <v>26.315558637277952</v>
      </c>
      <c r="BC5" s="445">
        <f t="shared" si="5"/>
        <v>27.586054638670678</v>
      </c>
      <c r="BD5" s="445">
        <f t="shared" si="5"/>
        <v>28.908598521539727</v>
      </c>
    </row>
    <row r="6" spans="1:56" ht="15">
      <c r="A6" s="420" t="str">
        <f>VLOOKUP(CONCATENATE(C6,"-",B6),[1]!ACHIEV,2,FALSE)</f>
        <v>LO50Fast</v>
      </c>
      <c r="B6" s="420" t="s">
        <v>37</v>
      </c>
      <c r="C6" s="420" t="str">
        <f>[1]MLIST!$B$68</f>
        <v>Street and Roadway Lighting</v>
      </c>
      <c r="D6" s="420" t="s">
        <v>1021</v>
      </c>
      <c r="E6" s="420" t="s">
        <v>1022</v>
      </c>
      <c r="F6" s="443">
        <f t="shared" si="1"/>
        <v>0.28838053708293826</v>
      </c>
      <c r="G6" s="444">
        <f t="shared" si="2"/>
        <v>1235.4854860853059</v>
      </c>
      <c r="H6" s="444">
        <f t="shared" si="3"/>
        <v>-26.299688202993423</v>
      </c>
      <c r="J6" t="s">
        <v>666</v>
      </c>
      <c r="K6" s="32">
        <f ca="1">VLOOKUP(forRPM!$J6,'SC-New'!$C$48:$Z$508,COLUMN()-8,FALSE)</f>
        <v>6.4031131024915935E-2</v>
      </c>
      <c r="L6" s="32">
        <f ca="1">VLOOKUP(forRPM!$J6,'SC-New'!$C$48:$Z$508,COLUMN()-8,FALSE)</f>
        <v>9.4990435447986257E-2</v>
      </c>
      <c r="M6" s="32">
        <f ca="1">VLOOKUP(forRPM!$J6,'SC-New'!$C$48:$Z$508,COLUMN()-8,FALSE)</f>
        <v>0.11570432757851006</v>
      </c>
      <c r="N6" s="32">
        <f ca="1">VLOOKUP(forRPM!$J6,'SC-New'!$C$48:$Z$508,COLUMN()-8,FALSE)</f>
        <v>0.12757214855429808</v>
      </c>
      <c r="O6" s="32">
        <f ca="1">VLOOKUP(forRPM!$J6,'SC-New'!$C$48:$Z$508,COLUMN()-8,FALSE)</f>
        <v>0.13411210120455833</v>
      </c>
      <c r="P6" s="32">
        <f ca="1">VLOOKUP(forRPM!$J6,'SC-New'!$C$48:$Z$508,COLUMN()-8,FALSE)</f>
        <v>0.13571011195133639</v>
      </c>
      <c r="Q6" s="32">
        <f ca="1">VLOOKUP(forRPM!$J6,'SC-New'!$C$48:$Z$508,COLUMN()-8,FALSE)</f>
        <v>0.13480025389910907</v>
      </c>
      <c r="R6" s="32">
        <f ca="1">VLOOKUP(forRPM!$J6,'SC-New'!$C$48:$Z$508,COLUMN()-8,FALSE)</f>
        <v>0.13278761860394755</v>
      </c>
      <c r="S6" s="32">
        <f ca="1">VLOOKUP(forRPM!$J6,'SC-New'!$C$48:$Z$508,COLUMN()-8,FALSE)</f>
        <v>0.13045964284408232</v>
      </c>
      <c r="T6" s="32">
        <f ca="1">VLOOKUP(forRPM!$J6,'SC-New'!$C$48:$Z$508,COLUMN()-8,FALSE)</f>
        <v>0.12834183542880556</v>
      </c>
      <c r="U6" s="32">
        <f ca="1">VLOOKUP(forRPM!$J6,'SC-New'!$C$48:$Z$508,COLUMN()-8,FALSE)</f>
        <v>0.12658115167031025</v>
      </c>
      <c r="V6" s="32">
        <f ca="1">VLOOKUP(forRPM!$J6,'SC-New'!$C$48:$Z$508,COLUMN()-8,FALSE)</f>
        <v>0.12524502241808577</v>
      </c>
      <c r="W6" s="32">
        <f ca="1">VLOOKUP(forRPM!$J6,'SC-New'!$C$48:$Z$508,COLUMN()-8,FALSE)</f>
        <v>0.12408831101757417</v>
      </c>
      <c r="X6" s="32">
        <f ca="1">VLOOKUP(forRPM!$J6,'SC-New'!$C$48:$Z$508,COLUMN()-8,FALSE)</f>
        <v>0.12293792307001047</v>
      </c>
      <c r="Y6" s="32">
        <f ca="1">VLOOKUP(forRPM!$J6,'SC-New'!$C$48:$Z$508,COLUMN()-8,FALSE)</f>
        <v>0.12185115830234357</v>
      </c>
      <c r="Z6" s="32">
        <f ca="1">VLOOKUP(forRPM!$J6,'SC-New'!$C$48:$Z$508,COLUMN()-8,FALSE)</f>
        <v>0.12086661204998655</v>
      </c>
      <c r="AA6" s="32">
        <f ca="1">VLOOKUP(forRPM!$J6,'SC-New'!$C$48:$Z$508,COLUMN()-8,FALSE)</f>
        <v>0.1199843502962145</v>
      </c>
      <c r="AB6" s="32">
        <f ca="1">VLOOKUP(forRPM!$J6,'SC-New'!$C$48:$Z$508,COLUMN()-8,FALSE)</f>
        <v>0.11918980820660455</v>
      </c>
      <c r="AC6" s="32">
        <f ca="1">VLOOKUP(forRPM!$J6,'SC-New'!$C$48:$Z$508,COLUMN()-8,FALSE)</f>
        <v>0.1184720617898643</v>
      </c>
      <c r="AD6" s="32">
        <f ca="1">VLOOKUP(forRPM!$J6,'SC-New'!$C$48:$Z$508,COLUMN()-8,FALSE)</f>
        <v>0.11797310407151382</v>
      </c>
      <c r="AE6" s="32">
        <f ca="1">VLOOKUP(forRPM!$J6,'SC-New'!$C$48:$Z$508,COLUMN()-8,FALSE)</f>
        <v>2.4156991094300579</v>
      </c>
      <c r="AF6" s="445">
        <f t="shared" si="4"/>
        <v>50.602354927442711</v>
      </c>
      <c r="AG6" s="445">
        <f t="shared" si="4"/>
        <v>37.408422779947465</v>
      </c>
      <c r="AH6" s="445">
        <f t="shared" si="4"/>
        <v>34.847671197167841</v>
      </c>
      <c r="AI6" s="445">
        <f t="shared" si="4"/>
        <v>20.005128032504174</v>
      </c>
      <c r="AJ6" s="445">
        <f t="shared" si="4"/>
        <v>16.069897752203097</v>
      </c>
      <c r="AK6" s="445">
        <f t="shared" si="4"/>
        <v>12.465540114071507</v>
      </c>
      <c r="AL6" s="445">
        <f t="shared" si="4"/>
        <v>13.007693789617592</v>
      </c>
      <c r="AM6" s="445">
        <f t="shared" si="4"/>
        <v>18.93312778718149</v>
      </c>
      <c r="AN6" s="445">
        <f t="shared" si="4"/>
        <v>23.920520820524271</v>
      </c>
      <c r="AO6" s="445">
        <f t="shared" si="4"/>
        <v>39.023629100980457</v>
      </c>
      <c r="AP6" s="445">
        <f t="shared" si="5"/>
        <v>45.190411327708347</v>
      </c>
      <c r="AQ6" s="445">
        <f t="shared" si="5"/>
        <v>53.233393291537745</v>
      </c>
      <c r="AR6" s="445">
        <f t="shared" si="5"/>
        <v>0</v>
      </c>
      <c r="AS6" s="445">
        <f t="shared" si="5"/>
        <v>83.865446748514358</v>
      </c>
      <c r="AT6" s="445">
        <f t="shared" si="5"/>
        <v>72.746247683119122</v>
      </c>
      <c r="AU6" s="445">
        <f t="shared" si="5"/>
        <v>73.336088814908095</v>
      </c>
      <c r="AV6" s="445">
        <f t="shared" si="5"/>
        <v>69.834289500871449</v>
      </c>
      <c r="AW6" s="445">
        <f t="shared" si="5"/>
        <v>64.320935401539117</v>
      </c>
      <c r="AX6" s="445">
        <f t="shared" si="5"/>
        <v>58.441543781547168</v>
      </c>
      <c r="AY6" s="445">
        <f t="shared" si="5"/>
        <v>63.816657947450807</v>
      </c>
      <c r="AZ6" s="445">
        <f t="shared" si="5"/>
        <v>68.909452446546254</v>
      </c>
      <c r="BA6" s="445">
        <f t="shared" si="5"/>
        <v>74.277285429848305</v>
      </c>
      <c r="BB6" s="445">
        <f t="shared" si="5"/>
        <v>76.658366465114042</v>
      </c>
      <c r="BC6" s="445">
        <f t="shared" si="5"/>
        <v>80.359376556127629</v>
      </c>
      <c r="BD6" s="445">
        <f t="shared" si="5"/>
        <v>84.212004388833122</v>
      </c>
    </row>
    <row r="7" spans="1:56" ht="15">
      <c r="A7" s="420" t="str">
        <f>VLOOKUP(CONCATENATE(C7,"-",B7),[1]!ACHIEV,2,FALSE)</f>
        <v>LO50Fast</v>
      </c>
      <c r="B7" s="420" t="s">
        <v>37</v>
      </c>
      <c r="C7" s="420" t="str">
        <f>[1]MLIST!$B$68</f>
        <v>Street and Roadway Lighting</v>
      </c>
      <c r="D7" s="420" t="s">
        <v>1021</v>
      </c>
      <c r="E7" s="420" t="s">
        <v>1022</v>
      </c>
      <c r="F7" s="443">
        <f t="shared" si="1"/>
        <v>0.73063576372878758</v>
      </c>
      <c r="G7" s="444">
        <f t="shared" si="2"/>
        <v>3130.2038994474719</v>
      </c>
      <c r="H7" s="444">
        <f t="shared" si="3"/>
        <v>-1.273422282914503</v>
      </c>
      <c r="J7" t="s">
        <v>667</v>
      </c>
      <c r="K7" s="32">
        <f ca="1">VLOOKUP(forRPM!$J7,'SC-New'!$C$48:$Z$508,COLUMN()-8,FALSE)</f>
        <v>1.2978250139079973E-2</v>
      </c>
      <c r="L7" s="32">
        <f ca="1">VLOOKUP(forRPM!$J7,'SC-New'!$C$48:$Z$508,COLUMN()-8,FALSE)</f>
        <v>1.9253285274382886E-2</v>
      </c>
      <c r="M7" s="32">
        <f ca="1">VLOOKUP(forRPM!$J7,'SC-New'!$C$48:$Z$508,COLUMN()-8,FALSE)</f>
        <v>2.3451712962927862E-2</v>
      </c>
      <c r="N7" s="32">
        <f ca="1">VLOOKUP(forRPM!$J7,'SC-New'!$C$48:$Z$508,COLUMN()-8,FALSE)</f>
        <v>2.5857160856229369E-2</v>
      </c>
      <c r="O7" s="32">
        <f ca="1">VLOOKUP(forRPM!$J7,'SC-New'!$C$48:$Z$508,COLUMN()-8,FALSE)</f>
        <v>2.7182721408326886E-2</v>
      </c>
      <c r="P7" s="32">
        <f ca="1">VLOOKUP(forRPM!$J7,'SC-New'!$C$48:$Z$508,COLUMN()-8,FALSE)</f>
        <v>2.7506616720882799E-2</v>
      </c>
      <c r="Q7" s="32">
        <f ca="1">VLOOKUP(forRPM!$J7,'SC-New'!$C$48:$Z$508,COLUMN()-8,FALSE)</f>
        <v>2.7322200715670163E-2</v>
      </c>
      <c r="R7" s="32">
        <f ca="1">VLOOKUP(forRPM!$J7,'SC-New'!$C$48:$Z$508,COLUMN()-8,FALSE)</f>
        <v>2.6914266576740408E-2</v>
      </c>
      <c r="S7" s="32">
        <f ca="1">VLOOKUP(forRPM!$J7,'SC-New'!$C$48:$Z$508,COLUMN()-8,FALSE)</f>
        <v>2.6442417161531895E-2</v>
      </c>
      <c r="T7" s="32">
        <f ca="1">VLOOKUP(forRPM!$J7,'SC-New'!$C$48:$Z$508,COLUMN()-8,FALSE)</f>
        <v>2.6013166046614619E-2</v>
      </c>
      <c r="U7" s="32">
        <f ca="1">VLOOKUP(forRPM!$J7,'SC-New'!$C$48:$Z$508,COLUMN()-8,FALSE)</f>
        <v>2.5656299099743478E-2</v>
      </c>
      <c r="V7" s="32">
        <f ca="1">VLOOKUP(forRPM!$J7,'SC-New'!$C$48:$Z$508,COLUMN()-8,FALSE)</f>
        <v>2.5385483648322459E-2</v>
      </c>
      <c r="W7" s="32">
        <f ca="1">VLOOKUP(forRPM!$J7,'SC-New'!$C$48:$Z$508,COLUMN()-8,FALSE)</f>
        <v>2.5151033785353084E-2</v>
      </c>
      <c r="X7" s="32">
        <f ca="1">VLOOKUP(forRPM!$J7,'SC-New'!$C$48:$Z$508,COLUMN()-8,FALSE)</f>
        <v>2.4917865601354356E-2</v>
      </c>
      <c r="Y7" s="32">
        <f ca="1">VLOOKUP(forRPM!$J7,'SC-New'!$C$48:$Z$508,COLUMN()-8,FALSE)</f>
        <v>2.4697592981280974E-2</v>
      </c>
      <c r="Z7" s="32">
        <f ca="1">VLOOKUP(forRPM!$J7,'SC-New'!$C$48:$Z$508,COLUMN()-8,FALSE)</f>
        <v>2.4498038681176375E-2</v>
      </c>
      <c r="AA7" s="32">
        <f ca="1">VLOOKUP(forRPM!$J7,'SC-New'!$C$48:$Z$508,COLUMN()-8,FALSE)</f>
        <v>2.4319216074964067E-2</v>
      </c>
      <c r="AB7" s="32">
        <f ca="1">VLOOKUP(forRPM!$J7,'SC-New'!$C$48:$Z$508,COLUMN()-8,FALSE)</f>
        <v>2.4158173066353573E-2</v>
      </c>
      <c r="AC7" s="32">
        <f ca="1">VLOOKUP(forRPM!$J7,'SC-New'!$C$48:$Z$508,COLUMN()-8,FALSE)</f>
        <v>2.4012695509050101E-2</v>
      </c>
      <c r="AD7" s="32">
        <f ca="1">VLOOKUP(forRPM!$J7,'SC-New'!$C$48:$Z$508,COLUMN()-8,FALSE)</f>
        <v>2.3911563481957575E-2</v>
      </c>
      <c r="AE7" s="32">
        <f ca="1">VLOOKUP(forRPM!$J7,'SC-New'!$C$48:$Z$508,COLUMN()-8,FALSE)</f>
        <v>0.48962975979194295</v>
      </c>
      <c r="AF7" s="445">
        <f t="shared" si="4"/>
        <v>128.20522013333431</v>
      </c>
      <c r="AG7" s="445">
        <f t="shared" si="4"/>
        <v>94.777309953672855</v>
      </c>
      <c r="AH7" s="445">
        <f t="shared" si="4"/>
        <v>88.289435607749851</v>
      </c>
      <c r="AI7" s="445">
        <f t="shared" si="4"/>
        <v>50.684634082351991</v>
      </c>
      <c r="AJ7" s="445">
        <f t="shared" si="4"/>
        <v>40.714405125917544</v>
      </c>
      <c r="AK7" s="445">
        <f t="shared" si="4"/>
        <v>31.582469169606536</v>
      </c>
      <c r="AL7" s="445">
        <f t="shared" si="4"/>
        <v>32.956060011755014</v>
      </c>
      <c r="AM7" s="445">
        <f t="shared" si="4"/>
        <v>47.968633460806828</v>
      </c>
      <c r="AN7" s="445">
        <f t="shared" si="4"/>
        <v>60.604603123641709</v>
      </c>
      <c r="AO7" s="445">
        <f t="shared" si="4"/>
        <v>98.869567759573613</v>
      </c>
      <c r="AP7" s="445">
        <f t="shared" si="5"/>
        <v>114.49361675938046</v>
      </c>
      <c r="AQ7" s="445">
        <f t="shared" si="5"/>
        <v>134.8711718095303</v>
      </c>
      <c r="AR7" s="445">
        <f t="shared" si="5"/>
        <v>0</v>
      </c>
      <c r="AS7" s="445">
        <f t="shared" si="5"/>
        <v>212.479993814333</v>
      </c>
      <c r="AT7" s="445">
        <f t="shared" si="5"/>
        <v>184.30859021208164</v>
      </c>
      <c r="AU7" s="445">
        <f t="shared" si="5"/>
        <v>185.80300113926339</v>
      </c>
      <c r="AV7" s="445">
        <f t="shared" si="5"/>
        <v>176.93090511601383</v>
      </c>
      <c r="AW7" s="445">
        <f t="shared" si="5"/>
        <v>162.96236991658603</v>
      </c>
      <c r="AX7" s="445">
        <f t="shared" si="5"/>
        <v>148.06644861071092</v>
      </c>
      <c r="AY7" s="445">
        <f t="shared" si="5"/>
        <v>161.68474159074287</v>
      </c>
      <c r="AZ7" s="445">
        <f t="shared" si="5"/>
        <v>174.58775451942125</v>
      </c>
      <c r="BA7" s="445">
        <f t="shared" si="5"/>
        <v>188.18760002562308</v>
      </c>
      <c r="BB7" s="445">
        <f t="shared" si="5"/>
        <v>194.22026429034486</v>
      </c>
      <c r="BC7" s="445">
        <f t="shared" si="5"/>
        <v>203.59707717018901</v>
      </c>
      <c r="BD7" s="445">
        <f t="shared" si="5"/>
        <v>213.35802604484209</v>
      </c>
    </row>
    <row r="8" spans="1:56" ht="15">
      <c r="A8" s="420" t="str">
        <f>VLOOKUP(CONCATENATE(C8,"-",B8),[1]!ACHIEV,2,FALSE)</f>
        <v>LO50Fast</v>
      </c>
      <c r="B8" s="420" t="s">
        <v>75</v>
      </c>
      <c r="C8" s="420" t="str">
        <f>[1]MLIST!$B$68</f>
        <v>Street and Roadway Lighting</v>
      </c>
      <c r="D8" s="420" t="s">
        <v>1021</v>
      </c>
      <c r="E8" s="420" t="s">
        <v>1022</v>
      </c>
      <c r="F8" s="443">
        <f t="shared" si="1"/>
        <v>7.6399321391375424E-2</v>
      </c>
      <c r="G8" s="444">
        <f t="shared" si="2"/>
        <v>327.31145340319665</v>
      </c>
      <c r="H8" s="444">
        <f t="shared" si="3"/>
        <v>-68.731079037080974</v>
      </c>
      <c r="J8" t="s">
        <v>668</v>
      </c>
      <c r="K8" s="32">
        <f ca="1">VLOOKUP(forRPM!$J8,'SC-NR'!$C$73:$X$77,COLUMN()-8,FALSE)</f>
        <v>0.72236741022377549</v>
      </c>
      <c r="L8" s="32">
        <f ca="1">VLOOKUP(forRPM!$J8,'SC-NR'!$C$73:$X$77,COLUMN()-8,FALSE)</f>
        <v>1.0594722016615374</v>
      </c>
      <c r="M8" s="32">
        <f ca="1">VLOOKUP(forRPM!$J8,'SC-NR'!$C$73:$X$77,COLUMN()-8,FALSE)</f>
        <v>1.2842087292867121</v>
      </c>
      <c r="N8" s="32">
        <f ca="1">VLOOKUP(forRPM!$J8,'SC-NR'!$C$73:$X$77,COLUMN()-8,FALSE)</f>
        <v>1.4286822113314672</v>
      </c>
      <c r="O8" s="32">
        <f ca="1">VLOOKUP(forRPM!$J8,'SC-NR'!$C$73:$X$77,COLUMN()-8,FALSE)</f>
        <v>1.524260028091851</v>
      </c>
      <c r="P8" s="32">
        <f ca="1">VLOOKUP(forRPM!$J8,'SC-NR'!$C$73:$X$77,COLUMN()-8,FALSE)</f>
        <v>1.5804899882369221</v>
      </c>
      <c r="Q8" s="32">
        <f ca="1">VLOOKUP(forRPM!$J8,'SC-NR'!$C$73:$X$77,COLUMN()-8,FALSE)</f>
        <v>1.5994403581827148</v>
      </c>
      <c r="R8" s="32">
        <f ca="1">VLOOKUP(forRPM!$J8,'SC-NR'!$C$73:$X$77,COLUMN()-8,FALSE)</f>
        <v>1.6063145732436213</v>
      </c>
      <c r="S8" s="32">
        <f ca="1">VLOOKUP(forRPM!$J8,'SC-NR'!$C$73:$X$77,COLUMN()-8,FALSE)</f>
        <v>1.6082967488454558</v>
      </c>
      <c r="T8" s="32">
        <f ca="1">VLOOKUP(forRPM!$J8,'SC-NR'!$C$73:$X$77,COLUMN()-8,FALSE)</f>
        <v>1.6085770585514347</v>
      </c>
      <c r="U8" s="32">
        <f ca="1">VLOOKUP(forRPM!$J8,'SC-NR'!$C$73:$X$77,COLUMN()-8,FALSE)</f>
        <v>1.6084998482862147</v>
      </c>
      <c r="V8" s="32">
        <f ca="1">VLOOKUP(forRPM!$J8,'SC-NR'!$C$73:$X$77,COLUMN()-8,FALSE)</f>
        <v>1.6083951029791175</v>
      </c>
      <c r="W8" s="32">
        <f ca="1">VLOOKUP(forRPM!$J8,'SC-NR'!$C$73:$X$77,COLUMN()-8,FALSE)</f>
        <v>1.6083184999676592</v>
      </c>
      <c r="X8" s="32">
        <f ca="1">VLOOKUP(forRPM!$J8,'SC-NR'!$C$73:$X$77,COLUMN()-8,FALSE)</f>
        <v>1.6082650623523167</v>
      </c>
      <c r="Y8" s="32">
        <f ca="1">VLOOKUP(forRPM!$J8,'SC-NR'!$C$73:$X$77,COLUMN()-8,FALSE)</f>
        <v>1.6082271692115293</v>
      </c>
      <c r="Z8" s="32">
        <f ca="1">VLOOKUP(forRPM!$J8,'SC-NR'!$C$73:$X$77,COLUMN()-8,FALSE)</f>
        <v>1.6081991786462526</v>
      </c>
      <c r="AA8" s="32">
        <f ca="1">VLOOKUP(forRPM!$J8,'SC-NR'!$C$73:$X$77,COLUMN()-8,FALSE)</f>
        <v>1.6081789569870519</v>
      </c>
      <c r="AB8" s="32">
        <f ca="1">VLOOKUP(forRPM!$J8,'SC-NR'!$C$73:$X$77,COLUMN()-8,FALSE)</f>
        <v>1.6081618294100335</v>
      </c>
      <c r="AC8" s="32">
        <f ca="1">VLOOKUP(forRPM!$J8,'SC-NR'!$C$73:$X$77,COLUMN()-8,FALSE)</f>
        <v>1.6081449231021825</v>
      </c>
      <c r="AD8" s="32">
        <f ca="1">VLOOKUP(forRPM!$J8,'SC-NR'!$C$73:$X$77,COLUMN()-8,FALSE)</f>
        <v>1.608128982518612</v>
      </c>
      <c r="AE8" s="32">
        <f ca="1">VLOOKUP(forRPM!$J8,'SC-NR'!$C$73:$Y$77,COLUMN()-8,FALSE)</f>
        <v>16.176062193301423</v>
      </c>
      <c r="AF8" s="445">
        <f t="shared" si="4"/>
        <v>13.405847760628477</v>
      </c>
      <c r="AG8" s="445">
        <f t="shared" si="4"/>
        <v>9.9104403633442892</v>
      </c>
      <c r="AH8" s="445">
        <f t="shared" si="4"/>
        <v>9.2320322947720754</v>
      </c>
      <c r="AI8" s="445">
        <f t="shared" si="4"/>
        <v>5.2998660086111791</v>
      </c>
      <c r="AJ8" s="445">
        <f t="shared" si="4"/>
        <v>4.2573236582329095</v>
      </c>
      <c r="AK8" s="445">
        <f t="shared" si="4"/>
        <v>3.3024378660413309</v>
      </c>
      <c r="AL8" s="445">
        <f t="shared" si="4"/>
        <v>3.4460681308315255</v>
      </c>
      <c r="AM8" s="445">
        <f t="shared" si="4"/>
        <v>5.0158659436189756</v>
      </c>
      <c r="AN8" s="445">
        <f t="shared" si="4"/>
        <v>6.3371529039448617</v>
      </c>
      <c r="AO8" s="445">
        <f t="shared" si="4"/>
        <v>10.338349500632882</v>
      </c>
      <c r="AP8" s="445">
        <f t="shared" si="5"/>
        <v>11.972086583086911</v>
      </c>
      <c r="AQ8" s="445">
        <f t="shared" si="5"/>
        <v>14.102876580967084</v>
      </c>
      <c r="AR8" s="445">
        <f t="shared" si="5"/>
        <v>0</v>
      </c>
      <c r="AS8" s="445">
        <f t="shared" si="5"/>
        <v>22.218084772927305</v>
      </c>
      <c r="AT8" s="445">
        <f t="shared" si="5"/>
        <v>19.272326811572601</v>
      </c>
      <c r="AU8" s="445">
        <f t="shared" si="5"/>
        <v>19.428590693501764</v>
      </c>
      <c r="AV8" s="445">
        <f t="shared" si="5"/>
        <v>18.500875203589072</v>
      </c>
      <c r="AW8" s="445">
        <f t="shared" si="5"/>
        <v>17.04024781160178</v>
      </c>
      <c r="AX8" s="445">
        <f t="shared" si="5"/>
        <v>15.482647792872569</v>
      </c>
      <c r="AY8" s="445">
        <f t="shared" si="5"/>
        <v>16.906651918914203</v>
      </c>
      <c r="AZ8" s="445">
        <f t="shared" si="5"/>
        <v>18.255862401883515</v>
      </c>
      <c r="BA8" s="445">
        <f t="shared" si="5"/>
        <v>19.677937557907565</v>
      </c>
      <c r="BB8" s="445">
        <f t="shared" si="5"/>
        <v>20.308746339638414</v>
      </c>
      <c r="BC8" s="445">
        <f t="shared" si="5"/>
        <v>21.289237818974108</v>
      </c>
      <c r="BD8" s="445">
        <f t="shared" si="5"/>
        <v>22.309896685101304</v>
      </c>
    </row>
    <row r="9" spans="1:56" ht="15">
      <c r="A9" s="420" t="str">
        <f>VLOOKUP(CONCATENATE(C9,"-",B9),[1]!ACHIEV,2,FALSE)</f>
        <v>LO50Fast</v>
      </c>
      <c r="B9" s="420" t="s">
        <v>75</v>
      </c>
      <c r="C9" s="420" t="str">
        <f>[1]MLIST!$B$68</f>
        <v>Street and Roadway Lighting</v>
      </c>
      <c r="D9" s="420" t="s">
        <v>1021</v>
      </c>
      <c r="E9" s="420" t="s">
        <v>1022</v>
      </c>
      <c r="F9" s="443">
        <f t="shared" si="1"/>
        <v>9.8996303774740002E-2</v>
      </c>
      <c r="G9" s="444">
        <f t="shared" si="2"/>
        <v>424.12188328301545</v>
      </c>
      <c r="H9" s="444">
        <f t="shared" si="3"/>
        <v>-41.091264258105952</v>
      </c>
      <c r="J9" t="s">
        <v>669</v>
      </c>
      <c r="K9" s="32">
        <f ca="1">VLOOKUP(forRPM!$J9,'SC-NR'!$C$73:$X$77,COLUMN()-8,FALSE)</f>
        <v>0.22707282284864222</v>
      </c>
      <c r="L9" s="32">
        <f ca="1">VLOOKUP(forRPM!$J9,'SC-NR'!$C$73:$X$77,COLUMN()-8,FALSE)</f>
        <v>0.33304014017800865</v>
      </c>
      <c r="M9" s="32">
        <f ca="1">VLOOKUP(forRPM!$J9,'SC-NR'!$C$73:$X$77,COLUMN()-8,FALSE)</f>
        <v>0.40368501839758625</v>
      </c>
      <c r="N9" s="32">
        <f ca="1">VLOOKUP(forRPM!$J9,'SC-NR'!$C$73:$X$77,COLUMN()-8,FALSE)</f>
        <v>0.44909958296731467</v>
      </c>
      <c r="O9" s="32">
        <f ca="1">VLOOKUP(forRPM!$J9,'SC-NR'!$C$73:$X$77,COLUMN()-8,FALSE)</f>
        <v>0.47914402343669765</v>
      </c>
      <c r="P9" s="32">
        <f ca="1">VLOOKUP(forRPM!$J9,'SC-NR'!$C$73:$X$77,COLUMN()-8,FALSE)</f>
        <v>0.49681964888449104</v>
      </c>
      <c r="Q9" s="32">
        <f ca="1">VLOOKUP(forRPM!$J9,'SC-NR'!$C$73:$X$77,COLUMN()-8,FALSE)</f>
        <v>0.50277660920234968</v>
      </c>
      <c r="R9" s="32">
        <f ca="1">VLOOKUP(forRPM!$J9,'SC-NR'!$C$73:$X$77,COLUMN()-8,FALSE)</f>
        <v>0.50493748661273141</v>
      </c>
      <c r="S9" s="32">
        <f ca="1">VLOOKUP(forRPM!$J9,'SC-NR'!$C$73:$X$77,COLUMN()-8,FALSE)</f>
        <v>0.50556057425887935</v>
      </c>
      <c r="T9" s="32">
        <f ca="1">VLOOKUP(forRPM!$J9,'SC-NR'!$C$73:$X$77,COLUMN()-8,FALSE)</f>
        <v>0.50564868830625709</v>
      </c>
      <c r="U9" s="32">
        <f ca="1">VLOOKUP(forRPM!$J9,'SC-NR'!$C$73:$X$77,COLUMN()-8,FALSE)</f>
        <v>0.50562441761986077</v>
      </c>
      <c r="V9" s="32">
        <f ca="1">VLOOKUP(forRPM!$J9,'SC-NR'!$C$73:$X$77,COLUMN()-8,FALSE)</f>
        <v>0.50559149142160476</v>
      </c>
      <c r="W9" s="32">
        <f ca="1">VLOOKUP(forRPM!$J9,'SC-NR'!$C$73:$X$77,COLUMN()-8,FALSE)</f>
        <v>0.50556741162259333</v>
      </c>
      <c r="X9" s="32">
        <f ca="1">VLOOKUP(forRPM!$J9,'SC-NR'!$C$73:$X$77,COLUMN()-8,FALSE)</f>
        <v>0.50555061375769761</v>
      </c>
      <c r="Y9" s="32">
        <f ca="1">VLOOKUP(forRPM!$J9,'SC-NR'!$C$73:$X$77,COLUMN()-8,FALSE)</f>
        <v>0.50553870222580488</v>
      </c>
      <c r="Z9" s="32">
        <f ca="1">VLOOKUP(forRPM!$J9,'SC-NR'!$C$73:$X$77,COLUMN()-8,FALSE)</f>
        <v>0.50552990352229121</v>
      </c>
      <c r="AA9" s="32">
        <f ca="1">VLOOKUP(forRPM!$J9,'SC-NR'!$C$73:$X$77,COLUMN()-8,FALSE)</f>
        <v>0.5055235469381314</v>
      </c>
      <c r="AB9" s="32">
        <f ca="1">VLOOKUP(forRPM!$J9,'SC-NR'!$C$73:$X$77,COLUMN()-8,FALSE)</f>
        <v>0.50551816296425989</v>
      </c>
      <c r="AC9" s="32">
        <f ca="1">VLOOKUP(forRPM!$J9,'SC-NR'!$C$73:$X$77,COLUMN()-8,FALSE)</f>
        <v>0.50551284854531842</v>
      </c>
      <c r="AD9" s="32">
        <f ca="1">VLOOKUP(forRPM!$J9,'SC-NR'!$C$73:$X$77,COLUMN()-8,FALSE)</f>
        <v>0.50550783769729568</v>
      </c>
      <c r="AE9" s="32">
        <f ca="1">VLOOKUP(forRPM!$J9,'SC-NR'!$C$73:$Y$77,COLUMN()-8,FALSE)</f>
        <v>5.0848696284211989</v>
      </c>
      <c r="AF9" s="445">
        <f t="shared" si="4"/>
        <v>17.370957661659439</v>
      </c>
      <c r="AG9" s="445">
        <f t="shared" si="4"/>
        <v>12.841697372220771</v>
      </c>
      <c r="AH9" s="445">
        <f t="shared" si="4"/>
        <v>11.962633396042692</v>
      </c>
      <c r="AI9" s="445">
        <f t="shared" si="4"/>
        <v>6.8674320111581491</v>
      </c>
      <c r="AJ9" s="445">
        <f t="shared" si="4"/>
        <v>5.5165320641891231</v>
      </c>
      <c r="AK9" s="445">
        <f t="shared" si="4"/>
        <v>4.2792152630394726</v>
      </c>
      <c r="AL9" s="445">
        <f t="shared" si="4"/>
        <v>4.46532771882395</v>
      </c>
      <c r="AM9" s="445">
        <f t="shared" si="4"/>
        <v>6.4994319269428988</v>
      </c>
      <c r="AN9" s="445">
        <f t="shared" si="4"/>
        <v>8.2115220727172868</v>
      </c>
      <c r="AO9" s="445">
        <f t="shared" si="4"/>
        <v>13.396171183918664</v>
      </c>
      <c r="AP9" s="445">
        <f t="shared" si="5"/>
        <v>15.513126276675999</v>
      </c>
      <c r="AQ9" s="445">
        <f t="shared" si="5"/>
        <v>18.274149935901015</v>
      </c>
      <c r="AR9" s="445">
        <f t="shared" si="5"/>
        <v>0</v>
      </c>
      <c r="AS9" s="445">
        <f t="shared" si="5"/>
        <v>28.789630973370599</v>
      </c>
      <c r="AT9" s="445">
        <f t="shared" si="5"/>
        <v>24.972592488234923</v>
      </c>
      <c r="AU9" s="445">
        <f t="shared" si="5"/>
        <v>25.175075264819196</v>
      </c>
      <c r="AV9" s="445">
        <f t="shared" si="5"/>
        <v>23.972965052537958</v>
      </c>
      <c r="AW9" s="445">
        <f t="shared" si="5"/>
        <v>22.080321107991043</v>
      </c>
      <c r="AX9" s="445">
        <f t="shared" si="5"/>
        <v>20.062022492172908</v>
      </c>
      <c r="AY9" s="445">
        <f t="shared" si="5"/>
        <v>21.907210937184605</v>
      </c>
      <c r="AZ9" s="445">
        <f t="shared" si="5"/>
        <v>23.655483675680056</v>
      </c>
      <c r="BA9" s="445">
        <f t="shared" si="5"/>
        <v>25.498172610246431</v>
      </c>
      <c r="BB9" s="445">
        <f t="shared" si="5"/>
        <v>26.315558637277952</v>
      </c>
      <c r="BC9" s="445">
        <f t="shared" si="5"/>
        <v>27.586054638670678</v>
      </c>
      <c r="BD9" s="445">
        <f t="shared" si="5"/>
        <v>28.908598521539727</v>
      </c>
    </row>
    <row r="10" spans="1:56" ht="15">
      <c r="A10" s="420" t="str">
        <f>VLOOKUP(CONCATENATE(C10,"-",B10),[1]!ACHIEV,2,FALSE)</f>
        <v>LO50Fast</v>
      </c>
      <c r="B10" s="420" t="s">
        <v>75</v>
      </c>
      <c r="C10" s="420" t="str">
        <f>[1]MLIST!$B$68</f>
        <v>Street and Roadway Lighting</v>
      </c>
      <c r="D10" s="420" t="s">
        <v>1021</v>
      </c>
      <c r="E10" s="420" t="s">
        <v>1022</v>
      </c>
      <c r="F10" s="443">
        <f t="shared" si="1"/>
        <v>0.16678725092483371</v>
      </c>
      <c r="G10" s="444">
        <f t="shared" si="2"/>
        <v>714.55317292247162</v>
      </c>
      <c r="H10" s="444">
        <f t="shared" si="3"/>
        <v>-29.77611933318255</v>
      </c>
      <c r="J10" t="s">
        <v>670</v>
      </c>
      <c r="K10" s="32">
        <f ca="1">VLOOKUP(forRPM!$J10,'SC-NR'!$C$73:$X$77,COLUMN()-8,FALSE)</f>
        <v>0.40885166410683177</v>
      </c>
      <c r="L10" s="32">
        <f ca="1">VLOOKUP(forRPM!$J10,'SC-NR'!$C$73:$X$77,COLUMN()-8,FALSE)</f>
        <v>0.59964910735668664</v>
      </c>
      <c r="M10" s="32">
        <f ca="1">VLOOKUP(forRPM!$J10,'SC-NR'!$C$73:$X$77,COLUMN()-8,FALSE)</f>
        <v>0.72684740285658989</v>
      </c>
      <c r="N10" s="32">
        <f ca="1">VLOOKUP(forRPM!$J10,'SC-NR'!$C$73:$X$77,COLUMN()-8,FALSE)</f>
        <v>0.80861773567795625</v>
      </c>
      <c r="O10" s="32">
        <f ca="1">VLOOKUP(forRPM!$J10,'SC-NR'!$C$73:$X$77,COLUMN()-8,FALSE)</f>
        <v>0.86271368308798035</v>
      </c>
      <c r="P10" s="32">
        <f ca="1">VLOOKUP(forRPM!$J10,'SC-NR'!$C$73:$X$77,COLUMN()-8,FALSE)</f>
        <v>0.89453919522016723</v>
      </c>
      <c r="Q10" s="32">
        <f ca="1">VLOOKUP(forRPM!$J10,'SC-NR'!$C$73:$X$77,COLUMN()-8,FALSE)</f>
        <v>0.90526488713001885</v>
      </c>
      <c r="R10" s="32">
        <f ca="1">VLOOKUP(forRPM!$J10,'SC-NR'!$C$73:$X$77,COLUMN()-8,FALSE)</f>
        <v>0.90915561396417821</v>
      </c>
      <c r="S10" s="32">
        <f ca="1">VLOOKUP(forRPM!$J10,'SC-NR'!$C$73:$X$77,COLUMN()-8,FALSE)</f>
        <v>0.91027750260684404</v>
      </c>
      <c r="T10" s="32">
        <f ca="1">VLOOKUP(forRPM!$J10,'SC-NR'!$C$73:$X$77,COLUMN()-8,FALSE)</f>
        <v>0.91043615468351957</v>
      </c>
      <c r="U10" s="32">
        <f ca="1">VLOOKUP(forRPM!$J10,'SC-NR'!$C$73:$X$77,COLUMN()-8,FALSE)</f>
        <v>0.91039245455949047</v>
      </c>
      <c r="V10" s="32">
        <f ca="1">VLOOKUP(forRPM!$J10,'SC-NR'!$C$73:$X$77,COLUMN()-8,FALSE)</f>
        <v>0.91033316991775837</v>
      </c>
      <c r="W10" s="32">
        <f ca="1">VLOOKUP(forRPM!$J10,'SC-NR'!$C$73:$X$77,COLUMN()-8,FALSE)</f>
        <v>0.91028981349238913</v>
      </c>
      <c r="X10" s="32">
        <f ca="1">VLOOKUP(forRPM!$J10,'SC-NR'!$C$73:$X$77,COLUMN()-8,FALSE)</f>
        <v>0.91025956841536981</v>
      </c>
      <c r="Y10" s="32">
        <f ca="1">VLOOKUP(forRPM!$J10,'SC-NR'!$C$73:$X$77,COLUMN()-8,FALSE)</f>
        <v>0.91023812133255588</v>
      </c>
      <c r="Z10" s="32">
        <f ca="1">VLOOKUP(forRPM!$J10,'SC-NR'!$C$73:$X$77,COLUMN()-8,FALSE)</f>
        <v>0.91022227899383656</v>
      </c>
      <c r="AA10" s="32">
        <f ca="1">VLOOKUP(forRPM!$J10,'SC-NR'!$C$73:$X$77,COLUMN()-8,FALSE)</f>
        <v>0.91021083376679779</v>
      </c>
      <c r="AB10" s="32">
        <f ca="1">VLOOKUP(forRPM!$J10,'SC-NR'!$C$73:$X$77,COLUMN()-8,FALSE)</f>
        <v>0.91020113975476602</v>
      </c>
      <c r="AC10" s="32">
        <f ca="1">VLOOKUP(forRPM!$J10,'SC-NR'!$C$73:$X$77,COLUMN()-8,FALSE)</f>
        <v>0.91019157097854375</v>
      </c>
      <c r="AD10" s="32">
        <f ca="1">VLOOKUP(forRPM!$J10,'SC-NR'!$C$73:$X$77,COLUMN()-8,FALSE)</f>
        <v>0.91018254879118099</v>
      </c>
      <c r="AE10" s="32">
        <f ca="1">VLOOKUP(forRPM!$J10,'SC-NR'!$C$73:$Y$77,COLUMN()-8,FALSE)</f>
        <v>9.1554655606322619</v>
      </c>
      <c r="AF10" s="445">
        <f t="shared" si="4"/>
        <v>29.266287364752312</v>
      </c>
      <c r="AG10" s="445">
        <f t="shared" si="4"/>
        <v>21.635468398850211</v>
      </c>
      <c r="AH10" s="445">
        <f t="shared" si="4"/>
        <v>20.154436699854532</v>
      </c>
      <c r="AI10" s="445">
        <f t="shared" si="4"/>
        <v>11.570130018799055</v>
      </c>
      <c r="AJ10" s="445">
        <f t="shared" si="4"/>
        <v>9.2941572820577623</v>
      </c>
      <c r="AK10" s="445">
        <f t="shared" si="4"/>
        <v>7.2095474540338929</v>
      </c>
      <c r="AL10" s="445">
        <f t="shared" si="4"/>
        <v>7.5231064828012189</v>
      </c>
      <c r="AM10" s="445">
        <f t="shared" si="4"/>
        <v>10.950129876914666</v>
      </c>
      <c r="AN10" s="445">
        <f t="shared" si="4"/>
        <v>13.834629579034559</v>
      </c>
      <c r="AO10" s="445">
        <f t="shared" si="4"/>
        <v>22.569636233776009</v>
      </c>
      <c r="AP10" s="445">
        <f t="shared" si="5"/>
        <v>26.136245357443258</v>
      </c>
      <c r="AQ10" s="445">
        <f t="shared" si="5"/>
        <v>30.787970000702796</v>
      </c>
      <c r="AR10" s="445">
        <f t="shared" si="5"/>
        <v>0</v>
      </c>
      <c r="AS10" s="445">
        <f t="shared" si="5"/>
        <v>48.504269574700466</v>
      </c>
      <c r="AT10" s="445">
        <f t="shared" si="5"/>
        <v>42.07338951822188</v>
      </c>
      <c r="AU10" s="445">
        <f t="shared" si="5"/>
        <v>42.414528978771465</v>
      </c>
      <c r="AV10" s="445">
        <f t="shared" si="5"/>
        <v>40.389234599384601</v>
      </c>
      <c r="AW10" s="445">
        <f t="shared" si="5"/>
        <v>37.200540997158818</v>
      </c>
      <c r="AX10" s="445">
        <f t="shared" si="5"/>
        <v>33.800146590073922</v>
      </c>
      <c r="AY10" s="445">
        <f t="shared" si="5"/>
        <v>36.908887991995798</v>
      </c>
      <c r="AZ10" s="445">
        <f t="shared" si="5"/>
        <v>39.854347497069654</v>
      </c>
      <c r="BA10" s="445">
        <f t="shared" si="5"/>
        <v>42.958877767263004</v>
      </c>
      <c r="BB10" s="445">
        <f t="shared" si="5"/>
        <v>44.335995530196548</v>
      </c>
      <c r="BC10" s="445">
        <f t="shared" si="5"/>
        <v>46.476505097760381</v>
      </c>
      <c r="BD10" s="445">
        <f t="shared" si="5"/>
        <v>48.70470403085497</v>
      </c>
    </row>
    <row r="11" spans="1:56" ht="15">
      <c r="A11" s="420" t="str">
        <f>VLOOKUP(CONCATENATE(C11,"-",B11),[1]!ACHIEV,2,FALSE)</f>
        <v>LO50Fast</v>
      </c>
      <c r="B11" s="420" t="s">
        <v>75</v>
      </c>
      <c r="C11" s="420" t="str">
        <f>[1]MLIST!$B$68</f>
        <v>Street and Roadway Lighting</v>
      </c>
      <c r="D11" s="420" t="s">
        <v>1021</v>
      </c>
      <c r="E11" s="420" t="s">
        <v>1022</v>
      </c>
      <c r="F11" s="443">
        <f t="shared" si="1"/>
        <v>0.28838053708293826</v>
      </c>
      <c r="G11" s="444">
        <f t="shared" si="2"/>
        <v>1235.4854860853059</v>
      </c>
      <c r="H11" s="444">
        <f t="shared" si="3"/>
        <v>-5.5269867849872165</v>
      </c>
      <c r="J11" t="s">
        <v>671</v>
      </c>
      <c r="K11" s="32">
        <f ca="1">VLOOKUP(forRPM!$J11,'SC-NR'!$C$73:$X$77,COLUMN()-8,FALSE)</f>
        <v>1.10455893125636</v>
      </c>
      <c r="L11" s="32">
        <f ca="1">VLOOKUP(forRPM!$J11,'SC-NR'!$C$73:$X$77,COLUMN()-8,FALSE)</f>
        <v>1.6200197658426616</v>
      </c>
      <c r="M11" s="32">
        <f ca="1">VLOOKUP(forRPM!$J11,'SC-NR'!$C$73:$X$77,COLUMN()-8,FALSE)</f>
        <v>1.9636603222335289</v>
      </c>
      <c r="N11" s="32">
        <f ca="1">VLOOKUP(forRPM!$J11,'SC-NR'!$C$73:$X$77,COLUMN()-8,FALSE)</f>
        <v>2.1845721084848009</v>
      </c>
      <c r="O11" s="32">
        <f ca="1">VLOOKUP(forRPM!$J11,'SC-NR'!$C$73:$X$77,COLUMN()-8,FALSE)</f>
        <v>2.3307184180199467</v>
      </c>
      <c r="P11" s="32">
        <f ca="1">VLOOKUP(forRPM!$J11,'SC-NR'!$C$73:$X$77,COLUMN()-8,FALSE)</f>
        <v>2.4166986322480328</v>
      </c>
      <c r="Q11" s="32">
        <f ca="1">VLOOKUP(forRPM!$J11,'SC-NR'!$C$73:$X$77,COLUMN()-8,FALSE)</f>
        <v>2.4456752999077116</v>
      </c>
      <c r="R11" s="32">
        <f ca="1">VLOOKUP(forRPM!$J11,'SC-NR'!$C$73:$X$77,COLUMN()-8,FALSE)</f>
        <v>2.4561865377258036</v>
      </c>
      <c r="S11" s="32">
        <f ca="1">VLOOKUP(forRPM!$J11,'SC-NR'!$C$73:$X$77,COLUMN()-8,FALSE)</f>
        <v>2.4592174465588119</v>
      </c>
      <c r="T11" s="32">
        <f ca="1">VLOOKUP(forRPM!$J11,'SC-NR'!$C$73:$X$77,COLUMN()-8,FALSE)</f>
        <v>2.4596460630562822</v>
      </c>
      <c r="U11" s="32">
        <f ca="1">VLOOKUP(forRPM!$J11,'SC-NR'!$C$73:$X$77,COLUMN()-8,FALSE)</f>
        <v>2.4595280022373336</v>
      </c>
      <c r="V11" s="32">
        <f ca="1">VLOOKUP(forRPM!$J11,'SC-NR'!$C$73:$X$77,COLUMN()-8,FALSE)</f>
        <v>2.4593678380842663</v>
      </c>
      <c r="W11" s="32">
        <f ca="1">VLOOKUP(forRPM!$J11,'SC-NR'!$C$73:$X$77,COLUMN()-8,FALSE)</f>
        <v>2.4592507058060513</v>
      </c>
      <c r="X11" s="32">
        <f ca="1">VLOOKUP(forRPM!$J11,'SC-NR'!$C$73:$X$77,COLUMN()-8,FALSE)</f>
        <v>2.4591689953157165</v>
      </c>
      <c r="Y11" s="32">
        <f ca="1">VLOOKUP(forRPM!$J11,'SC-NR'!$C$73:$X$77,COLUMN()-8,FALSE)</f>
        <v>2.4591110536000507</v>
      </c>
      <c r="Z11" s="32">
        <f ca="1">VLOOKUP(forRPM!$J11,'SC-NR'!$C$73:$X$77,COLUMN()-8,FALSE)</f>
        <v>2.4590682537333484</v>
      </c>
      <c r="AA11" s="32">
        <f ca="1">VLOOKUP(forRPM!$J11,'SC-NR'!$C$73:$X$77,COLUMN()-8,FALSE)</f>
        <v>2.459037333160301</v>
      </c>
      <c r="AB11" s="32">
        <f ca="1">VLOOKUP(forRPM!$J11,'SC-NR'!$C$73:$X$77,COLUMN()-8,FALSE)</f>
        <v>2.4590111436923117</v>
      </c>
      <c r="AC11" s="32">
        <f ca="1">VLOOKUP(forRPM!$J11,'SC-NR'!$C$73:$X$77,COLUMN()-8,FALSE)</f>
        <v>2.4589852925630011</v>
      </c>
      <c r="AD11" s="32">
        <f ca="1">VLOOKUP(forRPM!$J11,'SC-NR'!$C$73:$X$77,COLUMN()-8,FALSE)</f>
        <v>2.4589609181052068</v>
      </c>
      <c r="AE11" s="32">
        <f ca="1">VLOOKUP(forRPM!$J11,'SC-NR'!$C$73:$Y$77,COLUMN()-8,FALSE)</f>
        <v>19.787619114914889</v>
      </c>
      <c r="AF11" s="445">
        <f t="shared" si="4"/>
        <v>50.602354927442711</v>
      </c>
      <c r="AG11" s="445">
        <f t="shared" si="4"/>
        <v>37.408422779947465</v>
      </c>
      <c r="AH11" s="445">
        <f t="shared" si="4"/>
        <v>34.847671197167841</v>
      </c>
      <c r="AI11" s="445">
        <f t="shared" si="4"/>
        <v>20.005128032504174</v>
      </c>
      <c r="AJ11" s="445">
        <f t="shared" si="4"/>
        <v>16.069897752203097</v>
      </c>
      <c r="AK11" s="445">
        <f t="shared" si="4"/>
        <v>12.465540114071507</v>
      </c>
      <c r="AL11" s="445">
        <f t="shared" si="4"/>
        <v>13.007693789617592</v>
      </c>
      <c r="AM11" s="445">
        <f t="shared" si="4"/>
        <v>18.93312778718149</v>
      </c>
      <c r="AN11" s="445">
        <f t="shared" si="4"/>
        <v>23.920520820524271</v>
      </c>
      <c r="AO11" s="445">
        <f t="shared" si="4"/>
        <v>39.023629100980457</v>
      </c>
      <c r="AP11" s="445">
        <f t="shared" si="5"/>
        <v>45.190411327708347</v>
      </c>
      <c r="AQ11" s="445">
        <f t="shared" si="5"/>
        <v>53.233393291537745</v>
      </c>
      <c r="AR11" s="445">
        <f t="shared" si="5"/>
        <v>0</v>
      </c>
      <c r="AS11" s="445">
        <f t="shared" si="5"/>
        <v>83.865446748514358</v>
      </c>
      <c r="AT11" s="445">
        <f t="shared" si="5"/>
        <v>72.746247683119122</v>
      </c>
      <c r="AU11" s="445">
        <f t="shared" si="5"/>
        <v>73.336088814908095</v>
      </c>
      <c r="AV11" s="445">
        <f t="shared" si="5"/>
        <v>69.834289500871449</v>
      </c>
      <c r="AW11" s="445">
        <f t="shared" si="5"/>
        <v>64.320935401539117</v>
      </c>
      <c r="AX11" s="445">
        <f t="shared" si="5"/>
        <v>58.441543781547168</v>
      </c>
      <c r="AY11" s="445">
        <f t="shared" si="5"/>
        <v>63.816657947450807</v>
      </c>
      <c r="AZ11" s="445">
        <f t="shared" si="5"/>
        <v>68.909452446546254</v>
      </c>
      <c r="BA11" s="445">
        <f t="shared" si="5"/>
        <v>74.277285429848305</v>
      </c>
      <c r="BB11" s="445">
        <f t="shared" si="5"/>
        <v>76.658366465114042</v>
      </c>
      <c r="BC11" s="445">
        <f t="shared" si="5"/>
        <v>80.359376556127629</v>
      </c>
      <c r="BD11" s="445">
        <f t="shared" si="5"/>
        <v>84.212004388833122</v>
      </c>
    </row>
    <row r="12" spans="1:56" ht="15">
      <c r="A12" s="420" t="str">
        <f>VLOOKUP(CONCATENATE(C12,"-",B12),[1]!ACHIEV,2,FALSE)</f>
        <v>LO50Fast</v>
      </c>
      <c r="B12" s="420" t="s">
        <v>75</v>
      </c>
      <c r="C12" s="420" t="str">
        <f>[1]MLIST!$B$68</f>
        <v>Street and Roadway Lighting</v>
      </c>
      <c r="D12" s="420" t="s">
        <v>1021</v>
      </c>
      <c r="E12" s="420" t="s">
        <v>1022</v>
      </c>
      <c r="F12" s="443">
        <f t="shared" si="1"/>
        <v>0.73063576372878758</v>
      </c>
      <c r="G12" s="444">
        <f t="shared" si="2"/>
        <v>3130.2038994474719</v>
      </c>
      <c r="H12" s="444">
        <f t="shared" si="3"/>
        <v>17.713609351930028</v>
      </c>
      <c r="J12" t="s">
        <v>672</v>
      </c>
      <c r="K12" s="32">
        <f ca="1">VLOOKUP(forRPM!$J12,'SC-NR'!$C$73:$X$77,COLUMN()-8,FALSE)</f>
        <v>0.22387925800688604</v>
      </c>
      <c r="L12" s="32">
        <f ca="1">VLOOKUP(forRPM!$J12,'SC-NR'!$C$73:$X$77,COLUMN()-8,FALSE)</f>
        <v>0.32835624507676631</v>
      </c>
      <c r="M12" s="32">
        <f ca="1">VLOOKUP(forRPM!$J12,'SC-NR'!$C$73:$X$77,COLUMN()-8,FALSE)</f>
        <v>0.39800756979001972</v>
      </c>
      <c r="N12" s="32">
        <f ca="1">VLOOKUP(forRPM!$J12,'SC-NR'!$C$73:$X$77,COLUMN()-8,FALSE)</f>
        <v>0.44278342139139687</v>
      </c>
      <c r="O12" s="32">
        <f ca="1">VLOOKUP(forRPM!$J12,'SC-NR'!$C$73:$X$77,COLUMN()-8,FALSE)</f>
        <v>0.47240531517478912</v>
      </c>
      <c r="P12" s="32">
        <f ca="1">VLOOKUP(forRPM!$J12,'SC-NR'!$C$73:$X$77,COLUMN()-8,FALSE)</f>
        <v>0.48983234964072042</v>
      </c>
      <c r="Q12" s="32">
        <f ca="1">VLOOKUP(forRPM!$J12,'SC-NR'!$C$73:$X$77,COLUMN()-8,FALSE)</f>
        <v>0.49570553093651826</v>
      </c>
      <c r="R12" s="32">
        <f ca="1">VLOOKUP(forRPM!$J12,'SC-NR'!$C$73:$X$77,COLUMN()-8,FALSE)</f>
        <v>0.49783601764651358</v>
      </c>
      <c r="S12" s="32">
        <f ca="1">VLOOKUP(forRPM!$J12,'SC-NR'!$C$73:$X$77,COLUMN()-8,FALSE)</f>
        <v>0.49845034215326367</v>
      </c>
      <c r="T12" s="32">
        <f ca="1">VLOOKUP(forRPM!$J12,'SC-NR'!$C$73:$X$77,COLUMN()-8,FALSE)</f>
        <v>0.49853721695976583</v>
      </c>
      <c r="U12" s="32">
        <f ca="1">VLOOKUP(forRPM!$J12,'SC-NR'!$C$73:$X$77,COLUMN()-8,FALSE)</f>
        <v>0.4985132876176564</v>
      </c>
      <c r="V12" s="32">
        <f ca="1">VLOOKUP(forRPM!$J12,'SC-NR'!$C$73:$X$77,COLUMN()-8,FALSE)</f>
        <v>0.49848082449528852</v>
      </c>
      <c r="W12" s="32">
        <f ca="1">VLOOKUP(forRPM!$J12,'SC-NR'!$C$73:$X$77,COLUMN()-8,FALSE)</f>
        <v>0.49845708335591299</v>
      </c>
      <c r="X12" s="32">
        <f ca="1">VLOOKUP(forRPM!$J12,'SC-NR'!$C$73:$X$77,COLUMN()-8,FALSE)</f>
        <v>0.49844052173712577</v>
      </c>
      <c r="Y12" s="32">
        <f ca="1">VLOOKUP(forRPM!$J12,'SC-NR'!$C$73:$X$77,COLUMN()-8,FALSE)</f>
        <v>0.49842877772968169</v>
      </c>
      <c r="Z12" s="32">
        <f ca="1">VLOOKUP(forRPM!$J12,'SC-NR'!$C$73:$X$77,COLUMN()-8,FALSE)</f>
        <v>0.49842010277162485</v>
      </c>
      <c r="AA12" s="32">
        <f ca="1">VLOOKUP(forRPM!$J12,'SC-NR'!$C$73:$X$77,COLUMN()-8,FALSE)</f>
        <v>0.4984138355868189</v>
      </c>
      <c r="AB12" s="32">
        <f ca="1">VLOOKUP(forRPM!$J12,'SC-NR'!$C$73:$X$77,COLUMN()-8,FALSE)</f>
        <v>0.49840852733345636</v>
      </c>
      <c r="AC12" s="32">
        <f ca="1">VLOOKUP(forRPM!$J12,'SC-NR'!$C$73:$X$77,COLUMN()-8,FALSE)</f>
        <v>0.49840328765679914</v>
      </c>
      <c r="AD12" s="32">
        <f ca="1">VLOOKUP(forRPM!$J12,'SC-NR'!$C$73:$X$77,COLUMN()-8,FALSE)</f>
        <v>0.49839834728162241</v>
      </c>
      <c r="AE12" s="32">
        <f ca="1">VLOOKUP(forRPM!$J12,'SC-NR'!$C$73:$Y$77,COLUMN()-8,FALSE)</f>
        <v>4.0106845907543907</v>
      </c>
      <c r="AF12" s="445">
        <f t="shared" si="4"/>
        <v>128.20522013333431</v>
      </c>
      <c r="AG12" s="445">
        <f t="shared" si="4"/>
        <v>94.777309953672855</v>
      </c>
      <c r="AH12" s="445">
        <f t="shared" si="4"/>
        <v>88.289435607749851</v>
      </c>
      <c r="AI12" s="445">
        <f t="shared" si="4"/>
        <v>50.684634082351991</v>
      </c>
      <c r="AJ12" s="445">
        <f t="shared" si="4"/>
        <v>40.714405125917544</v>
      </c>
      <c r="AK12" s="445">
        <f t="shared" si="4"/>
        <v>31.582469169606536</v>
      </c>
      <c r="AL12" s="445">
        <f t="shared" si="4"/>
        <v>32.956060011755014</v>
      </c>
      <c r="AM12" s="445">
        <f t="shared" si="4"/>
        <v>47.968633460806828</v>
      </c>
      <c r="AN12" s="445">
        <f t="shared" si="4"/>
        <v>60.604603123641709</v>
      </c>
      <c r="AO12" s="445">
        <f t="shared" si="4"/>
        <v>98.869567759573613</v>
      </c>
      <c r="AP12" s="445">
        <f t="shared" si="5"/>
        <v>114.49361675938046</v>
      </c>
      <c r="AQ12" s="445">
        <f t="shared" si="5"/>
        <v>134.8711718095303</v>
      </c>
      <c r="AR12" s="445">
        <f t="shared" si="5"/>
        <v>0</v>
      </c>
      <c r="AS12" s="445">
        <f t="shared" si="5"/>
        <v>212.479993814333</v>
      </c>
      <c r="AT12" s="445">
        <f t="shared" si="5"/>
        <v>184.30859021208164</v>
      </c>
      <c r="AU12" s="445">
        <f t="shared" si="5"/>
        <v>185.80300113926339</v>
      </c>
      <c r="AV12" s="445">
        <f t="shared" si="5"/>
        <v>176.93090511601383</v>
      </c>
      <c r="AW12" s="445">
        <f t="shared" si="5"/>
        <v>162.96236991658603</v>
      </c>
      <c r="AX12" s="445">
        <f t="shared" si="5"/>
        <v>148.06644861071092</v>
      </c>
      <c r="AY12" s="445">
        <f t="shared" si="5"/>
        <v>161.68474159074287</v>
      </c>
      <c r="AZ12" s="445">
        <f t="shared" si="5"/>
        <v>174.58775451942125</v>
      </c>
      <c r="BA12" s="445">
        <f t="shared" si="5"/>
        <v>188.18760002562308</v>
      </c>
      <c r="BB12" s="445">
        <f t="shared" si="5"/>
        <v>194.22026429034486</v>
      </c>
      <c r="BC12" s="445">
        <f t="shared" si="5"/>
        <v>203.59707717018901</v>
      </c>
      <c r="BD12" s="445">
        <f t="shared" si="5"/>
        <v>213.35802604484209</v>
      </c>
    </row>
  </sheetData>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sheetPr codeName="Sheet2"/>
  <dimension ref="A1:EA172"/>
  <sheetViews>
    <sheetView workbookViewId="0">
      <selection activeCell="A34" sqref="A34:EA172"/>
    </sheetView>
  </sheetViews>
  <sheetFormatPr defaultRowHeight="12.75"/>
  <cols>
    <col min="1" max="1" width="56" customWidth="1"/>
    <col min="2" max="2" width="53.28515625" customWidth="1"/>
    <col min="3" max="3" width="17.42578125" bestFit="1" customWidth="1"/>
    <col min="4" max="4" width="12.140625" bestFit="1" customWidth="1"/>
    <col min="5" max="5" width="12.5703125" customWidth="1"/>
    <col min="6" max="6" width="13.7109375" customWidth="1"/>
    <col min="7" max="7" width="25.42578125" customWidth="1"/>
    <col min="8" max="8" width="15.7109375" bestFit="1" customWidth="1"/>
    <col min="9" max="9" width="15.42578125" bestFit="1" customWidth="1"/>
    <col min="10" max="10" width="14.42578125" bestFit="1" customWidth="1"/>
    <col min="11" max="11" width="14.28515625" customWidth="1"/>
    <col min="12" max="12" width="12.5703125" customWidth="1"/>
    <col min="13" max="13" width="13.28515625" bestFit="1" customWidth="1"/>
    <col min="14" max="14" width="12.140625" bestFit="1" customWidth="1"/>
    <col min="15" max="15" width="13.28515625" bestFit="1" customWidth="1"/>
    <col min="16" max="16" width="27.7109375" customWidth="1"/>
    <col min="17" max="18" width="13.28515625" bestFit="1" customWidth="1"/>
    <col min="19" max="19" width="14.42578125" bestFit="1" customWidth="1"/>
    <col min="20" max="20" width="10.7109375" customWidth="1"/>
    <col min="21" max="21" width="14" bestFit="1" customWidth="1"/>
    <col min="22" max="22" width="12.140625" bestFit="1" customWidth="1"/>
    <col min="23" max="23" width="15.42578125" bestFit="1" customWidth="1"/>
    <col min="24" max="24" width="12.42578125" bestFit="1" customWidth="1"/>
    <col min="25" max="25" width="13.28515625" bestFit="1" customWidth="1"/>
    <col min="26" max="26" width="12.28515625" bestFit="1" customWidth="1"/>
    <col min="27" max="27" width="12.5703125" bestFit="1" customWidth="1"/>
    <col min="28" max="30" width="14.28515625" bestFit="1" customWidth="1"/>
    <col min="31" max="31" width="13.7109375" bestFit="1" customWidth="1"/>
    <col min="32" max="32" width="14" bestFit="1" customWidth="1"/>
    <col min="33" max="33" width="12.85546875" bestFit="1" customWidth="1"/>
    <col min="34" max="34" width="15.28515625" bestFit="1" customWidth="1"/>
    <col min="35" max="35" width="12.28515625" bestFit="1" customWidth="1"/>
    <col min="36" max="36" width="10.85546875" bestFit="1" customWidth="1"/>
    <col min="37" max="37" width="12.28515625" bestFit="1" customWidth="1"/>
    <col min="38" max="38" width="12.5703125" bestFit="1" customWidth="1"/>
    <col min="39" max="43" width="12.85546875" customWidth="1"/>
    <col min="44" max="44" width="12.5703125" customWidth="1"/>
    <col min="45" max="45" width="12.28515625" customWidth="1"/>
    <col min="46" max="46" width="12.7109375" customWidth="1"/>
    <col min="47" max="47" width="11.85546875" customWidth="1"/>
    <col min="48" max="48" width="12.5703125" bestFit="1" customWidth="1"/>
    <col min="49" max="49" width="13.42578125" customWidth="1"/>
    <col min="50" max="50" width="15.7109375" bestFit="1" customWidth="1"/>
    <col min="51" max="51" width="11" bestFit="1" customWidth="1"/>
    <col min="52" max="52" width="16.140625" bestFit="1" customWidth="1"/>
    <col min="53" max="53" width="17.28515625" bestFit="1" customWidth="1"/>
    <col min="54" max="54" width="15" bestFit="1" customWidth="1"/>
    <col min="55" max="55" width="12.5703125" bestFit="1" customWidth="1"/>
    <col min="56" max="56" width="13.5703125" customWidth="1"/>
    <col min="57" max="58" width="14.5703125" bestFit="1" customWidth="1"/>
    <col min="59" max="59" width="14.85546875" bestFit="1" customWidth="1"/>
    <col min="60" max="60" width="15" bestFit="1" customWidth="1"/>
    <col min="61" max="61" width="13.28515625" bestFit="1" customWidth="1"/>
    <col min="62" max="62" width="14" bestFit="1" customWidth="1"/>
    <col min="63" max="63" width="13.28515625" bestFit="1" customWidth="1"/>
    <col min="64" max="64" width="11.140625" bestFit="1" customWidth="1"/>
    <col min="65" max="65" width="16.85546875" bestFit="1" customWidth="1"/>
    <col min="66" max="66" width="14.7109375" customWidth="1"/>
    <col min="67" max="67" width="12" customWidth="1"/>
    <col min="68" max="68" width="14" customWidth="1"/>
    <col min="69" max="69" width="12.5703125" customWidth="1"/>
    <col min="70" max="70" width="11.28515625" customWidth="1"/>
    <col min="71" max="71" width="14.42578125" customWidth="1"/>
    <col min="72" max="72" width="15.7109375" customWidth="1"/>
    <col min="73" max="73" width="12.85546875" customWidth="1"/>
    <col min="74" max="74" width="13" customWidth="1"/>
    <col min="75" max="75" width="11.7109375" customWidth="1"/>
    <col min="76" max="76" width="14" customWidth="1"/>
    <col min="77" max="77" width="14.85546875" customWidth="1"/>
    <col min="78" max="78" width="11.85546875" customWidth="1"/>
    <col min="79" max="79" width="13.85546875" customWidth="1"/>
    <col min="80" max="80" width="13.7109375" customWidth="1"/>
    <col min="81" max="81" width="13" customWidth="1"/>
    <col min="82" max="82" width="12.42578125" customWidth="1"/>
    <col min="83" max="83" width="13" customWidth="1"/>
    <col min="84" max="84" width="12.7109375" customWidth="1"/>
    <col min="85" max="85" width="12.42578125" customWidth="1"/>
    <col min="86" max="86" width="10.28515625" customWidth="1"/>
    <col min="87" max="91" width="9.85546875" customWidth="1"/>
    <col min="92" max="99" width="10.7109375" customWidth="1"/>
    <col min="100" max="100" width="16.5703125" customWidth="1"/>
    <col min="101" max="105" width="10.7109375" customWidth="1"/>
  </cols>
  <sheetData>
    <row r="1" spans="1:105">
      <c r="A1" s="2" t="s">
        <v>10</v>
      </c>
      <c r="B1" s="3"/>
      <c r="C1" s="3"/>
      <c r="D1" s="3"/>
      <c r="E1" s="3"/>
      <c r="F1" s="3"/>
      <c r="G1" s="3"/>
      <c r="H1" s="4"/>
      <c r="I1" s="5"/>
      <c r="J1" s="5"/>
      <c r="K1" s="5"/>
      <c r="L1" s="5"/>
      <c r="M1" s="5"/>
      <c r="N1" s="6"/>
      <c r="O1" s="7" t="e">
        <v>#REF!</v>
      </c>
      <c r="P1" s="6"/>
      <c r="Q1" s="6"/>
      <c r="R1" s="6"/>
      <c r="S1" s="4"/>
      <c r="T1" s="4"/>
      <c r="U1" s="4"/>
      <c r="V1" s="6"/>
      <c r="W1" s="4"/>
      <c r="X1" s="4"/>
      <c r="Y1" s="4"/>
      <c r="Z1" s="4"/>
      <c r="AA1" s="4"/>
      <c r="AB1" s="4"/>
      <c r="AC1" s="4"/>
      <c r="AD1" s="4"/>
      <c r="AE1" s="4"/>
      <c r="AF1" s="4"/>
      <c r="AG1" s="4"/>
      <c r="AH1" s="4"/>
      <c r="AI1" s="4"/>
      <c r="AJ1" s="4"/>
      <c r="AK1" s="4"/>
      <c r="AL1" s="4"/>
      <c r="AM1" s="4"/>
      <c r="AN1" s="4"/>
      <c r="AO1" s="4"/>
      <c r="AP1" s="8"/>
      <c r="AQ1" s="4"/>
      <c r="AR1" s="4"/>
      <c r="AS1" s="4"/>
      <c r="AT1" s="4"/>
      <c r="AU1" s="4"/>
      <c r="AV1" s="8"/>
      <c r="AW1" s="4"/>
      <c r="AX1" s="4"/>
      <c r="AY1" s="4"/>
      <c r="AZ1" s="4"/>
      <c r="BA1" s="4"/>
      <c r="BB1" s="4"/>
      <c r="BC1" s="4"/>
      <c r="BD1" s="4"/>
      <c r="BE1" s="4"/>
      <c r="BF1" s="4"/>
      <c r="BG1" s="4"/>
      <c r="BH1" s="4"/>
      <c r="BI1" s="4"/>
      <c r="BJ1" s="4"/>
      <c r="BK1" s="4"/>
      <c r="BL1" s="4"/>
      <c r="BM1" s="9"/>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8"/>
      <c r="CQ1" s="4"/>
      <c r="CR1" s="4"/>
      <c r="CS1" s="4"/>
      <c r="CT1" s="4"/>
      <c r="CU1" s="4"/>
      <c r="CV1" s="4"/>
      <c r="CW1" s="4"/>
      <c r="CX1" s="4"/>
      <c r="CY1" s="4"/>
      <c r="CZ1" s="4"/>
      <c r="DA1" s="4"/>
    </row>
    <row r="2" spans="1:105">
      <c r="A2" s="10" t="s">
        <v>11</v>
      </c>
      <c r="B2" s="4" t="str">
        <f>'7PSourceSummary'!D2</f>
        <v>Street and Roadway Lighting</v>
      </c>
      <c r="C2" s="4"/>
      <c r="D2" s="4"/>
      <c r="E2" s="4"/>
      <c r="F2" s="4"/>
      <c r="G2" s="4"/>
      <c r="H2" s="4"/>
      <c r="I2" s="5"/>
      <c r="J2" s="5"/>
      <c r="K2" s="5"/>
      <c r="L2" s="5"/>
      <c r="M2" s="5"/>
      <c r="N2" s="6"/>
      <c r="O2" s="6"/>
      <c r="P2" s="6"/>
      <c r="Q2" s="6"/>
      <c r="R2" s="6"/>
      <c r="S2" s="4"/>
      <c r="T2" s="4"/>
      <c r="U2" s="4"/>
      <c r="V2" s="6"/>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8"/>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row>
    <row r="3" spans="1:105">
      <c r="A3" s="10" t="s">
        <v>12</v>
      </c>
      <c r="B3" s="11"/>
      <c r="C3" s="10">
        <v>2012</v>
      </c>
      <c r="D3" s="11"/>
      <c r="E3" s="11"/>
      <c r="F3" s="11"/>
      <c r="G3" s="11"/>
      <c r="H3" s="11"/>
      <c r="I3" s="11"/>
      <c r="J3" s="12"/>
      <c r="K3" s="13"/>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3"/>
      <c r="CP3" s="13"/>
      <c r="CQ3" s="11"/>
      <c r="CR3" s="11"/>
      <c r="CS3" s="11"/>
      <c r="CT3" s="11"/>
      <c r="CU3" s="11"/>
      <c r="CV3" s="11"/>
      <c r="CW3" s="11"/>
      <c r="CX3" s="11"/>
      <c r="CY3" s="11"/>
      <c r="CZ3" s="11"/>
      <c r="DA3" s="11"/>
    </row>
    <row r="4" spans="1:105">
      <c r="A4" s="11"/>
      <c r="B4" s="14"/>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row>
    <row r="5" spans="1:105">
      <c r="A5" s="15">
        <v>1</v>
      </c>
      <c r="B5" s="15">
        <v>2</v>
      </c>
      <c r="C5" s="15">
        <v>3</v>
      </c>
      <c r="D5" s="15">
        <v>4</v>
      </c>
      <c r="E5" s="15">
        <v>5</v>
      </c>
      <c r="F5" s="15">
        <v>6</v>
      </c>
      <c r="G5" s="15">
        <v>7</v>
      </c>
      <c r="H5" s="15">
        <v>8</v>
      </c>
      <c r="I5" s="15">
        <v>9</v>
      </c>
      <c r="J5" s="15">
        <v>10</v>
      </c>
      <c r="K5" s="15">
        <v>11</v>
      </c>
      <c r="L5" s="15">
        <v>12</v>
      </c>
      <c r="M5" s="15">
        <v>13</v>
      </c>
      <c r="N5" s="15">
        <v>14</v>
      </c>
      <c r="O5" s="15">
        <v>15</v>
      </c>
      <c r="P5" s="15">
        <v>16</v>
      </c>
      <c r="Q5" s="15">
        <v>17</v>
      </c>
      <c r="R5" s="15">
        <v>18</v>
      </c>
      <c r="S5" s="15">
        <v>19</v>
      </c>
      <c r="T5" s="15">
        <v>20</v>
      </c>
      <c r="U5" s="15">
        <v>21</v>
      </c>
      <c r="V5" s="15">
        <v>22</v>
      </c>
      <c r="W5" s="15">
        <v>23</v>
      </c>
      <c r="X5" s="15">
        <v>24</v>
      </c>
      <c r="Y5" s="15">
        <v>25</v>
      </c>
      <c r="Z5" s="15">
        <v>26</v>
      </c>
      <c r="AA5" s="15">
        <v>27</v>
      </c>
      <c r="AB5" s="15">
        <v>28</v>
      </c>
      <c r="AC5" s="15">
        <v>29</v>
      </c>
      <c r="AD5" s="15">
        <v>30</v>
      </c>
      <c r="AE5" s="15">
        <v>31</v>
      </c>
      <c r="AF5" s="15">
        <v>32</v>
      </c>
      <c r="AG5" s="15">
        <v>33</v>
      </c>
      <c r="AH5" s="15">
        <v>34</v>
      </c>
      <c r="AI5" s="15">
        <v>35</v>
      </c>
      <c r="AJ5" s="15">
        <v>36</v>
      </c>
      <c r="AK5" s="15">
        <v>37</v>
      </c>
      <c r="AL5" s="15">
        <v>38</v>
      </c>
      <c r="AM5" s="15">
        <v>39</v>
      </c>
      <c r="AN5" s="15">
        <v>40</v>
      </c>
      <c r="AO5" s="15">
        <v>41</v>
      </c>
      <c r="AP5" s="15">
        <v>42</v>
      </c>
      <c r="AQ5" s="15">
        <v>43</v>
      </c>
      <c r="AR5" s="15">
        <v>44</v>
      </c>
      <c r="AS5" s="15">
        <v>45</v>
      </c>
      <c r="AT5" s="15">
        <v>46</v>
      </c>
      <c r="AU5" s="15">
        <v>47</v>
      </c>
      <c r="AV5" s="15">
        <v>48</v>
      </c>
      <c r="AW5" s="15">
        <v>49</v>
      </c>
      <c r="AX5" s="15">
        <v>50</v>
      </c>
      <c r="AY5" s="15">
        <v>51</v>
      </c>
      <c r="AZ5" s="15">
        <v>52</v>
      </c>
      <c r="BA5" s="15">
        <v>53</v>
      </c>
      <c r="BB5" s="15">
        <v>54</v>
      </c>
      <c r="BC5" s="15">
        <v>55</v>
      </c>
      <c r="BD5" s="15">
        <v>56</v>
      </c>
      <c r="BE5" s="15">
        <v>57</v>
      </c>
      <c r="BF5" s="15">
        <v>58</v>
      </c>
      <c r="BG5" s="15">
        <v>59</v>
      </c>
      <c r="BH5" s="15">
        <v>60</v>
      </c>
      <c r="BI5" s="15">
        <v>61</v>
      </c>
      <c r="BJ5" s="15">
        <v>62</v>
      </c>
      <c r="BK5" s="15">
        <v>63</v>
      </c>
      <c r="BL5" s="15">
        <v>64</v>
      </c>
      <c r="BM5" s="15">
        <v>65</v>
      </c>
      <c r="BN5" s="15">
        <v>66</v>
      </c>
      <c r="BO5" s="15">
        <v>67</v>
      </c>
      <c r="BP5" s="15">
        <v>68</v>
      </c>
      <c r="BQ5" s="15">
        <v>69</v>
      </c>
      <c r="BR5" s="15">
        <v>70</v>
      </c>
      <c r="BS5" s="15">
        <v>71</v>
      </c>
      <c r="BT5" s="15">
        <v>72</v>
      </c>
      <c r="BU5" s="15">
        <v>73</v>
      </c>
      <c r="BV5" s="15">
        <v>74</v>
      </c>
      <c r="BW5" s="15">
        <v>75</v>
      </c>
      <c r="BX5" s="15">
        <v>76</v>
      </c>
      <c r="BY5" s="15">
        <v>77</v>
      </c>
      <c r="BZ5" s="15">
        <v>78</v>
      </c>
      <c r="CA5" s="15">
        <v>79</v>
      </c>
      <c r="CB5" s="15">
        <v>80</v>
      </c>
      <c r="CC5" s="15">
        <v>81</v>
      </c>
      <c r="CD5" s="15">
        <v>82</v>
      </c>
      <c r="CE5" s="15">
        <v>83</v>
      </c>
      <c r="CF5" s="15">
        <v>84</v>
      </c>
      <c r="CG5" s="15">
        <v>85</v>
      </c>
      <c r="CH5" s="15">
        <v>86</v>
      </c>
      <c r="CI5" s="15">
        <v>87</v>
      </c>
      <c r="CJ5" s="15">
        <v>88</v>
      </c>
      <c r="CK5" s="15">
        <v>89</v>
      </c>
      <c r="CL5" s="15">
        <v>90</v>
      </c>
      <c r="CM5" s="15">
        <v>91</v>
      </c>
      <c r="CN5" s="15">
        <v>92</v>
      </c>
      <c r="CO5" s="15">
        <v>93</v>
      </c>
      <c r="CP5" s="15">
        <v>94</v>
      </c>
      <c r="CQ5" s="15">
        <v>95</v>
      </c>
      <c r="CR5" s="15">
        <v>96</v>
      </c>
      <c r="CS5" s="15">
        <v>97</v>
      </c>
      <c r="CT5" s="15">
        <v>98</v>
      </c>
      <c r="CU5" s="15">
        <v>99</v>
      </c>
      <c r="CV5" s="15">
        <v>100</v>
      </c>
      <c r="CW5" s="15">
        <v>101</v>
      </c>
      <c r="CX5" s="15">
        <v>102</v>
      </c>
      <c r="CY5" s="15">
        <v>103</v>
      </c>
      <c r="CZ5" s="15">
        <v>104</v>
      </c>
      <c r="DA5" s="15">
        <v>105</v>
      </c>
    </row>
    <row r="6" spans="1:105">
      <c r="A6" s="16" t="s">
        <v>13</v>
      </c>
      <c r="B6" s="17"/>
      <c r="C6" s="17"/>
      <c r="D6" s="17"/>
      <c r="E6" s="17"/>
      <c r="F6" s="17"/>
      <c r="G6" s="18"/>
      <c r="H6" s="19"/>
      <c r="I6" s="469" t="s">
        <v>14</v>
      </c>
      <c r="J6" s="470"/>
      <c r="K6" s="470"/>
      <c r="L6" s="470"/>
      <c r="M6" s="470"/>
      <c r="N6" s="471"/>
      <c r="O6" s="472" t="s">
        <v>15</v>
      </c>
      <c r="P6" s="473"/>
      <c r="Q6" s="20" t="s">
        <v>16</v>
      </c>
      <c r="R6" s="474" t="s">
        <v>17</v>
      </c>
      <c r="S6" s="474"/>
      <c r="T6" s="474"/>
      <c r="U6" s="21"/>
      <c r="V6" s="21"/>
      <c r="W6" s="21"/>
      <c r="X6" s="22"/>
      <c r="Y6" s="23"/>
      <c r="Z6" s="21"/>
      <c r="AA6" s="21"/>
      <c r="AB6" s="21"/>
      <c r="AC6" s="21"/>
      <c r="AD6" s="21"/>
      <c r="AE6" s="24"/>
      <c r="AF6" s="24"/>
      <c r="AG6" s="24"/>
      <c r="AH6" s="24"/>
      <c r="AI6" s="24"/>
      <c r="AJ6" s="24"/>
      <c r="AK6" s="24"/>
      <c r="AL6" s="24"/>
      <c r="AM6" s="24"/>
      <c r="AN6" s="24"/>
      <c r="AO6" s="2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row>
    <row r="7" spans="1:105" ht="25.5">
      <c r="A7" s="25" t="s">
        <v>18</v>
      </c>
      <c r="B7" s="25" t="s">
        <v>19</v>
      </c>
      <c r="C7" s="25" t="s">
        <v>20</v>
      </c>
      <c r="D7" s="25" t="s">
        <v>21</v>
      </c>
      <c r="E7" s="25" t="s">
        <v>22</v>
      </c>
      <c r="F7" s="26" t="s">
        <v>23</v>
      </c>
      <c r="G7" s="25" t="s">
        <v>24</v>
      </c>
      <c r="H7" s="27" t="s">
        <v>25</v>
      </c>
      <c r="I7" s="27" t="s">
        <v>26</v>
      </c>
      <c r="J7" s="27" t="s">
        <v>27</v>
      </c>
      <c r="K7" s="27" t="s">
        <v>28</v>
      </c>
      <c r="L7" s="27" t="s">
        <v>29</v>
      </c>
      <c r="M7" s="27" t="s">
        <v>30</v>
      </c>
      <c r="N7" s="27" t="s">
        <v>31</v>
      </c>
      <c r="O7" s="28" t="s">
        <v>32</v>
      </c>
      <c r="P7" s="27" t="s">
        <v>24</v>
      </c>
      <c r="Q7" s="29" t="s">
        <v>33</v>
      </c>
      <c r="R7" s="30" t="s">
        <v>34</v>
      </c>
      <c r="S7" s="30" t="s">
        <v>35</v>
      </c>
      <c r="T7" s="30" t="s">
        <v>36</v>
      </c>
      <c r="U7" s="31"/>
      <c r="V7" s="31"/>
      <c r="W7" s="31"/>
      <c r="X7" s="31"/>
      <c r="Y7" s="31"/>
      <c r="Z7" s="31"/>
      <c r="AA7" s="31"/>
      <c r="AB7" s="31"/>
      <c r="AC7" s="31"/>
      <c r="AD7" s="31"/>
      <c r="AE7" s="24"/>
      <c r="AF7" s="24"/>
      <c r="AG7" s="24"/>
      <c r="AH7" s="24"/>
      <c r="AI7" s="24"/>
      <c r="AJ7" s="24"/>
      <c r="AK7" s="24"/>
      <c r="AL7" s="24"/>
      <c r="AM7" s="24"/>
      <c r="AN7" s="24"/>
      <c r="AO7" s="2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row>
    <row r="8" spans="1:105">
      <c r="A8" s="32" t="str">
        <f>B8</f>
        <v>Streetlight - HPS 100W - Group Relamp - to LED 42W - New</v>
      </c>
      <c r="B8" s="32" t="str">
        <f>MMap!F13</f>
        <v>Streetlight - HPS 100W - Group Relamp - to LED 42W - New</v>
      </c>
      <c r="C8" s="33">
        <f>MMap!G13</f>
        <v>339.69999999999993</v>
      </c>
      <c r="D8" s="63">
        <f>MMap!L13</f>
        <v>11.627906976744185</v>
      </c>
      <c r="E8" s="35">
        <f>MMap!H13</f>
        <v>-8.5918959509302795</v>
      </c>
      <c r="F8" s="35">
        <f>MMap!M13</f>
        <v>0</v>
      </c>
      <c r="G8" s="36" t="s">
        <v>525</v>
      </c>
      <c r="H8" s="34"/>
      <c r="I8" s="34">
        <f>MMap!N13</f>
        <v>-77</v>
      </c>
      <c r="J8" s="34">
        <f>MMap!O13</f>
        <v>5</v>
      </c>
      <c r="K8" s="34"/>
      <c r="L8" s="34"/>
      <c r="M8" s="34"/>
      <c r="N8" s="34"/>
      <c r="O8" s="11"/>
      <c r="P8" s="37"/>
      <c r="Q8" s="38" t="s">
        <v>866</v>
      </c>
      <c r="R8" s="34"/>
      <c r="S8" s="34"/>
      <c r="T8" s="34"/>
      <c r="U8" s="31"/>
      <c r="V8" s="31"/>
      <c r="W8" s="31"/>
      <c r="X8" s="31"/>
      <c r="Y8" s="31"/>
      <c r="Z8" s="31"/>
      <c r="AA8" s="31"/>
      <c r="AB8" s="31"/>
      <c r="AC8" s="31"/>
      <c r="AD8" s="31"/>
      <c r="AE8" s="24"/>
      <c r="AF8" s="24"/>
      <c r="AG8" s="24"/>
      <c r="AH8" s="24"/>
      <c r="AI8" s="24"/>
      <c r="AJ8" s="24"/>
      <c r="AK8" s="24"/>
      <c r="AL8" s="24"/>
      <c r="AM8" s="24"/>
      <c r="AN8" s="24"/>
      <c r="AO8" s="24"/>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row>
    <row r="9" spans="1:105">
      <c r="A9" s="32" t="str">
        <f t="shared" ref="A9:A31" si="0">B9</f>
        <v>Streetlight - HPS 100W - Tariff Relamp - to LED 42W - New</v>
      </c>
      <c r="B9" s="32" t="str">
        <f>MMap!F14</f>
        <v>Streetlight - HPS 100W - Tariff Relamp - to LED 42W - New</v>
      </c>
      <c r="C9" s="33">
        <f>MMap!G14</f>
        <v>339.69999999999993</v>
      </c>
      <c r="D9" s="63">
        <f>MMap!L14</f>
        <v>11.627906976744185</v>
      </c>
      <c r="E9" s="35">
        <f>MMap!H14</f>
        <v>-8.5918959509302795</v>
      </c>
      <c r="F9" s="35">
        <f>MMap!M14</f>
        <v>-56</v>
      </c>
      <c r="G9" s="36" t="s">
        <v>525</v>
      </c>
      <c r="H9" s="11"/>
      <c r="I9" s="34">
        <f>MMap!N14</f>
        <v>0</v>
      </c>
      <c r="J9" s="34">
        <f>MMap!O14</f>
        <v>0</v>
      </c>
      <c r="K9" s="11"/>
      <c r="L9" s="11"/>
      <c r="M9" s="11"/>
      <c r="N9" s="11"/>
      <c r="O9" s="11"/>
      <c r="P9" s="37"/>
      <c r="Q9" s="38" t="s">
        <v>866</v>
      </c>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c r="BU9" s="11"/>
      <c r="BV9" s="11"/>
      <c r="BW9" s="11"/>
      <c r="BX9" s="11"/>
      <c r="BY9" s="11"/>
      <c r="BZ9" s="11"/>
      <c r="CA9" s="11"/>
      <c r="CB9" s="11"/>
      <c r="CC9" s="11"/>
      <c r="CD9" s="11"/>
      <c r="CE9" s="11"/>
      <c r="CF9" s="11"/>
      <c r="CG9" s="11"/>
      <c r="CH9" s="11"/>
      <c r="CI9" s="11"/>
      <c r="CJ9" s="11"/>
      <c r="CK9" s="11"/>
      <c r="CL9" s="11"/>
      <c r="CM9" s="11"/>
      <c r="CN9" s="11"/>
      <c r="CO9" s="11"/>
      <c r="CP9" s="11"/>
      <c r="CQ9" s="11"/>
      <c r="CR9" s="11"/>
      <c r="CS9" s="11"/>
      <c r="CT9" s="11"/>
      <c r="CU9" s="11"/>
      <c r="CV9" s="11"/>
      <c r="CW9" s="11"/>
      <c r="CX9" s="11"/>
      <c r="CY9" s="11"/>
      <c r="CZ9" s="11"/>
      <c r="DA9" s="11"/>
    </row>
    <row r="10" spans="1:105">
      <c r="A10" s="32" t="str">
        <f t="shared" si="0"/>
        <v>Streetlight - HPS 100W - Group Relamp - to LED 58W - New</v>
      </c>
      <c r="B10" s="32" t="str">
        <f>MMap!F15</f>
        <v>Streetlight - HPS 100W - Group Relamp - to LED 58W - New</v>
      </c>
      <c r="C10" s="33">
        <f>MMap!G15</f>
        <v>270.89999999999998</v>
      </c>
      <c r="D10" s="63">
        <f>MMap!L15</f>
        <v>11.627906976744185</v>
      </c>
      <c r="E10" s="35">
        <f>MMap!H15</f>
        <v>-8.5918959509302795</v>
      </c>
      <c r="F10" s="35">
        <f>MMap!M15</f>
        <v>0</v>
      </c>
      <c r="G10" s="36" t="s">
        <v>525</v>
      </c>
      <c r="H10" s="11"/>
      <c r="I10" s="34">
        <f>MMap!N15</f>
        <v>-77</v>
      </c>
      <c r="J10" s="34">
        <f>MMap!O15</f>
        <v>5</v>
      </c>
      <c r="K10" s="11"/>
      <c r="L10" s="11"/>
      <c r="M10" s="11"/>
      <c r="N10" s="11"/>
      <c r="O10" s="11"/>
      <c r="P10" s="37"/>
      <c r="Q10" s="38" t="s">
        <v>866</v>
      </c>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c r="BW10" s="11"/>
      <c r="BX10" s="11"/>
      <c r="BY10" s="11"/>
      <c r="BZ10" s="11"/>
      <c r="CA10" s="11"/>
      <c r="CB10" s="11"/>
      <c r="CC10" s="11"/>
      <c r="CD10" s="11"/>
      <c r="CE10" s="11"/>
      <c r="CF10" s="11"/>
      <c r="CG10" s="11"/>
      <c r="CH10" s="11"/>
      <c r="CI10" s="11"/>
      <c r="CJ10" s="11"/>
      <c r="CK10" s="11"/>
      <c r="CL10" s="11"/>
      <c r="CM10" s="11"/>
      <c r="CN10" s="11"/>
      <c r="CO10" s="11"/>
      <c r="CP10" s="11"/>
      <c r="CQ10" s="11"/>
      <c r="CR10" s="11"/>
      <c r="CS10" s="11"/>
      <c r="CT10" s="11"/>
      <c r="CU10" s="11"/>
      <c r="CV10" s="11"/>
      <c r="CW10" s="11"/>
      <c r="CX10" s="11"/>
      <c r="CY10" s="11"/>
      <c r="CZ10" s="11"/>
      <c r="DA10" s="11"/>
    </row>
    <row r="11" spans="1:105">
      <c r="A11" s="32" t="str">
        <f t="shared" si="0"/>
        <v>Streetlight - HPS 100W - Tariff Relamp - to LED 58W - New</v>
      </c>
      <c r="B11" s="32" t="str">
        <f>MMap!F16</f>
        <v>Streetlight - HPS 100W - Tariff Relamp - to LED 58W - New</v>
      </c>
      <c r="C11" s="33">
        <f>MMap!G16</f>
        <v>270.89999999999998</v>
      </c>
      <c r="D11" s="63">
        <f>MMap!L16</f>
        <v>11.627906976744185</v>
      </c>
      <c r="E11" s="35">
        <f>MMap!H16</f>
        <v>-8.5918959509302795</v>
      </c>
      <c r="F11" s="35">
        <f>MMap!M16</f>
        <v>-56</v>
      </c>
      <c r="G11" s="36" t="s">
        <v>525</v>
      </c>
      <c r="H11" s="11"/>
      <c r="I11" s="34">
        <f>MMap!N16</f>
        <v>0</v>
      </c>
      <c r="J11" s="34">
        <f>MMap!O16</f>
        <v>0</v>
      </c>
      <c r="K11" s="11"/>
      <c r="L11" s="11"/>
      <c r="M11" s="11"/>
      <c r="N11" s="11"/>
      <c r="O11" s="11"/>
      <c r="P11" s="11"/>
      <c r="Q11" s="38" t="s">
        <v>866</v>
      </c>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1"/>
      <c r="CI11" s="11"/>
      <c r="CJ11" s="11"/>
      <c r="CK11" s="11"/>
      <c r="CL11" s="11"/>
      <c r="CM11" s="11"/>
      <c r="CN11" s="11"/>
      <c r="CO11" s="11"/>
      <c r="CP11" s="11"/>
      <c r="CQ11" s="11"/>
      <c r="CR11" s="11"/>
      <c r="CS11" s="11"/>
      <c r="CT11" s="11"/>
      <c r="CU11" s="11"/>
      <c r="CV11" s="11"/>
      <c r="CW11" s="11"/>
      <c r="CX11" s="11"/>
      <c r="CY11" s="11"/>
      <c r="CZ11" s="11"/>
      <c r="DA11" s="11"/>
    </row>
    <row r="12" spans="1:105">
      <c r="A12" s="32" t="str">
        <f t="shared" si="0"/>
        <v>Streetlight - MH 200W - Group Relamp - to LED 135W - New</v>
      </c>
      <c r="B12" s="32" t="str">
        <f>MMap!F17</f>
        <v>Streetlight - MH 200W - Group Relamp - to LED 135W - New</v>
      </c>
      <c r="C12" s="33">
        <f>MMap!G17</f>
        <v>395.6</v>
      </c>
      <c r="D12" s="63">
        <f>MMap!L17</f>
        <v>11.627906976744185</v>
      </c>
      <c r="E12" s="35">
        <f>MMap!H17</f>
        <v>2.0115772129567233</v>
      </c>
      <c r="F12" s="35">
        <f>MMap!M17</f>
        <v>0</v>
      </c>
      <c r="G12" s="36" t="s">
        <v>525</v>
      </c>
      <c r="H12" s="11"/>
      <c r="I12" s="34">
        <f>MMap!N17</f>
        <v>-80</v>
      </c>
      <c r="J12" s="34">
        <f>MMap!O17</f>
        <v>5</v>
      </c>
      <c r="K12" s="11"/>
      <c r="L12" s="11"/>
      <c r="M12" s="11"/>
      <c r="N12" s="11"/>
      <c r="O12" s="11"/>
      <c r="P12" s="11"/>
      <c r="Q12" s="38" t="s">
        <v>866</v>
      </c>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c r="CO12" s="11"/>
      <c r="CP12" s="11"/>
      <c r="CQ12" s="11"/>
      <c r="CR12" s="11"/>
      <c r="CS12" s="11"/>
      <c r="CT12" s="11"/>
      <c r="CU12" s="11"/>
      <c r="CV12" s="11"/>
      <c r="CW12" s="11"/>
      <c r="CX12" s="11"/>
      <c r="CY12" s="11"/>
      <c r="CZ12" s="11"/>
      <c r="DA12" s="11"/>
    </row>
    <row r="13" spans="1:105">
      <c r="A13" s="32" t="str">
        <f t="shared" si="0"/>
        <v>Streetlight - MH 200W - Tariff Relamp - to LED 135W - New</v>
      </c>
      <c r="B13" s="32" t="str">
        <f>MMap!F18</f>
        <v>Streetlight - MH 200W - Tariff Relamp - to LED 135W - New</v>
      </c>
      <c r="C13" s="33">
        <f>MMap!G18</f>
        <v>395.6</v>
      </c>
      <c r="D13" s="63">
        <f>MMap!L18</f>
        <v>11.627906976744185</v>
      </c>
      <c r="E13" s="35">
        <f>MMap!H18</f>
        <v>2.0115772129567233</v>
      </c>
      <c r="F13" s="35">
        <f>MMap!M18</f>
        <v>-56</v>
      </c>
      <c r="G13" s="36" t="s">
        <v>525</v>
      </c>
      <c r="H13" s="11"/>
      <c r="I13" s="34">
        <f>MMap!N18</f>
        <v>0</v>
      </c>
      <c r="J13" s="34">
        <f>MMap!O18</f>
        <v>0</v>
      </c>
      <c r="K13" s="11"/>
      <c r="L13" s="11"/>
      <c r="M13" s="11"/>
      <c r="N13" s="11"/>
      <c r="O13" s="11"/>
      <c r="P13" s="11"/>
      <c r="Q13" s="38" t="s">
        <v>866</v>
      </c>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row>
    <row r="14" spans="1:105">
      <c r="A14" s="32" t="str">
        <f t="shared" si="0"/>
        <v>Streetlight - HPS 250W - Group Relamp - to LED 135W - New</v>
      </c>
      <c r="B14" s="32" t="str">
        <f>MMap!F19</f>
        <v>Streetlight - HPS 250W - Group Relamp - to LED 135W - New</v>
      </c>
      <c r="C14" s="33">
        <f>MMap!G19</f>
        <v>666.5</v>
      </c>
      <c r="D14" s="63">
        <f>MMap!L19</f>
        <v>11.627906976744185</v>
      </c>
      <c r="E14" s="35">
        <f>MMap!H19</f>
        <v>2.0115772129567233</v>
      </c>
      <c r="F14" s="35">
        <f>MMap!M19</f>
        <v>0</v>
      </c>
      <c r="G14" s="36" t="s">
        <v>525</v>
      </c>
      <c r="I14" s="34">
        <f>MMap!N19</f>
        <v>-80</v>
      </c>
      <c r="J14" s="34">
        <f>MMap!O19</f>
        <v>5</v>
      </c>
      <c r="Q14" s="38" t="s">
        <v>866</v>
      </c>
    </row>
    <row r="15" spans="1:105">
      <c r="A15" s="32" t="str">
        <f t="shared" si="0"/>
        <v>Streetlight - HPS 250W - Tariff Relamp - to LED 135W - New</v>
      </c>
      <c r="B15" s="32" t="str">
        <f>MMap!F20</f>
        <v>Streetlight - HPS 250W - Tariff Relamp - to LED 135W - New</v>
      </c>
      <c r="C15" s="33">
        <f>MMap!G20</f>
        <v>666.5</v>
      </c>
      <c r="D15" s="63">
        <f>MMap!L20</f>
        <v>11.627906976744185</v>
      </c>
      <c r="E15" s="35">
        <f>MMap!H20</f>
        <v>2.0115772129567233</v>
      </c>
      <c r="F15" s="35">
        <f>MMap!M20</f>
        <v>-56</v>
      </c>
      <c r="G15" s="36" t="s">
        <v>525</v>
      </c>
      <c r="I15" s="34">
        <f>MMap!N20</f>
        <v>0</v>
      </c>
      <c r="J15" s="34">
        <f>MMap!O20</f>
        <v>0</v>
      </c>
      <c r="Q15" s="38" t="s">
        <v>866</v>
      </c>
    </row>
    <row r="16" spans="1:105">
      <c r="A16" s="32" t="str">
        <f t="shared" si="0"/>
        <v>Streetlight - MH 400W - Group Relamp - to LED 180W - New</v>
      </c>
      <c r="B16" s="32" t="str">
        <f>MMap!F21</f>
        <v>Streetlight - MH 400W - Group Relamp - to LED 180W - New</v>
      </c>
      <c r="C16" s="33">
        <f>MMap!G21</f>
        <v>1152.4000000000001</v>
      </c>
      <c r="D16" s="63">
        <f>MMap!L21</f>
        <v>11.627906976744185</v>
      </c>
      <c r="E16" s="35">
        <f>MMap!H21</f>
        <v>134.02315442591345</v>
      </c>
      <c r="F16" s="35">
        <f>MMap!M21</f>
        <v>0</v>
      </c>
      <c r="G16" s="36" t="s">
        <v>525</v>
      </c>
      <c r="I16" s="34">
        <f>MMap!N21</f>
        <v>-83</v>
      </c>
      <c r="J16" s="34">
        <f>MMap!O21</f>
        <v>4</v>
      </c>
      <c r="Q16" s="38" t="s">
        <v>866</v>
      </c>
    </row>
    <row r="17" spans="1:17">
      <c r="A17" s="32" t="str">
        <f t="shared" si="0"/>
        <v>Streetlight - MH 400W - Tariff Relamp - to LED 180W - New</v>
      </c>
      <c r="B17" s="32" t="str">
        <f>MMap!F22</f>
        <v>Streetlight - MH 400W - Tariff Relamp - to LED 180W - New</v>
      </c>
      <c r="C17" s="33">
        <f>MMap!G22</f>
        <v>1152.4000000000001</v>
      </c>
      <c r="D17" s="63">
        <f>MMap!L22</f>
        <v>11.627906976744185</v>
      </c>
      <c r="E17" s="35">
        <f>MMap!H22</f>
        <v>134.02315442591345</v>
      </c>
      <c r="F17" s="35">
        <f>MMap!M22</f>
        <v>-56</v>
      </c>
      <c r="G17" s="36" t="s">
        <v>525</v>
      </c>
      <c r="I17" s="34">
        <f>MMap!N22</f>
        <v>0</v>
      </c>
      <c r="J17" s="34">
        <f>MMap!O22</f>
        <v>0</v>
      </c>
      <c r="Q17" s="38" t="s">
        <v>866</v>
      </c>
    </row>
    <row r="18" spans="1:17">
      <c r="A18" s="32" t="str">
        <f t="shared" si="0"/>
        <v>Streetlight - MH 1000W - Group Relamp - to LED 421W - New</v>
      </c>
      <c r="B18" s="32" t="str">
        <f>MMap!F23</f>
        <v>Streetlight - MH 1000W - Group Relamp - to LED 421W - New</v>
      </c>
      <c r="C18" s="33">
        <f>MMap!G23</f>
        <v>2919.7</v>
      </c>
      <c r="D18" s="63">
        <f>MMap!L23</f>
        <v>11.627906976744185</v>
      </c>
      <c r="E18" s="35">
        <f>MMap!H23</f>
        <v>532.0694632777404</v>
      </c>
      <c r="F18" s="35">
        <f>MMap!M23</f>
        <v>0</v>
      </c>
      <c r="G18" s="36" t="s">
        <v>525</v>
      </c>
      <c r="I18" s="34">
        <f>MMap!N23</f>
        <v>-85</v>
      </c>
      <c r="J18" s="34">
        <f>MMap!O23</f>
        <v>4</v>
      </c>
      <c r="Q18" s="38" t="s">
        <v>866</v>
      </c>
    </row>
    <row r="19" spans="1:17">
      <c r="A19" s="32" t="str">
        <f t="shared" si="0"/>
        <v>Streetlight - MH 1000W - Tariff Relamp - to LED 421W - New</v>
      </c>
      <c r="B19" s="32" t="str">
        <f>MMap!F24</f>
        <v>Streetlight - MH 1000W - Tariff Relamp - to LED 421W - New</v>
      </c>
      <c r="C19" s="33">
        <f>MMap!G24</f>
        <v>2919.7</v>
      </c>
      <c r="D19" s="63">
        <f>MMap!L24</f>
        <v>11.627906976744185</v>
      </c>
      <c r="E19" s="35">
        <f>MMap!H24</f>
        <v>532.0694632777404</v>
      </c>
      <c r="F19" s="35">
        <f>MMap!M24</f>
        <v>-56</v>
      </c>
      <c r="G19" s="36" t="s">
        <v>525</v>
      </c>
      <c r="I19" s="34">
        <f>MMap!N24</f>
        <v>0</v>
      </c>
      <c r="J19" s="34">
        <f>MMap!O24</f>
        <v>0</v>
      </c>
      <c r="Q19" s="38" t="s">
        <v>866</v>
      </c>
    </row>
    <row r="20" spans="1:17">
      <c r="A20" s="32" t="str">
        <f t="shared" si="0"/>
        <v>Streetlight - HPS 100W - Group Relamp - to LED 42W - NR</v>
      </c>
      <c r="B20" s="32" t="str">
        <f>MMap!F25</f>
        <v>Streetlight - HPS 100W - Group Relamp - to LED 42W - NR</v>
      </c>
      <c r="C20" s="33">
        <f>MMap!G25</f>
        <v>339.69999999999993</v>
      </c>
      <c r="D20" s="63">
        <f>MMap!L25</f>
        <v>11.627906976744185</v>
      </c>
      <c r="E20" s="35">
        <f>MMap!H25</f>
        <v>113.40810404906972</v>
      </c>
      <c r="F20" s="35">
        <f>MMap!M25</f>
        <v>0</v>
      </c>
      <c r="G20" s="36" t="s">
        <v>525</v>
      </c>
      <c r="I20" s="34">
        <f>MMap!N25</f>
        <v>-77</v>
      </c>
      <c r="J20" s="34">
        <f>MMap!O25</f>
        <v>5</v>
      </c>
      <c r="Q20" s="38" t="s">
        <v>866</v>
      </c>
    </row>
    <row r="21" spans="1:17">
      <c r="A21" s="32" t="str">
        <f t="shared" si="0"/>
        <v>Streetlight - HPS 100W - Tariff Relamp - to LED 42W - NR</v>
      </c>
      <c r="B21" s="32" t="str">
        <f>MMap!F26</f>
        <v>Streetlight - HPS 100W - Tariff Relamp - to LED 42W - NR</v>
      </c>
      <c r="C21" s="33">
        <f>MMap!G26</f>
        <v>339.69999999999993</v>
      </c>
      <c r="D21" s="63">
        <f>MMap!L26</f>
        <v>11.627906976744185</v>
      </c>
      <c r="E21" s="35">
        <f>MMap!H26</f>
        <v>113.40810404906972</v>
      </c>
      <c r="F21" s="35">
        <f>MMap!M26</f>
        <v>-56</v>
      </c>
      <c r="G21" s="36" t="s">
        <v>525</v>
      </c>
      <c r="I21" s="34">
        <f>MMap!N26</f>
        <v>0</v>
      </c>
      <c r="J21" s="34">
        <f>MMap!O26</f>
        <v>0</v>
      </c>
      <c r="Q21" s="38" t="s">
        <v>866</v>
      </c>
    </row>
    <row r="22" spans="1:17">
      <c r="A22" s="32" t="str">
        <f t="shared" si="0"/>
        <v>Streetlight - HPS 100W - Group Relamp - to LED 58W - NR</v>
      </c>
      <c r="B22" s="32" t="str">
        <f>MMap!F27</f>
        <v>Streetlight - HPS 100W - Group Relamp - to LED 58W - NR</v>
      </c>
      <c r="C22" s="33">
        <f>MMap!G27</f>
        <v>270.89999999999998</v>
      </c>
      <c r="D22" s="63">
        <f>MMap!L27</f>
        <v>11.627906976744185</v>
      </c>
      <c r="E22" s="35">
        <f>MMap!H27</f>
        <v>113.40810404906972</v>
      </c>
      <c r="F22" s="35">
        <f>MMap!M27</f>
        <v>0</v>
      </c>
      <c r="G22" s="36" t="s">
        <v>525</v>
      </c>
      <c r="I22" s="34">
        <f>MMap!N27</f>
        <v>-77</v>
      </c>
      <c r="J22" s="34">
        <f>MMap!O27</f>
        <v>5</v>
      </c>
      <c r="Q22" s="38" t="s">
        <v>866</v>
      </c>
    </row>
    <row r="23" spans="1:17">
      <c r="A23" s="32" t="str">
        <f t="shared" si="0"/>
        <v>Streetlight - HPS 100W - Tariff Relamp - to LED 58W - NR</v>
      </c>
      <c r="B23" s="32" t="str">
        <f>MMap!F28</f>
        <v>Streetlight - HPS 100W - Tariff Relamp - to LED 58W - NR</v>
      </c>
      <c r="C23" s="33">
        <f>MMap!G28</f>
        <v>270.89999999999998</v>
      </c>
      <c r="D23" s="63">
        <f>MMap!L28</f>
        <v>11.627906976744185</v>
      </c>
      <c r="E23" s="35">
        <f>MMap!H28</f>
        <v>113.40810404906972</v>
      </c>
      <c r="F23" s="35">
        <f>MMap!M28</f>
        <v>-56</v>
      </c>
      <c r="G23" s="36" t="s">
        <v>525</v>
      </c>
      <c r="I23" s="34">
        <f>MMap!N28</f>
        <v>0</v>
      </c>
      <c r="J23" s="34">
        <f>MMap!O28</f>
        <v>0</v>
      </c>
      <c r="Q23" s="38" t="s">
        <v>866</v>
      </c>
    </row>
    <row r="24" spans="1:17">
      <c r="A24" s="32" t="str">
        <f t="shared" si="0"/>
        <v>Streetlight - MH 200W - Group Relamp - to LED 135W - NR</v>
      </c>
      <c r="B24" s="32" t="str">
        <f>MMap!F29</f>
        <v>Streetlight - MH 200W - Group Relamp - to LED 135W - NR</v>
      </c>
      <c r="C24" s="33">
        <f>MMap!G29</f>
        <v>395.6</v>
      </c>
      <c r="D24" s="63">
        <f>MMap!L29</f>
        <v>11.627906976744185</v>
      </c>
      <c r="E24" s="35">
        <f>MMap!H29</f>
        <v>162.01157721295672</v>
      </c>
      <c r="F24" s="35">
        <f>MMap!M29</f>
        <v>0</v>
      </c>
      <c r="G24" s="36" t="s">
        <v>525</v>
      </c>
      <c r="I24" s="34">
        <f>MMap!N29</f>
        <v>-80</v>
      </c>
      <c r="J24" s="34">
        <f>MMap!O29</f>
        <v>5</v>
      </c>
      <c r="Q24" s="38" t="s">
        <v>866</v>
      </c>
    </row>
    <row r="25" spans="1:17">
      <c r="A25" s="32" t="str">
        <f t="shared" si="0"/>
        <v>Streetlight - MH 200W - Tariff Relamp - to LED 135W - NR</v>
      </c>
      <c r="B25" s="32" t="str">
        <f>MMap!F30</f>
        <v>Streetlight - MH 200W - Tariff Relamp - to LED 135W - NR</v>
      </c>
      <c r="C25" s="33">
        <f>MMap!G30</f>
        <v>395.6</v>
      </c>
      <c r="D25" s="63">
        <f>MMap!L30</f>
        <v>11.627906976744185</v>
      </c>
      <c r="E25" s="35">
        <f>MMap!H30</f>
        <v>162.01157721295672</v>
      </c>
      <c r="F25" s="35">
        <f>MMap!M30</f>
        <v>-56</v>
      </c>
      <c r="G25" s="36" t="s">
        <v>525</v>
      </c>
      <c r="I25" s="34">
        <f>MMap!N30</f>
        <v>0</v>
      </c>
      <c r="J25" s="34">
        <f>MMap!O30</f>
        <v>0</v>
      </c>
      <c r="Q25" s="38" t="s">
        <v>866</v>
      </c>
    </row>
    <row r="26" spans="1:17">
      <c r="A26" s="32" t="str">
        <f t="shared" si="0"/>
        <v>Streetlight - HPS 250W - Group Relamp - to LED 135W - NR</v>
      </c>
      <c r="B26" s="32" t="str">
        <f>MMap!F31</f>
        <v>Streetlight - HPS 250W - Group Relamp - to LED 135W - NR</v>
      </c>
      <c r="C26" s="33">
        <f>MMap!G31</f>
        <v>666.5</v>
      </c>
      <c r="D26" s="63">
        <f>MMap!L31</f>
        <v>11.627906976744185</v>
      </c>
      <c r="E26" s="35">
        <f>MMap!H31</f>
        <v>162.01157721295672</v>
      </c>
      <c r="F26" s="35">
        <f>MMap!M31</f>
        <v>0</v>
      </c>
      <c r="G26" s="36" t="s">
        <v>525</v>
      </c>
      <c r="I26" s="34">
        <f>MMap!N31</f>
        <v>-80</v>
      </c>
      <c r="J26" s="34">
        <f>MMap!O31</f>
        <v>5</v>
      </c>
      <c r="Q26" s="38" t="s">
        <v>866</v>
      </c>
    </row>
    <row r="27" spans="1:17">
      <c r="A27" s="32" t="str">
        <f t="shared" si="0"/>
        <v>Streetlight - HPS 250W - Tariff Relamp - to LED 135W - NR</v>
      </c>
      <c r="B27" s="32" t="str">
        <f>MMap!F32</f>
        <v>Streetlight - HPS 250W - Tariff Relamp - to LED 135W - NR</v>
      </c>
      <c r="C27" s="33">
        <f>MMap!G32</f>
        <v>666.5</v>
      </c>
      <c r="D27" s="63">
        <f>MMap!L32</f>
        <v>11.627906976744185</v>
      </c>
      <c r="E27" s="35">
        <f>MMap!H32</f>
        <v>162.01157721295672</v>
      </c>
      <c r="F27" s="35">
        <f>MMap!M32</f>
        <v>-56</v>
      </c>
      <c r="G27" s="36" t="s">
        <v>525</v>
      </c>
      <c r="I27" s="34">
        <f>MMap!N32</f>
        <v>0</v>
      </c>
      <c r="J27" s="34">
        <f>MMap!O32</f>
        <v>0</v>
      </c>
      <c r="Q27" s="38" t="s">
        <v>866</v>
      </c>
    </row>
    <row r="28" spans="1:17">
      <c r="A28" s="32" t="str">
        <f t="shared" si="0"/>
        <v>Streetlight - MH 400W - Group Relamp - to LED 180W - NR</v>
      </c>
      <c r="B28" s="32" t="str">
        <f>MMap!F33</f>
        <v>Streetlight - MH 400W - Group Relamp - to LED 180W - NR</v>
      </c>
      <c r="C28" s="33">
        <f>MMap!G33</f>
        <v>1152.4000000000001</v>
      </c>
      <c r="D28" s="63">
        <f>MMap!L33</f>
        <v>11.627906976744185</v>
      </c>
      <c r="E28" s="35">
        <f>MMap!H33</f>
        <v>324.02315442591345</v>
      </c>
      <c r="F28" s="35">
        <f>MMap!M33</f>
        <v>0</v>
      </c>
      <c r="G28" s="36" t="s">
        <v>525</v>
      </c>
      <c r="I28" s="34">
        <f>MMap!N33</f>
        <v>-83</v>
      </c>
      <c r="J28" s="34">
        <f>MMap!O33</f>
        <v>4</v>
      </c>
      <c r="Q28" s="38" t="s">
        <v>866</v>
      </c>
    </row>
    <row r="29" spans="1:17">
      <c r="A29" s="32" t="str">
        <f t="shared" si="0"/>
        <v>Streetlight - MH 400W - Tariff Relamp - to LED 180W - NR</v>
      </c>
      <c r="B29" s="32" t="str">
        <f>MMap!F34</f>
        <v>Streetlight - MH 400W - Tariff Relamp - to LED 180W - NR</v>
      </c>
      <c r="C29" s="33">
        <f>MMap!G34</f>
        <v>1152.4000000000001</v>
      </c>
      <c r="D29" s="63">
        <f>MMap!L34</f>
        <v>11.627906976744185</v>
      </c>
      <c r="E29" s="35">
        <f>MMap!H34</f>
        <v>324.02315442591345</v>
      </c>
      <c r="F29" s="35">
        <f>MMap!M34</f>
        <v>-56</v>
      </c>
      <c r="G29" s="36" t="s">
        <v>525</v>
      </c>
      <c r="I29" s="34">
        <f>MMap!N34</f>
        <v>0</v>
      </c>
      <c r="J29" s="34">
        <f>MMap!O34</f>
        <v>0</v>
      </c>
      <c r="Q29" s="38" t="s">
        <v>866</v>
      </c>
    </row>
    <row r="30" spans="1:17">
      <c r="A30" s="32" t="str">
        <f t="shared" si="0"/>
        <v>Streetlight - MH 1000W - Group Relamp - to LED 421W - NR</v>
      </c>
      <c r="B30" s="32" t="str">
        <f>MMap!F35</f>
        <v>Streetlight - MH 1000W - Group Relamp - to LED 421W - NR</v>
      </c>
      <c r="C30" s="33">
        <f>MMap!G35</f>
        <v>2919.7</v>
      </c>
      <c r="D30" s="63">
        <f>MMap!L35</f>
        <v>11.627906976744185</v>
      </c>
      <c r="E30" s="35">
        <f>MMap!H35</f>
        <v>972.0694632777404</v>
      </c>
      <c r="F30" s="35">
        <f>MMap!M35</f>
        <v>0</v>
      </c>
      <c r="G30" s="36" t="s">
        <v>525</v>
      </c>
      <c r="I30" s="34">
        <f>MMap!N35</f>
        <v>-85</v>
      </c>
      <c r="J30" s="34">
        <f>MMap!O35</f>
        <v>4</v>
      </c>
      <c r="Q30" s="38" t="s">
        <v>866</v>
      </c>
    </row>
    <row r="31" spans="1:17">
      <c r="A31" s="32" t="str">
        <f t="shared" si="0"/>
        <v>Streetlight - MH 1000W - Tariff Relamp - to LED 421W - NR</v>
      </c>
      <c r="B31" s="32" t="str">
        <f>MMap!F36</f>
        <v>Streetlight - MH 1000W - Tariff Relamp - to LED 421W - NR</v>
      </c>
      <c r="C31" s="33">
        <f>MMap!G36</f>
        <v>2919.7</v>
      </c>
      <c r="D31" s="63">
        <f>MMap!L36</f>
        <v>11.627906976744185</v>
      </c>
      <c r="E31" s="35">
        <f>MMap!H36</f>
        <v>972.0694632777404</v>
      </c>
      <c r="F31" s="35">
        <f>MMap!M36</f>
        <v>-56</v>
      </c>
      <c r="G31" s="36" t="s">
        <v>525</v>
      </c>
      <c r="I31" s="34">
        <f>MMap!N36</f>
        <v>0</v>
      </c>
      <c r="J31" s="34">
        <f>MMap!O36</f>
        <v>0</v>
      </c>
      <c r="Q31" s="38" t="s">
        <v>866</v>
      </c>
    </row>
    <row r="34" spans="1:131">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row>
    <row r="35" spans="1:131">
      <c r="A35" s="365" t="s">
        <v>534</v>
      </c>
      <c r="B35" s="366"/>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row>
    <row r="36" spans="1:131">
      <c r="A36" s="11" t="s">
        <v>535</v>
      </c>
      <c r="B36" s="11" t="s">
        <v>536</v>
      </c>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row>
    <row r="37" spans="1:131">
      <c r="A37" s="11" t="s">
        <v>537</v>
      </c>
      <c r="B37" s="11" t="s">
        <v>1065</v>
      </c>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row>
    <row r="38" spans="1:131">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row>
    <row r="39" spans="1:131" ht="13.5" thickBot="1">
      <c r="A39" s="367" t="s">
        <v>538</v>
      </c>
      <c r="B39" s="368"/>
      <c r="C39" s="368"/>
      <c r="D39" s="368"/>
      <c r="E39" s="368"/>
      <c r="F39" s="368"/>
      <c r="G39" s="368"/>
      <c r="H39" s="368"/>
      <c r="I39" s="368"/>
      <c r="J39" s="368"/>
      <c r="K39" s="368"/>
      <c r="L39" s="368"/>
      <c r="M39" s="368"/>
      <c r="N39" s="368"/>
      <c r="O39" s="368"/>
      <c r="P39" s="368"/>
      <c r="Q39" s="368"/>
      <c r="R39" s="368"/>
      <c r="S39" s="368"/>
      <c r="T39" s="368"/>
      <c r="U39" s="368"/>
      <c r="V39" s="368"/>
      <c r="W39" s="368"/>
      <c r="X39" s="368"/>
      <c r="Y39" s="368"/>
      <c r="Z39" s="368"/>
      <c r="AA39" s="368"/>
      <c r="AB39" s="368"/>
      <c r="AC39" s="368"/>
      <c r="AD39" s="368"/>
      <c r="AE39" s="368"/>
      <c r="AF39" s="368"/>
      <c r="AG39" s="368"/>
      <c r="AH39" s="368"/>
      <c r="AI39" s="369"/>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row>
    <row r="40" spans="1:131">
      <c r="A40" s="11"/>
      <c r="B40" s="150" t="s">
        <v>539</v>
      </c>
      <c r="C40" s="151"/>
      <c r="D40" s="151" t="s">
        <v>539</v>
      </c>
      <c r="E40" s="152"/>
      <c r="F40" s="11"/>
      <c r="G40" s="150" t="s">
        <v>540</v>
      </c>
      <c r="H40" s="151"/>
      <c r="I40" s="151"/>
      <c r="J40" s="151"/>
      <c r="K40" s="151"/>
      <c r="L40" s="151"/>
      <c r="M40" s="151"/>
      <c r="N40" s="151"/>
      <c r="O40" s="152"/>
      <c r="P40" s="11"/>
      <c r="Q40" s="150" t="s">
        <v>541</v>
      </c>
      <c r="R40" s="151"/>
      <c r="S40" s="151"/>
      <c r="T40" s="151"/>
      <c r="U40" s="152"/>
      <c r="V40" s="11"/>
      <c r="W40" s="150" t="s">
        <v>542</v>
      </c>
      <c r="X40" s="152"/>
      <c r="Y40" s="11"/>
      <c r="Z40" s="150" t="s">
        <v>543</v>
      </c>
      <c r="AA40" s="151"/>
      <c r="AB40" s="152"/>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row>
    <row r="41" spans="1:131">
      <c r="A41" s="11"/>
      <c r="B41" s="148" t="s">
        <v>544</v>
      </c>
      <c r="C41" s="115" t="s">
        <v>545</v>
      </c>
      <c r="D41" s="115" t="s">
        <v>544</v>
      </c>
      <c r="E41" s="149" t="s">
        <v>545</v>
      </c>
      <c r="F41" s="11"/>
      <c r="G41" s="148" t="s">
        <v>546</v>
      </c>
      <c r="H41" s="115" t="s">
        <v>1066</v>
      </c>
      <c r="I41" s="115"/>
      <c r="J41" s="115"/>
      <c r="K41" s="115" t="s">
        <v>547</v>
      </c>
      <c r="L41" s="115"/>
      <c r="M41" s="115"/>
      <c r="N41" s="115"/>
      <c r="O41" s="149"/>
      <c r="P41" s="11"/>
      <c r="Q41" s="148"/>
      <c r="R41" s="115" t="s">
        <v>327</v>
      </c>
      <c r="S41" s="115" t="s">
        <v>548</v>
      </c>
      <c r="T41" s="115" t="s">
        <v>549</v>
      </c>
      <c r="U41" s="149" t="s">
        <v>550</v>
      </c>
      <c r="V41" s="11"/>
      <c r="W41" s="148" t="s">
        <v>551</v>
      </c>
      <c r="X41" s="149">
        <v>20</v>
      </c>
      <c r="Y41" s="11"/>
      <c r="Z41" s="148"/>
      <c r="AA41" s="115" t="s">
        <v>545</v>
      </c>
      <c r="AB41" s="149" t="s">
        <v>552</v>
      </c>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row>
    <row r="42" spans="1:131">
      <c r="A42" s="11"/>
      <c r="B42" s="148" t="s">
        <v>553</v>
      </c>
      <c r="C42" s="115" t="s">
        <v>554</v>
      </c>
      <c r="D42" s="115" t="s">
        <v>553</v>
      </c>
      <c r="E42" s="149" t="s">
        <v>554</v>
      </c>
      <c r="F42" s="11"/>
      <c r="G42" s="148" t="s">
        <v>555</v>
      </c>
      <c r="H42" s="115" t="s">
        <v>556</v>
      </c>
      <c r="I42" s="115"/>
      <c r="J42" s="115"/>
      <c r="K42" s="115" t="s">
        <v>557</v>
      </c>
      <c r="L42" s="115"/>
      <c r="M42" s="115"/>
      <c r="N42" s="115"/>
      <c r="O42" s="149"/>
      <c r="P42" s="11"/>
      <c r="Q42" s="148" t="s">
        <v>558</v>
      </c>
      <c r="R42" s="115">
        <v>6.8012888465852586E-2</v>
      </c>
      <c r="S42" s="115">
        <v>4.387844424080023E-2</v>
      </c>
      <c r="T42" s="115">
        <v>5.3289007766645871E-2</v>
      </c>
      <c r="U42" s="149">
        <v>5.447903102274565E-2</v>
      </c>
      <c r="V42" s="11"/>
      <c r="W42" s="148" t="s">
        <v>559</v>
      </c>
      <c r="X42" s="149">
        <v>2016</v>
      </c>
      <c r="Y42" s="11"/>
      <c r="Z42" s="148" t="s">
        <v>560</v>
      </c>
      <c r="AA42" s="115">
        <v>4.03890184699085E-3</v>
      </c>
      <c r="AB42" s="149">
        <v>0.01</v>
      </c>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row>
    <row r="43" spans="1:131">
      <c r="A43" s="11"/>
      <c r="B43" s="148" t="s">
        <v>561</v>
      </c>
      <c r="C43" s="115" t="s">
        <v>562</v>
      </c>
      <c r="D43" s="115" t="s">
        <v>561</v>
      </c>
      <c r="E43" s="149" t="s">
        <v>562</v>
      </c>
      <c r="F43" s="11"/>
      <c r="G43" s="148" t="s">
        <v>563</v>
      </c>
      <c r="H43" s="115" t="s">
        <v>564</v>
      </c>
      <c r="I43" s="115"/>
      <c r="J43" s="115"/>
      <c r="K43" s="115" t="s">
        <v>565</v>
      </c>
      <c r="L43" s="115"/>
      <c r="M43" s="115"/>
      <c r="N43" s="115"/>
      <c r="O43" s="149"/>
      <c r="P43" s="11"/>
      <c r="Q43" s="148" t="s">
        <v>566</v>
      </c>
      <c r="R43" s="115">
        <v>12</v>
      </c>
      <c r="S43" s="115">
        <v>12</v>
      </c>
      <c r="T43" s="115">
        <v>1</v>
      </c>
      <c r="U43" s="149">
        <v>1</v>
      </c>
      <c r="V43" s="11"/>
      <c r="W43" s="148" t="s">
        <v>567</v>
      </c>
      <c r="X43" s="149">
        <v>2016</v>
      </c>
      <c r="Y43" s="11"/>
      <c r="Z43" s="148" t="s">
        <v>568</v>
      </c>
      <c r="AA43" s="115">
        <v>26</v>
      </c>
      <c r="AB43" s="149">
        <v>0</v>
      </c>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row>
    <row r="44" spans="1:131" ht="13.5" thickBot="1">
      <c r="A44" s="11"/>
      <c r="B44" s="163" t="s">
        <v>569</v>
      </c>
      <c r="C44" s="370" t="s">
        <v>562</v>
      </c>
      <c r="D44" s="370" t="s">
        <v>569</v>
      </c>
      <c r="E44" s="371" t="s">
        <v>562</v>
      </c>
      <c r="F44" s="11"/>
      <c r="G44" s="148" t="s">
        <v>570</v>
      </c>
      <c r="H44" s="115" t="s">
        <v>571</v>
      </c>
      <c r="I44" s="115"/>
      <c r="J44" s="115"/>
      <c r="K44" s="115" t="s">
        <v>557</v>
      </c>
      <c r="L44" s="115"/>
      <c r="M44" s="115"/>
      <c r="N44" s="115"/>
      <c r="O44" s="149"/>
      <c r="P44" s="11"/>
      <c r="Q44" s="148"/>
      <c r="R44" s="115" t="s">
        <v>327</v>
      </c>
      <c r="S44" s="115" t="s">
        <v>548</v>
      </c>
      <c r="T44" s="115" t="s">
        <v>549</v>
      </c>
      <c r="U44" s="149" t="s">
        <v>550</v>
      </c>
      <c r="V44" s="11"/>
      <c r="W44" s="148" t="s">
        <v>572</v>
      </c>
      <c r="X44" s="149">
        <v>2012</v>
      </c>
      <c r="Y44" s="11"/>
      <c r="Z44" s="148" t="s">
        <v>573</v>
      </c>
      <c r="AA44" s="115">
        <v>0.9</v>
      </c>
      <c r="AB44" s="149" t="s">
        <v>574</v>
      </c>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row>
    <row r="45" spans="1:131">
      <c r="A45" s="11"/>
      <c r="B45" s="11"/>
      <c r="C45" s="11"/>
      <c r="D45" s="11"/>
      <c r="E45" s="11"/>
      <c r="F45" s="11"/>
      <c r="G45" s="148" t="s">
        <v>575</v>
      </c>
      <c r="H45" s="115" t="s">
        <v>564</v>
      </c>
      <c r="I45" s="115"/>
      <c r="J45" s="115"/>
      <c r="K45" s="115"/>
      <c r="L45" s="115"/>
      <c r="M45" s="115"/>
      <c r="N45" s="115"/>
      <c r="O45" s="149"/>
      <c r="P45" s="11"/>
      <c r="Q45" s="148" t="s">
        <v>576</v>
      </c>
      <c r="R45" s="115">
        <v>0.35</v>
      </c>
      <c r="S45" s="115">
        <v>0.19500000000000001</v>
      </c>
      <c r="T45" s="115">
        <v>0.45499999999999996</v>
      </c>
      <c r="U45" s="149">
        <v>0</v>
      </c>
      <c r="V45" s="11"/>
      <c r="W45" s="148" t="s">
        <v>577</v>
      </c>
      <c r="X45" s="149">
        <v>0.04</v>
      </c>
      <c r="Y45" s="11"/>
      <c r="Z45" s="148" t="s">
        <v>578</v>
      </c>
      <c r="AA45" s="115">
        <v>4.7399348199455904E-2</v>
      </c>
      <c r="AB45" s="149">
        <v>0</v>
      </c>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row>
    <row r="46" spans="1:131">
      <c r="A46" s="11"/>
      <c r="B46" s="11" t="s">
        <v>579</v>
      </c>
      <c r="C46" s="11" t="s">
        <v>545</v>
      </c>
      <c r="D46" s="11"/>
      <c r="E46" s="11"/>
      <c r="F46" s="11"/>
      <c r="G46" s="148" t="s">
        <v>580</v>
      </c>
      <c r="H46" s="115" t="s">
        <v>581</v>
      </c>
      <c r="I46" s="115"/>
      <c r="J46" s="115"/>
      <c r="K46" s="115" t="s">
        <v>582</v>
      </c>
      <c r="L46" s="115"/>
      <c r="M46" s="115"/>
      <c r="N46" s="115"/>
      <c r="O46" s="149"/>
      <c r="P46" s="11"/>
      <c r="Q46" s="148" t="s">
        <v>583</v>
      </c>
      <c r="R46" s="115">
        <v>1</v>
      </c>
      <c r="S46" s="115">
        <v>0</v>
      </c>
      <c r="T46" s="115">
        <v>0</v>
      </c>
      <c r="U46" s="149">
        <v>0</v>
      </c>
      <c r="V46" s="11"/>
      <c r="W46" s="148" t="s">
        <v>584</v>
      </c>
      <c r="X46" s="149">
        <v>0</v>
      </c>
      <c r="Y46" s="11"/>
      <c r="Z46" s="148" t="s">
        <v>585</v>
      </c>
      <c r="AA46" s="115">
        <v>31</v>
      </c>
      <c r="AB46" s="149">
        <v>0</v>
      </c>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row>
    <row r="47" spans="1:131">
      <c r="A47" s="11"/>
      <c r="B47" s="11" t="s">
        <v>586</v>
      </c>
      <c r="C47" s="11" t="s">
        <v>587</v>
      </c>
      <c r="D47" s="11"/>
      <c r="E47" s="11"/>
      <c r="F47" s="11"/>
      <c r="G47" s="148" t="s">
        <v>588</v>
      </c>
      <c r="H47" s="115" t="s">
        <v>582</v>
      </c>
      <c r="I47" s="115"/>
      <c r="J47" s="115"/>
      <c r="K47" s="115" t="s">
        <v>589</v>
      </c>
      <c r="L47" s="115"/>
      <c r="M47" s="115"/>
      <c r="N47" s="115"/>
      <c r="O47" s="149"/>
      <c r="P47" s="11"/>
      <c r="Q47" s="148" t="s">
        <v>590</v>
      </c>
      <c r="R47" s="115">
        <v>1</v>
      </c>
      <c r="S47" s="115">
        <v>0</v>
      </c>
      <c r="T47" s="115">
        <v>0</v>
      </c>
      <c r="U47" s="149">
        <v>0</v>
      </c>
      <c r="V47" s="11"/>
      <c r="W47" s="148" t="s">
        <v>591</v>
      </c>
      <c r="X47" s="149">
        <v>0.2</v>
      </c>
      <c r="Y47" s="11"/>
      <c r="Z47" s="148" t="s">
        <v>592</v>
      </c>
      <c r="AA47" s="115">
        <v>0.7</v>
      </c>
      <c r="AB47" s="149" t="s">
        <v>574</v>
      </c>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row>
    <row r="48" spans="1:131">
      <c r="A48" s="11"/>
      <c r="B48" s="11" t="s">
        <v>593</v>
      </c>
      <c r="C48" s="11" t="s">
        <v>594</v>
      </c>
      <c r="D48" s="11"/>
      <c r="E48" s="11"/>
      <c r="F48" s="11"/>
      <c r="G48" s="148" t="s">
        <v>595</v>
      </c>
      <c r="H48" s="115" t="s">
        <v>589</v>
      </c>
      <c r="I48" s="115"/>
      <c r="J48" s="115"/>
      <c r="K48" s="115" t="s">
        <v>596</v>
      </c>
      <c r="L48" s="115"/>
      <c r="M48" s="115"/>
      <c r="N48" s="115"/>
      <c r="O48" s="149"/>
      <c r="P48" s="11"/>
      <c r="Q48" s="148" t="s">
        <v>597</v>
      </c>
      <c r="R48" s="115"/>
      <c r="S48" s="115">
        <v>0.3</v>
      </c>
      <c r="T48" s="115">
        <v>0.7</v>
      </c>
      <c r="U48" s="149">
        <v>0</v>
      </c>
      <c r="V48" s="11"/>
      <c r="W48" s="148" t="s">
        <v>598</v>
      </c>
      <c r="X48" s="149">
        <v>0</v>
      </c>
      <c r="Y48" s="11"/>
      <c r="Z48" s="148" t="s">
        <v>599</v>
      </c>
      <c r="AA48" s="115">
        <v>0</v>
      </c>
      <c r="AB48" s="149">
        <v>0</v>
      </c>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row>
    <row r="49" spans="1:131" ht="13.5" thickBot="1">
      <c r="A49" s="11"/>
      <c r="B49" s="11" t="s">
        <v>600</v>
      </c>
      <c r="C49" s="11" t="s">
        <v>601</v>
      </c>
      <c r="D49" s="11"/>
      <c r="E49" s="11"/>
      <c r="F49" s="11"/>
      <c r="G49" s="163" t="s">
        <v>602</v>
      </c>
      <c r="H49" s="370" t="s">
        <v>596</v>
      </c>
      <c r="I49" s="370"/>
      <c r="J49" s="370"/>
      <c r="K49" s="370"/>
      <c r="L49" s="370"/>
      <c r="M49" s="370"/>
      <c r="N49" s="370"/>
      <c r="O49" s="371"/>
      <c r="P49" s="11"/>
      <c r="Q49" s="163" t="s">
        <v>603</v>
      </c>
      <c r="R49" s="370"/>
      <c r="S49" s="370">
        <v>20</v>
      </c>
      <c r="T49" s="370"/>
      <c r="U49" s="371"/>
      <c r="V49" s="11"/>
      <c r="W49" s="163" t="s">
        <v>604</v>
      </c>
      <c r="X49" s="371">
        <v>2018</v>
      </c>
      <c r="Y49" s="11"/>
      <c r="Z49" s="163" t="s">
        <v>605</v>
      </c>
      <c r="AA49" s="370">
        <v>0</v>
      </c>
      <c r="AB49" s="371">
        <v>0</v>
      </c>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row>
    <row r="50" spans="1:131">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row>
    <row r="51" spans="1:131">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row>
    <row r="52" spans="1:131">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row>
    <row r="53" spans="1:131">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row>
    <row r="54" spans="1:131">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row>
    <row r="55" spans="1:131">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row>
    <row r="56" spans="1:131">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row>
    <row r="57" spans="1:131" ht="13.5" thickBot="1">
      <c r="A57" s="367" t="s">
        <v>606</v>
      </c>
      <c r="B57" s="369"/>
      <c r="C57" s="32"/>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2"/>
      <c r="AI57" s="32"/>
      <c r="AJ57" s="32"/>
      <c r="AK57" s="32"/>
      <c r="AL57" s="32"/>
      <c r="AM57" s="32"/>
      <c r="AN57" s="32"/>
      <c r="AO57" s="32"/>
      <c r="AP57" s="32"/>
      <c r="AQ57" s="32"/>
      <c r="AR57" s="32"/>
      <c r="AS57" s="32"/>
      <c r="AT57" s="32"/>
      <c r="AU57" s="32"/>
      <c r="AV57" s="32"/>
      <c r="AW57" s="32"/>
      <c r="AX57" s="32"/>
      <c r="AY57" s="32"/>
      <c r="AZ57" s="32"/>
      <c r="BA57" s="32"/>
      <c r="BB57" s="32"/>
      <c r="BC57" s="32"/>
      <c r="BD57" s="32"/>
      <c r="BE57" s="32"/>
      <c r="BF57" s="32"/>
      <c r="BG57" s="32"/>
      <c r="BH57" s="32"/>
      <c r="BI57" s="32"/>
      <c r="BJ57" s="32"/>
      <c r="BK57" s="32"/>
      <c r="BL57" s="32"/>
      <c r="BM57" s="32"/>
      <c r="BN57" s="32"/>
      <c r="BO57" s="32"/>
      <c r="BP57" s="32"/>
      <c r="BQ57" s="32"/>
      <c r="BR57" s="32"/>
      <c r="BS57" s="32"/>
      <c r="BT57" s="32"/>
      <c r="BU57" s="32"/>
      <c r="BV57" s="32"/>
      <c r="BW57" s="32"/>
      <c r="BX57" s="32"/>
      <c r="BY57" s="32"/>
      <c r="BZ57" s="32"/>
      <c r="CA57" s="32"/>
      <c r="CB57" s="32"/>
      <c r="CC57" s="32"/>
      <c r="CD57" s="32"/>
      <c r="CE57" s="32"/>
      <c r="CF57" s="32"/>
      <c r="CG57" s="32"/>
      <c r="CH57" s="32"/>
      <c r="CI57" s="32"/>
      <c r="CJ57" s="32"/>
      <c r="CK57" s="32"/>
      <c r="CL57" s="32"/>
      <c r="CM57" s="32"/>
      <c r="CN57" s="32"/>
      <c r="CO57" s="32"/>
      <c r="CP57" s="32"/>
      <c r="CQ57" s="32"/>
      <c r="CR57" s="32"/>
      <c r="CS57" s="32"/>
      <c r="CT57" s="32"/>
      <c r="CU57" s="32"/>
      <c r="CV57" s="32"/>
      <c r="CW57" s="32"/>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row>
    <row r="58" spans="1:131" ht="26.25" thickBot="1">
      <c r="A58" s="372" t="s">
        <v>291</v>
      </c>
      <c r="B58" s="373"/>
      <c r="C58" s="374" t="s">
        <v>292</v>
      </c>
      <c r="D58" s="375"/>
      <c r="E58" s="375"/>
      <c r="F58" s="375"/>
      <c r="G58" s="375"/>
      <c r="H58" s="375"/>
      <c r="I58" s="375"/>
      <c r="J58" s="375"/>
      <c r="K58" s="376"/>
      <c r="L58" s="374" t="s">
        <v>102</v>
      </c>
      <c r="M58" s="375"/>
      <c r="N58" s="375"/>
      <c r="O58" s="375"/>
      <c r="P58" s="375"/>
      <c r="Q58" s="376"/>
      <c r="R58" s="374" t="s">
        <v>293</v>
      </c>
      <c r="S58" s="375"/>
      <c r="T58" s="375"/>
      <c r="U58" s="376"/>
      <c r="V58" s="374" t="s">
        <v>294</v>
      </c>
      <c r="W58" s="375"/>
      <c r="X58" s="375"/>
      <c r="Y58" s="376"/>
      <c r="Z58" s="374" t="s">
        <v>295</v>
      </c>
      <c r="AA58" s="375"/>
      <c r="AB58" s="375"/>
      <c r="AC58" s="376"/>
      <c r="AD58" s="374" t="s">
        <v>296</v>
      </c>
      <c r="AE58" s="375"/>
      <c r="AF58" s="375"/>
      <c r="AG58" s="376"/>
      <c r="AH58" s="374" t="s">
        <v>297</v>
      </c>
      <c r="AI58" s="375"/>
      <c r="AJ58" s="375"/>
      <c r="AK58" s="375"/>
      <c r="AL58" s="376"/>
      <c r="AM58" s="374" t="s">
        <v>298</v>
      </c>
      <c r="AN58" s="375"/>
      <c r="AO58" s="375"/>
      <c r="AP58" s="375"/>
      <c r="AQ58" s="375"/>
      <c r="AR58" s="375"/>
      <c r="AS58" s="376"/>
      <c r="AT58" s="374" t="s">
        <v>299</v>
      </c>
      <c r="AU58" s="375"/>
      <c r="AV58" s="375"/>
      <c r="AW58" s="375"/>
      <c r="AX58" s="375"/>
      <c r="AY58" s="375"/>
      <c r="AZ58" s="376"/>
      <c r="BA58" s="374" t="s">
        <v>300</v>
      </c>
      <c r="BB58" s="375"/>
      <c r="BC58" s="375"/>
      <c r="BD58" s="375"/>
      <c r="BE58" s="375"/>
      <c r="BF58" s="376"/>
      <c r="BG58" s="374" t="s">
        <v>301</v>
      </c>
      <c r="BH58" s="376"/>
      <c r="BI58" s="374" t="s">
        <v>302</v>
      </c>
      <c r="BJ58" s="375"/>
      <c r="BK58" s="375"/>
      <c r="BL58" s="375"/>
      <c r="BM58" s="376"/>
      <c r="BN58" s="374" t="s">
        <v>303</v>
      </c>
      <c r="BO58" s="375"/>
      <c r="BP58" s="375"/>
      <c r="BQ58" s="375"/>
      <c r="BR58" s="375"/>
      <c r="BS58" s="375"/>
      <c r="BT58" s="375"/>
      <c r="BU58" s="375"/>
      <c r="BV58" s="375"/>
      <c r="BW58" s="375"/>
      <c r="BX58" s="375"/>
      <c r="BY58" s="375"/>
      <c r="BZ58" s="375"/>
      <c r="CA58" s="375"/>
      <c r="CB58" s="375"/>
      <c r="CC58" s="376"/>
      <c r="CD58" s="374" t="s">
        <v>304</v>
      </c>
      <c r="CE58" s="376"/>
      <c r="CF58" s="374" t="s">
        <v>305</v>
      </c>
      <c r="CG58" s="375"/>
      <c r="CH58" s="375"/>
      <c r="CI58" s="375"/>
      <c r="CJ58" s="375"/>
      <c r="CK58" s="376"/>
      <c r="CL58" s="377"/>
      <c r="CM58" s="374" t="s">
        <v>15</v>
      </c>
      <c r="CN58" s="375"/>
      <c r="CO58" s="375"/>
      <c r="CP58" s="376"/>
      <c r="CQ58" s="374" t="s">
        <v>306</v>
      </c>
      <c r="CR58" s="375"/>
      <c r="CS58" s="375"/>
      <c r="CT58" s="375"/>
      <c r="CU58" s="376"/>
      <c r="CV58" s="374" t="s">
        <v>307</v>
      </c>
      <c r="CW58" s="376"/>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row>
    <row r="59" spans="1:131" ht="127.5">
      <c r="A59" s="378" t="s">
        <v>308</v>
      </c>
      <c r="B59" s="379" t="s">
        <v>309</v>
      </c>
      <c r="C59" s="380" t="s">
        <v>8</v>
      </c>
      <c r="D59" s="380" t="s">
        <v>310</v>
      </c>
      <c r="E59" s="380" t="s">
        <v>311</v>
      </c>
      <c r="F59" s="380" t="s">
        <v>312</v>
      </c>
      <c r="G59" s="380" t="s">
        <v>313</v>
      </c>
      <c r="H59" s="380" t="s">
        <v>314</v>
      </c>
      <c r="I59" s="380" t="s">
        <v>315</v>
      </c>
      <c r="J59" s="380" t="s">
        <v>316</v>
      </c>
      <c r="K59" s="380" t="s">
        <v>317</v>
      </c>
      <c r="L59" s="380" t="s">
        <v>318</v>
      </c>
      <c r="M59" s="380" t="s">
        <v>319</v>
      </c>
      <c r="N59" s="380" t="s">
        <v>320</v>
      </c>
      <c r="O59" s="380" t="s">
        <v>321</v>
      </c>
      <c r="P59" s="380" t="s">
        <v>322</v>
      </c>
      <c r="Q59" s="380" t="s">
        <v>323</v>
      </c>
      <c r="R59" s="380" t="s">
        <v>324</v>
      </c>
      <c r="S59" s="380" t="s">
        <v>325</v>
      </c>
      <c r="T59" s="380" t="s">
        <v>326</v>
      </c>
      <c r="U59" s="380" t="s">
        <v>327</v>
      </c>
      <c r="V59" s="380" t="s">
        <v>324</v>
      </c>
      <c r="W59" s="380" t="s">
        <v>325</v>
      </c>
      <c r="X59" s="380" t="s">
        <v>326</v>
      </c>
      <c r="Y59" s="380" t="s">
        <v>327</v>
      </c>
      <c r="Z59" s="380" t="s">
        <v>324</v>
      </c>
      <c r="AA59" s="380" t="s">
        <v>325</v>
      </c>
      <c r="AB59" s="380" t="s">
        <v>326</v>
      </c>
      <c r="AC59" s="380" t="s">
        <v>327</v>
      </c>
      <c r="AD59" s="380" t="s">
        <v>324</v>
      </c>
      <c r="AE59" s="380" t="s">
        <v>325</v>
      </c>
      <c r="AF59" s="380" t="s">
        <v>326</v>
      </c>
      <c r="AG59" s="380" t="s">
        <v>327</v>
      </c>
      <c r="AH59" s="380" t="s">
        <v>324</v>
      </c>
      <c r="AI59" s="380" t="s">
        <v>325</v>
      </c>
      <c r="AJ59" s="380" t="s">
        <v>326</v>
      </c>
      <c r="AK59" s="380" t="s">
        <v>327</v>
      </c>
      <c r="AL59" s="380" t="s">
        <v>156</v>
      </c>
      <c r="AM59" s="380" t="s">
        <v>328</v>
      </c>
      <c r="AN59" s="380" t="s">
        <v>329</v>
      </c>
      <c r="AO59" s="380" t="s">
        <v>330</v>
      </c>
      <c r="AP59" s="380" t="s">
        <v>331</v>
      </c>
      <c r="AQ59" s="380" t="s">
        <v>332</v>
      </c>
      <c r="AR59" s="380" t="s">
        <v>333</v>
      </c>
      <c r="AS59" s="380" t="s">
        <v>334</v>
      </c>
      <c r="AT59" s="380" t="s">
        <v>335</v>
      </c>
      <c r="AU59" s="380" t="s">
        <v>336</v>
      </c>
      <c r="AV59" s="380" t="s">
        <v>337</v>
      </c>
      <c r="AW59" s="380" t="s">
        <v>338</v>
      </c>
      <c r="AX59" s="380" t="s">
        <v>339</v>
      </c>
      <c r="AY59" s="380" t="s">
        <v>340</v>
      </c>
      <c r="AZ59" s="380" t="s">
        <v>341</v>
      </c>
      <c r="BA59" s="380" t="s">
        <v>342</v>
      </c>
      <c r="BB59" s="380" t="s">
        <v>343</v>
      </c>
      <c r="BC59" s="380" t="s">
        <v>344</v>
      </c>
      <c r="BD59" s="380" t="s">
        <v>345</v>
      </c>
      <c r="BE59" s="380" t="s">
        <v>346</v>
      </c>
      <c r="BF59" s="380" t="s">
        <v>347</v>
      </c>
      <c r="BG59" s="380" t="s">
        <v>348</v>
      </c>
      <c r="BH59" s="380" t="s">
        <v>349</v>
      </c>
      <c r="BI59" s="380" t="s">
        <v>350</v>
      </c>
      <c r="BJ59" s="380" t="s">
        <v>351</v>
      </c>
      <c r="BK59" s="380" t="s">
        <v>352</v>
      </c>
      <c r="BL59" s="380" t="s">
        <v>353</v>
      </c>
      <c r="BM59" s="380" t="s">
        <v>354</v>
      </c>
      <c r="BN59" s="380" t="s">
        <v>355</v>
      </c>
      <c r="BO59" s="380" t="s">
        <v>356</v>
      </c>
      <c r="BP59" s="380" t="s">
        <v>357</v>
      </c>
      <c r="BQ59" s="380" t="s">
        <v>358</v>
      </c>
      <c r="BR59" s="380" t="s">
        <v>359</v>
      </c>
      <c r="BS59" s="380" t="s">
        <v>360</v>
      </c>
      <c r="BT59" s="380" t="s">
        <v>361</v>
      </c>
      <c r="BU59" s="380" t="s">
        <v>362</v>
      </c>
      <c r="BV59" s="380" t="s">
        <v>363</v>
      </c>
      <c r="BW59" s="380" t="s">
        <v>364</v>
      </c>
      <c r="BX59" s="380" t="s">
        <v>365</v>
      </c>
      <c r="BY59" s="380" t="s">
        <v>366</v>
      </c>
      <c r="BZ59" s="380" t="s">
        <v>367</v>
      </c>
      <c r="CA59" s="380" t="s">
        <v>368</v>
      </c>
      <c r="CB59" s="380" t="s">
        <v>369</v>
      </c>
      <c r="CC59" s="380" t="s">
        <v>370</v>
      </c>
      <c r="CD59" s="380" t="s">
        <v>371</v>
      </c>
      <c r="CE59" s="380" t="s">
        <v>372</v>
      </c>
      <c r="CF59" s="380" t="s">
        <v>373</v>
      </c>
      <c r="CG59" s="380" t="s">
        <v>374</v>
      </c>
      <c r="CH59" s="380" t="s">
        <v>375</v>
      </c>
      <c r="CI59" s="380" t="s">
        <v>607</v>
      </c>
      <c r="CJ59" s="380" t="s">
        <v>608</v>
      </c>
      <c r="CK59" s="380" t="s">
        <v>609</v>
      </c>
      <c r="CL59" s="380"/>
      <c r="CM59" s="380" t="s">
        <v>376</v>
      </c>
      <c r="CN59" s="380" t="s">
        <v>377</v>
      </c>
      <c r="CO59" s="380" t="s">
        <v>378</v>
      </c>
      <c r="CP59" s="380" t="s">
        <v>379</v>
      </c>
      <c r="CQ59" s="380" t="s">
        <v>380</v>
      </c>
      <c r="CR59" s="380" t="s">
        <v>381</v>
      </c>
      <c r="CS59" s="380" t="s">
        <v>382</v>
      </c>
      <c r="CT59" s="380" t="s">
        <v>383</v>
      </c>
      <c r="CU59" s="380" t="s">
        <v>384</v>
      </c>
      <c r="CV59" s="380" t="s">
        <v>385</v>
      </c>
      <c r="CW59" s="381" t="s">
        <v>386</v>
      </c>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row>
    <row r="60" spans="1:131">
      <c r="A60" s="11" t="s">
        <v>526</v>
      </c>
      <c r="B60" s="11" t="s">
        <v>526</v>
      </c>
      <c r="C60" s="32">
        <v>11.627906976744185</v>
      </c>
      <c r="D60" s="32">
        <v>339.69999999999993</v>
      </c>
      <c r="E60" s="32">
        <v>0</v>
      </c>
      <c r="F60" s="32">
        <v>-8.5918959509302795</v>
      </c>
      <c r="G60" s="32">
        <v>0</v>
      </c>
      <c r="H60" s="32">
        <v>-148.8813155294643</v>
      </c>
      <c r="I60" s="32" t="s">
        <v>525</v>
      </c>
      <c r="J60" s="32"/>
      <c r="K60" s="32"/>
      <c r="L60" s="32">
        <v>364.19161716693708</v>
      </c>
      <c r="M60" s="32">
        <v>8.5007695632657157E-2</v>
      </c>
      <c r="N60" s="32">
        <v>8.4394148206735825E-2</v>
      </c>
      <c r="O60" s="32">
        <v>0</v>
      </c>
      <c r="P60" s="32">
        <v>0</v>
      </c>
      <c r="Q60" s="32">
        <v>0</v>
      </c>
      <c r="R60" s="32">
        <v>-1.713338827476222</v>
      </c>
      <c r="S60" s="32">
        <v>-3.9592654329329573</v>
      </c>
      <c r="T60" s="32">
        <v>0</v>
      </c>
      <c r="U60" s="32">
        <v>-8.3813489142453612</v>
      </c>
      <c r="V60" s="32" t="s">
        <v>610</v>
      </c>
      <c r="W60" s="32" t="s">
        <v>610</v>
      </c>
      <c r="X60" s="32" t="s">
        <v>610</v>
      </c>
      <c r="Y60" s="32" t="s">
        <v>610</v>
      </c>
      <c r="Z60" s="32">
        <v>0</v>
      </c>
      <c r="AA60" s="32">
        <v>0</v>
      </c>
      <c r="AB60" s="32">
        <v>0</v>
      </c>
      <c r="AC60" s="32">
        <v>0</v>
      </c>
      <c r="AD60" s="32">
        <v>0</v>
      </c>
      <c r="AE60" s="32">
        <v>0</v>
      </c>
      <c r="AF60" s="32">
        <v>0</v>
      </c>
      <c r="AG60" s="32">
        <v>-148.8813155294643</v>
      </c>
      <c r="AH60" s="32">
        <v>-1.713338827476222</v>
      </c>
      <c r="AI60" s="32">
        <v>-3.9592654329329573</v>
      </c>
      <c r="AJ60" s="32">
        <v>0</v>
      </c>
      <c r="AK60" s="32">
        <v>-157.26266444370967</v>
      </c>
      <c r="AL60" s="32">
        <v>-162.93526870411884</v>
      </c>
      <c r="AM60" s="32">
        <v>174.56073421900641</v>
      </c>
      <c r="AN60" s="32">
        <v>30.03734046251887</v>
      </c>
      <c r="AO60" s="32">
        <v>0</v>
      </c>
      <c r="AP60" s="32">
        <v>0</v>
      </c>
      <c r="AQ60" s="32">
        <v>204.59807468152528</v>
      </c>
      <c r="AR60" s="32">
        <v>-1.713338827476222</v>
      </c>
      <c r="AS60" s="382">
        <v>9999</v>
      </c>
      <c r="AT60" s="32">
        <v>174.56073421900641</v>
      </c>
      <c r="AU60" s="32">
        <v>35.555264487788371</v>
      </c>
      <c r="AV60" s="32">
        <v>0</v>
      </c>
      <c r="AW60" s="32">
        <v>0</v>
      </c>
      <c r="AX60" s="32">
        <v>210.11599870679478</v>
      </c>
      <c r="AY60" s="32">
        <v>-3.9592654329329573</v>
      </c>
      <c r="AZ60" s="382">
        <v>9999</v>
      </c>
      <c r="BA60" s="32">
        <v>174.56073421900641</v>
      </c>
      <c r="BB60" s="32">
        <v>65.592604950307248</v>
      </c>
      <c r="BC60" s="32">
        <v>0</v>
      </c>
      <c r="BD60" s="32">
        <v>0</v>
      </c>
      <c r="BE60" s="32">
        <v>240.15333916931365</v>
      </c>
      <c r="BF60" s="32">
        <v>-5.6726042604091793</v>
      </c>
      <c r="BG60" s="32">
        <v>-14.398516012126633</v>
      </c>
      <c r="BH60" s="382">
        <v>9999</v>
      </c>
      <c r="BI60" s="32">
        <v>-0.34616521602668637</v>
      </c>
      <c r="BJ60" s="32">
        <v>-0.79993516280553101</v>
      </c>
      <c r="BK60" s="32">
        <v>0</v>
      </c>
      <c r="BL60" s="32">
        <v>-31.773554265549709</v>
      </c>
      <c r="BM60" s="32">
        <v>-32.919654644381929</v>
      </c>
      <c r="BN60" s="32">
        <v>174.56073421900641</v>
      </c>
      <c r="BO60" s="32">
        <v>0</v>
      </c>
      <c r="BP60" s="32">
        <v>65.592604950307248</v>
      </c>
      <c r="BQ60" s="32">
        <v>0</v>
      </c>
      <c r="BR60" s="32">
        <v>0</v>
      </c>
      <c r="BS60" s="32">
        <v>0</v>
      </c>
      <c r="BT60" s="32">
        <v>0</v>
      </c>
      <c r="BU60" s="32">
        <v>0</v>
      </c>
      <c r="BV60" s="32">
        <v>0</v>
      </c>
      <c r="BW60" s="32">
        <v>0</v>
      </c>
      <c r="BX60" s="32">
        <v>-14.053953174654541</v>
      </c>
      <c r="BY60" s="32"/>
      <c r="BZ60" s="32">
        <v>0</v>
      </c>
      <c r="CA60" s="32">
        <v>-148.8813155294643</v>
      </c>
      <c r="CB60" s="32">
        <v>240.15333916931365</v>
      </c>
      <c r="CC60" s="32">
        <v>-162.93526870411884</v>
      </c>
      <c r="CD60" s="382">
        <v>9999</v>
      </c>
      <c r="CE60" s="32">
        <v>-46.172070277676333</v>
      </c>
      <c r="CF60" s="32">
        <v>3.4598295296095349</v>
      </c>
      <c r="CG60" s="32">
        <v>0</v>
      </c>
      <c r="CH60" s="32">
        <v>3.4598295296095349</v>
      </c>
      <c r="CI60" s="32">
        <v>0.17299101815429513</v>
      </c>
      <c r="CJ60" s="32">
        <v>0</v>
      </c>
      <c r="CK60" s="32">
        <v>0.17299101815429513</v>
      </c>
      <c r="CL60" s="32"/>
      <c r="CM60" s="32">
        <v>0</v>
      </c>
      <c r="CN60" s="32"/>
      <c r="CO60" s="32">
        <v>0</v>
      </c>
      <c r="CP60" s="32">
        <v>0</v>
      </c>
      <c r="CQ60" s="32">
        <v>0</v>
      </c>
      <c r="CR60" s="32">
        <v>0</v>
      </c>
      <c r="CS60" s="32">
        <v>0</v>
      </c>
      <c r="CT60" s="32">
        <v>0</v>
      </c>
      <c r="CU60" s="32">
        <v>0</v>
      </c>
      <c r="CV60" s="32">
        <v>9999</v>
      </c>
      <c r="CW60" s="382">
        <v>9999</v>
      </c>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row>
    <row r="61" spans="1:131">
      <c r="A61" s="11" t="s">
        <v>527</v>
      </c>
      <c r="B61" s="11" t="s">
        <v>527</v>
      </c>
      <c r="C61" s="32">
        <v>11.627906976744185</v>
      </c>
      <c r="D61" s="32">
        <v>339.69999999999993</v>
      </c>
      <c r="E61" s="32">
        <v>0</v>
      </c>
      <c r="F61" s="32">
        <v>-8.5918959509302795</v>
      </c>
      <c r="G61" s="32">
        <v>-56</v>
      </c>
      <c r="H61" s="32">
        <v>0</v>
      </c>
      <c r="I61" s="32" t="s">
        <v>525</v>
      </c>
      <c r="J61" s="32"/>
      <c r="K61" s="32"/>
      <c r="L61" s="32">
        <v>364.19161716693708</v>
      </c>
      <c r="M61" s="32">
        <v>8.5007695632657157E-2</v>
      </c>
      <c r="N61" s="32">
        <v>8.4394148206735825E-2</v>
      </c>
      <c r="O61" s="32">
        <v>0</v>
      </c>
      <c r="P61" s="32">
        <v>0</v>
      </c>
      <c r="Q61" s="32">
        <v>0</v>
      </c>
      <c r="R61" s="32">
        <v>-1.713338827476222</v>
      </c>
      <c r="S61" s="32">
        <v>-3.9592654329329573</v>
      </c>
      <c r="T61" s="32">
        <v>0</v>
      </c>
      <c r="U61" s="32">
        <v>-8.3813489142453612</v>
      </c>
      <c r="V61" s="32" t="s">
        <v>610</v>
      </c>
      <c r="W61" s="32" t="s">
        <v>610</v>
      </c>
      <c r="X61" s="32" t="s">
        <v>610</v>
      </c>
      <c r="Y61" s="32" t="s">
        <v>610</v>
      </c>
      <c r="Z61" s="32">
        <v>0</v>
      </c>
      <c r="AA61" s="32">
        <v>0</v>
      </c>
      <c r="AB61" s="32">
        <v>0</v>
      </c>
      <c r="AC61" s="32">
        <v>-761.05827531819057</v>
      </c>
      <c r="AD61" s="32">
        <v>0</v>
      </c>
      <c r="AE61" s="32">
        <v>0</v>
      </c>
      <c r="AF61" s="32">
        <v>0</v>
      </c>
      <c r="AG61" s="32">
        <v>0</v>
      </c>
      <c r="AH61" s="32">
        <v>-1.713338827476222</v>
      </c>
      <c r="AI61" s="32">
        <v>-3.9592654329329573</v>
      </c>
      <c r="AJ61" s="32">
        <v>0</v>
      </c>
      <c r="AK61" s="32">
        <v>-769.4396242324359</v>
      </c>
      <c r="AL61" s="32">
        <v>-775.11222849284513</v>
      </c>
      <c r="AM61" s="32">
        <v>174.56073421900641</v>
      </c>
      <c r="AN61" s="32">
        <v>30.03734046251887</v>
      </c>
      <c r="AO61" s="32">
        <v>0</v>
      </c>
      <c r="AP61" s="32">
        <v>0</v>
      </c>
      <c r="AQ61" s="32">
        <v>204.59807468152528</v>
      </c>
      <c r="AR61" s="32">
        <v>-1.713338827476222</v>
      </c>
      <c r="AS61" s="382">
        <v>9999</v>
      </c>
      <c r="AT61" s="32">
        <v>174.56073421900641</v>
      </c>
      <c r="AU61" s="32">
        <v>35.555264487788371</v>
      </c>
      <c r="AV61" s="32">
        <v>0</v>
      </c>
      <c r="AW61" s="32">
        <v>0</v>
      </c>
      <c r="AX61" s="32">
        <v>210.11599870679478</v>
      </c>
      <c r="AY61" s="32">
        <v>-3.9592654329329573</v>
      </c>
      <c r="AZ61" s="382">
        <v>9999</v>
      </c>
      <c r="BA61" s="32">
        <v>174.56073421900641</v>
      </c>
      <c r="BB61" s="32">
        <v>65.592604950307248</v>
      </c>
      <c r="BC61" s="32">
        <v>0</v>
      </c>
      <c r="BD61" s="32">
        <v>0</v>
      </c>
      <c r="BE61" s="32">
        <v>240.15333916931365</v>
      </c>
      <c r="BF61" s="32">
        <v>-5.6726042604091793</v>
      </c>
      <c r="BG61" s="32">
        <v>-14.398516012126633</v>
      </c>
      <c r="BH61" s="382">
        <v>9999</v>
      </c>
      <c r="BI61" s="32">
        <v>-0.34616521602668637</v>
      </c>
      <c r="BJ61" s="32">
        <v>-0.79993516280553101</v>
      </c>
      <c r="BK61" s="32">
        <v>0</v>
      </c>
      <c r="BL61" s="32">
        <v>-155.45858733281412</v>
      </c>
      <c r="BM61" s="32">
        <v>-156.60468771164633</v>
      </c>
      <c r="BN61" s="32">
        <v>174.56073421900641</v>
      </c>
      <c r="BO61" s="32">
        <v>0</v>
      </c>
      <c r="BP61" s="32">
        <v>65.592604950307248</v>
      </c>
      <c r="BQ61" s="32">
        <v>0</v>
      </c>
      <c r="BR61" s="32">
        <v>0</v>
      </c>
      <c r="BS61" s="32">
        <v>0</v>
      </c>
      <c r="BT61" s="32">
        <v>0</v>
      </c>
      <c r="BU61" s="32">
        <v>0</v>
      </c>
      <c r="BV61" s="32">
        <v>0</v>
      </c>
      <c r="BW61" s="32">
        <v>0</v>
      </c>
      <c r="BX61" s="32">
        <v>-14.053953174654541</v>
      </c>
      <c r="BY61" s="32"/>
      <c r="BZ61" s="32">
        <v>-761.05827531819057</v>
      </c>
      <c r="CA61" s="32">
        <v>0</v>
      </c>
      <c r="CB61" s="32">
        <v>240.15333916931365</v>
      </c>
      <c r="CC61" s="32">
        <v>-775.11222849284513</v>
      </c>
      <c r="CD61" s="382">
        <v>9999</v>
      </c>
      <c r="CE61" s="32">
        <v>-169.85710334494078</v>
      </c>
      <c r="CF61" s="32">
        <v>3.4598295296095349</v>
      </c>
      <c r="CG61" s="32">
        <v>0</v>
      </c>
      <c r="CH61" s="32">
        <v>3.4598295296095349</v>
      </c>
      <c r="CI61" s="32">
        <v>0.17299101815429513</v>
      </c>
      <c r="CJ61" s="32">
        <v>0</v>
      </c>
      <c r="CK61" s="32">
        <v>0.17299101815429513</v>
      </c>
      <c r="CL61" s="32"/>
      <c r="CM61" s="32">
        <v>0</v>
      </c>
      <c r="CN61" s="32"/>
      <c r="CO61" s="32">
        <v>0</v>
      </c>
      <c r="CP61" s="32">
        <v>0</v>
      </c>
      <c r="CQ61" s="32">
        <v>0</v>
      </c>
      <c r="CR61" s="32">
        <v>0</v>
      </c>
      <c r="CS61" s="32">
        <v>0</v>
      </c>
      <c r="CT61" s="32">
        <v>0</v>
      </c>
      <c r="CU61" s="32">
        <v>0</v>
      </c>
      <c r="CV61" s="32">
        <v>9999</v>
      </c>
      <c r="CW61" s="382">
        <v>9999</v>
      </c>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row>
    <row r="62" spans="1:131">
      <c r="A62" s="11" t="s">
        <v>528</v>
      </c>
      <c r="B62" s="11" t="s">
        <v>528</v>
      </c>
      <c r="C62" s="32">
        <v>11.627906976744185</v>
      </c>
      <c r="D62" s="32">
        <v>270.89999999999998</v>
      </c>
      <c r="E62" s="32">
        <v>0</v>
      </c>
      <c r="F62" s="32">
        <v>-8.5918959509302795</v>
      </c>
      <c r="G62" s="32">
        <v>0</v>
      </c>
      <c r="H62" s="32">
        <v>-148.8813155294643</v>
      </c>
      <c r="I62" s="32" t="s">
        <v>525</v>
      </c>
      <c r="J62" s="32"/>
      <c r="K62" s="32"/>
      <c r="L62" s="32">
        <v>290.43128963945617</v>
      </c>
      <c r="M62" s="32">
        <v>6.7790947150093692E-2</v>
      </c>
      <c r="N62" s="32">
        <v>6.7301662493979217E-2</v>
      </c>
      <c r="O62" s="32">
        <v>0</v>
      </c>
      <c r="P62" s="32">
        <v>0</v>
      </c>
      <c r="Q62" s="32">
        <v>0</v>
      </c>
      <c r="R62" s="32">
        <v>-1.713338827476222</v>
      </c>
      <c r="S62" s="32">
        <v>-3.9592654329329573</v>
      </c>
      <c r="T62" s="32">
        <v>0</v>
      </c>
      <c r="U62" s="32">
        <v>-8.3813489142453612</v>
      </c>
      <c r="V62" s="32" t="s">
        <v>610</v>
      </c>
      <c r="W62" s="32" t="s">
        <v>610</v>
      </c>
      <c r="X62" s="32" t="s">
        <v>610</v>
      </c>
      <c r="Y62" s="32" t="s">
        <v>610</v>
      </c>
      <c r="Z62" s="32">
        <v>0</v>
      </c>
      <c r="AA62" s="32">
        <v>0</v>
      </c>
      <c r="AB62" s="32">
        <v>0</v>
      </c>
      <c r="AC62" s="32">
        <v>0</v>
      </c>
      <c r="AD62" s="32">
        <v>0</v>
      </c>
      <c r="AE62" s="32">
        <v>0</v>
      </c>
      <c r="AF62" s="32">
        <v>0</v>
      </c>
      <c r="AG62" s="32">
        <v>-148.8813155294643</v>
      </c>
      <c r="AH62" s="32">
        <v>-1.713338827476222</v>
      </c>
      <c r="AI62" s="32">
        <v>-3.9592654329329573</v>
      </c>
      <c r="AJ62" s="32">
        <v>0</v>
      </c>
      <c r="AK62" s="32">
        <v>-157.26266444370967</v>
      </c>
      <c r="AL62" s="32">
        <v>-162.93526870411884</v>
      </c>
      <c r="AM62" s="32">
        <v>139.20666146578981</v>
      </c>
      <c r="AN62" s="32">
        <v>23.953828470109986</v>
      </c>
      <c r="AO62" s="32">
        <v>0</v>
      </c>
      <c r="AP62" s="32">
        <v>0</v>
      </c>
      <c r="AQ62" s="32">
        <v>163.16048993589979</v>
      </c>
      <c r="AR62" s="32">
        <v>-1.713338827476222</v>
      </c>
      <c r="AS62" s="382">
        <v>9999</v>
      </c>
      <c r="AT62" s="32">
        <v>139.20666146578981</v>
      </c>
      <c r="AU62" s="32">
        <v>28.354198262413522</v>
      </c>
      <c r="AV62" s="32">
        <v>0</v>
      </c>
      <c r="AW62" s="32">
        <v>0</v>
      </c>
      <c r="AX62" s="32">
        <v>167.56085972820333</v>
      </c>
      <c r="AY62" s="32">
        <v>-3.9592654329329573</v>
      </c>
      <c r="AZ62" s="382">
        <v>9999</v>
      </c>
      <c r="BA62" s="32">
        <v>139.20666146578981</v>
      </c>
      <c r="BB62" s="32">
        <v>52.308026732523508</v>
      </c>
      <c r="BC62" s="32">
        <v>0</v>
      </c>
      <c r="BD62" s="32">
        <v>0</v>
      </c>
      <c r="BE62" s="32">
        <v>191.51468819831331</v>
      </c>
      <c r="BF62" s="32">
        <v>-5.6726042604091793</v>
      </c>
      <c r="BG62" s="32">
        <v>-14.689589124211004</v>
      </c>
      <c r="BH62" s="382">
        <v>9999</v>
      </c>
      <c r="BI62" s="32">
        <v>-0.43408019152552735</v>
      </c>
      <c r="BJ62" s="32">
        <v>-1.0030932993910626</v>
      </c>
      <c r="BK62" s="32">
        <v>0</v>
      </c>
      <c r="BL62" s="32">
        <v>-39.843028364736931</v>
      </c>
      <c r="BM62" s="32">
        <v>-41.28020185565353</v>
      </c>
      <c r="BN62" s="32">
        <v>139.20666146578981</v>
      </c>
      <c r="BO62" s="32">
        <v>0</v>
      </c>
      <c r="BP62" s="32">
        <v>52.308026732523508</v>
      </c>
      <c r="BQ62" s="32">
        <v>0</v>
      </c>
      <c r="BR62" s="32">
        <v>0</v>
      </c>
      <c r="BS62" s="32">
        <v>0</v>
      </c>
      <c r="BT62" s="32">
        <v>0</v>
      </c>
      <c r="BU62" s="32">
        <v>0</v>
      </c>
      <c r="BV62" s="32">
        <v>0</v>
      </c>
      <c r="BW62" s="32">
        <v>0</v>
      </c>
      <c r="BX62" s="32">
        <v>-14.053953174654541</v>
      </c>
      <c r="BY62" s="32"/>
      <c r="BZ62" s="32">
        <v>0</v>
      </c>
      <c r="CA62" s="32">
        <v>-148.8813155294643</v>
      </c>
      <c r="CB62" s="32">
        <v>191.51468819831331</v>
      </c>
      <c r="CC62" s="32">
        <v>-162.93526870411884</v>
      </c>
      <c r="CD62" s="382">
        <v>9999</v>
      </c>
      <c r="CE62" s="32">
        <v>-54.532617488947949</v>
      </c>
      <c r="CF62" s="32">
        <v>2.7591045615873551</v>
      </c>
      <c r="CG62" s="32">
        <v>0</v>
      </c>
      <c r="CH62" s="32">
        <v>2.7591045615873551</v>
      </c>
      <c r="CI62" s="32">
        <v>0.13795486257874173</v>
      </c>
      <c r="CJ62" s="32">
        <v>0</v>
      </c>
      <c r="CK62" s="32">
        <v>0.13795486257874173</v>
      </c>
      <c r="CL62" s="32"/>
      <c r="CM62" s="32">
        <v>0</v>
      </c>
      <c r="CN62" s="32"/>
      <c r="CO62" s="32">
        <v>0</v>
      </c>
      <c r="CP62" s="32">
        <v>0</v>
      </c>
      <c r="CQ62" s="32">
        <v>0</v>
      </c>
      <c r="CR62" s="32">
        <v>0</v>
      </c>
      <c r="CS62" s="32">
        <v>0</v>
      </c>
      <c r="CT62" s="32">
        <v>0</v>
      </c>
      <c r="CU62" s="32">
        <v>0</v>
      </c>
      <c r="CV62" s="32">
        <v>9999</v>
      </c>
      <c r="CW62" s="382">
        <v>9999</v>
      </c>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row>
    <row r="63" spans="1:131">
      <c r="A63" s="11" t="s">
        <v>529</v>
      </c>
      <c r="B63" s="11" t="s">
        <v>529</v>
      </c>
      <c r="C63" s="32">
        <v>11.627906976744185</v>
      </c>
      <c r="D63" s="32">
        <v>270.89999999999998</v>
      </c>
      <c r="E63" s="32">
        <v>0</v>
      </c>
      <c r="F63" s="32">
        <v>-8.5918959509302795</v>
      </c>
      <c r="G63" s="32">
        <v>-56</v>
      </c>
      <c r="H63" s="32">
        <v>0</v>
      </c>
      <c r="I63" s="32" t="s">
        <v>525</v>
      </c>
      <c r="J63" s="32"/>
      <c r="K63" s="32"/>
      <c r="L63" s="32">
        <v>290.43128963945617</v>
      </c>
      <c r="M63" s="32">
        <v>6.7790947150093692E-2</v>
      </c>
      <c r="N63" s="32">
        <v>6.7301662493979217E-2</v>
      </c>
      <c r="O63" s="32">
        <v>0</v>
      </c>
      <c r="P63" s="32">
        <v>0</v>
      </c>
      <c r="Q63" s="32">
        <v>0</v>
      </c>
      <c r="R63" s="32">
        <v>-1.713338827476222</v>
      </c>
      <c r="S63" s="32">
        <v>-3.9592654329329573</v>
      </c>
      <c r="T63" s="32">
        <v>0</v>
      </c>
      <c r="U63" s="32">
        <v>-8.3813489142453612</v>
      </c>
      <c r="V63" s="32" t="s">
        <v>610</v>
      </c>
      <c r="W63" s="32" t="s">
        <v>610</v>
      </c>
      <c r="X63" s="32" t="s">
        <v>610</v>
      </c>
      <c r="Y63" s="32" t="s">
        <v>610</v>
      </c>
      <c r="Z63" s="32">
        <v>0</v>
      </c>
      <c r="AA63" s="32">
        <v>0</v>
      </c>
      <c r="AB63" s="32">
        <v>0</v>
      </c>
      <c r="AC63" s="32">
        <v>-761.05827531819057</v>
      </c>
      <c r="AD63" s="32">
        <v>0</v>
      </c>
      <c r="AE63" s="32">
        <v>0</v>
      </c>
      <c r="AF63" s="32">
        <v>0</v>
      </c>
      <c r="AG63" s="32">
        <v>0</v>
      </c>
      <c r="AH63" s="32">
        <v>-1.713338827476222</v>
      </c>
      <c r="AI63" s="32">
        <v>-3.9592654329329573</v>
      </c>
      <c r="AJ63" s="32">
        <v>0</v>
      </c>
      <c r="AK63" s="32">
        <v>-769.4396242324359</v>
      </c>
      <c r="AL63" s="32">
        <v>-775.11222849284513</v>
      </c>
      <c r="AM63" s="32">
        <v>139.20666146578981</v>
      </c>
      <c r="AN63" s="32">
        <v>23.953828470109986</v>
      </c>
      <c r="AO63" s="32">
        <v>0</v>
      </c>
      <c r="AP63" s="32">
        <v>0</v>
      </c>
      <c r="AQ63" s="32">
        <v>163.16048993589979</v>
      </c>
      <c r="AR63" s="32">
        <v>-1.713338827476222</v>
      </c>
      <c r="AS63" s="382">
        <v>9999</v>
      </c>
      <c r="AT63" s="32">
        <v>139.20666146578981</v>
      </c>
      <c r="AU63" s="32">
        <v>28.354198262413522</v>
      </c>
      <c r="AV63" s="32">
        <v>0</v>
      </c>
      <c r="AW63" s="32">
        <v>0</v>
      </c>
      <c r="AX63" s="32">
        <v>167.56085972820333</v>
      </c>
      <c r="AY63" s="32">
        <v>-3.9592654329329573</v>
      </c>
      <c r="AZ63" s="382">
        <v>9999</v>
      </c>
      <c r="BA63" s="32">
        <v>139.20666146578981</v>
      </c>
      <c r="BB63" s="32">
        <v>52.308026732523508</v>
      </c>
      <c r="BC63" s="32">
        <v>0</v>
      </c>
      <c r="BD63" s="32">
        <v>0</v>
      </c>
      <c r="BE63" s="32">
        <v>191.51468819831331</v>
      </c>
      <c r="BF63" s="32">
        <v>-5.6726042604091793</v>
      </c>
      <c r="BG63" s="32">
        <v>-14.689589124211004</v>
      </c>
      <c r="BH63" s="382">
        <v>9999</v>
      </c>
      <c r="BI63" s="32">
        <v>-0.43408019152552735</v>
      </c>
      <c r="BJ63" s="32">
        <v>-1.0030932993910626</v>
      </c>
      <c r="BK63" s="32">
        <v>0</v>
      </c>
      <c r="BL63" s="32">
        <v>-194.94013332210025</v>
      </c>
      <c r="BM63" s="32">
        <v>-196.37730681301682</v>
      </c>
      <c r="BN63" s="32">
        <v>139.20666146578981</v>
      </c>
      <c r="BO63" s="32">
        <v>0</v>
      </c>
      <c r="BP63" s="32">
        <v>52.308026732523508</v>
      </c>
      <c r="BQ63" s="32">
        <v>0</v>
      </c>
      <c r="BR63" s="32">
        <v>0</v>
      </c>
      <c r="BS63" s="32">
        <v>0</v>
      </c>
      <c r="BT63" s="32">
        <v>0</v>
      </c>
      <c r="BU63" s="32">
        <v>0</v>
      </c>
      <c r="BV63" s="32">
        <v>0</v>
      </c>
      <c r="BW63" s="32">
        <v>0</v>
      </c>
      <c r="BX63" s="32">
        <v>-14.053953174654541</v>
      </c>
      <c r="BY63" s="32"/>
      <c r="BZ63" s="32">
        <v>-761.05827531819057</v>
      </c>
      <c r="CA63" s="32">
        <v>0</v>
      </c>
      <c r="CB63" s="32">
        <v>191.51468819831331</v>
      </c>
      <c r="CC63" s="32">
        <v>-775.11222849284513</v>
      </c>
      <c r="CD63" s="382">
        <v>9999</v>
      </c>
      <c r="CE63" s="32">
        <v>-209.62972244631123</v>
      </c>
      <c r="CF63" s="32">
        <v>2.7591045615873551</v>
      </c>
      <c r="CG63" s="32">
        <v>0</v>
      </c>
      <c r="CH63" s="32">
        <v>2.7591045615873551</v>
      </c>
      <c r="CI63" s="32">
        <v>0.13795486257874173</v>
      </c>
      <c r="CJ63" s="32">
        <v>0</v>
      </c>
      <c r="CK63" s="32">
        <v>0.13795486257874173</v>
      </c>
      <c r="CL63" s="32"/>
      <c r="CM63" s="32">
        <v>0</v>
      </c>
      <c r="CN63" s="32"/>
      <c r="CO63" s="32">
        <v>0</v>
      </c>
      <c r="CP63" s="32">
        <v>0</v>
      </c>
      <c r="CQ63" s="32">
        <v>0</v>
      </c>
      <c r="CR63" s="32">
        <v>0</v>
      </c>
      <c r="CS63" s="32">
        <v>0</v>
      </c>
      <c r="CT63" s="32">
        <v>0</v>
      </c>
      <c r="CU63" s="32">
        <v>0</v>
      </c>
      <c r="CV63" s="32">
        <v>9999</v>
      </c>
      <c r="CW63" s="382">
        <v>9999</v>
      </c>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row>
    <row r="64" spans="1:131">
      <c r="A64" s="11" t="s">
        <v>835</v>
      </c>
      <c r="B64" s="11" t="s">
        <v>835</v>
      </c>
      <c r="C64" s="32">
        <v>11.627906976744185</v>
      </c>
      <c r="D64" s="32">
        <v>395.6</v>
      </c>
      <c r="E64" s="32">
        <v>0</v>
      </c>
      <c r="F64" s="32">
        <v>2.0115772129567233</v>
      </c>
      <c r="G64" s="32">
        <v>0</v>
      </c>
      <c r="H64" s="32">
        <v>-154.68188626437851</v>
      </c>
      <c r="I64" s="32" t="s">
        <v>525</v>
      </c>
      <c r="J64" s="32"/>
      <c r="K64" s="32"/>
      <c r="L64" s="32">
        <v>424.12188328301545</v>
      </c>
      <c r="M64" s="32">
        <v>9.8996303774740002E-2</v>
      </c>
      <c r="N64" s="32">
        <v>9.8281792848350619E-2</v>
      </c>
      <c r="O64" s="32">
        <v>0</v>
      </c>
      <c r="P64" s="32">
        <v>0</v>
      </c>
      <c r="Q64" s="32">
        <v>0</v>
      </c>
      <c r="R64" s="32">
        <v>0.40113536792213955</v>
      </c>
      <c r="S64" s="32">
        <v>0.92696282292301724</v>
      </c>
      <c r="T64" s="32">
        <v>0</v>
      </c>
      <c r="U64" s="32">
        <v>1.962282898445723</v>
      </c>
      <c r="V64" s="32" t="s">
        <v>610</v>
      </c>
      <c r="W64" s="32" t="s">
        <v>610</v>
      </c>
      <c r="X64" s="32" t="s">
        <v>610</v>
      </c>
      <c r="Y64" s="32" t="s">
        <v>610</v>
      </c>
      <c r="Z64" s="32">
        <v>0</v>
      </c>
      <c r="AA64" s="32">
        <v>0</v>
      </c>
      <c r="AB64" s="32">
        <v>0</v>
      </c>
      <c r="AC64" s="32">
        <v>0</v>
      </c>
      <c r="AD64" s="32">
        <v>0</v>
      </c>
      <c r="AE64" s="32">
        <v>0</v>
      </c>
      <c r="AF64" s="32">
        <v>0</v>
      </c>
      <c r="AG64" s="32">
        <v>-154.68188626437851</v>
      </c>
      <c r="AH64" s="32">
        <v>0.40113536792213955</v>
      </c>
      <c r="AI64" s="32">
        <v>0.92696282292301724</v>
      </c>
      <c r="AJ64" s="32">
        <v>0</v>
      </c>
      <c r="AK64" s="32">
        <v>-152.71960336593278</v>
      </c>
      <c r="AL64" s="32">
        <v>-151.39150517508762</v>
      </c>
      <c r="AM64" s="32">
        <v>203.28591833099458</v>
      </c>
      <c r="AN64" s="32">
        <v>34.980193956351101</v>
      </c>
      <c r="AO64" s="32">
        <v>0</v>
      </c>
      <c r="AP64" s="32">
        <v>0</v>
      </c>
      <c r="AQ64" s="32">
        <v>238.26611228734566</v>
      </c>
      <c r="AR64" s="32">
        <v>0.40113536792213955</v>
      </c>
      <c r="AS64" s="382">
        <v>593.97931805802068</v>
      </c>
      <c r="AT64" s="32">
        <v>203.28591833099458</v>
      </c>
      <c r="AU64" s="32">
        <v>41.406130795905469</v>
      </c>
      <c r="AV64" s="32">
        <v>0</v>
      </c>
      <c r="AW64" s="32">
        <v>0</v>
      </c>
      <c r="AX64" s="32">
        <v>244.69204912690003</v>
      </c>
      <c r="AY64" s="32">
        <v>0.92696282292301724</v>
      </c>
      <c r="AZ64" s="382">
        <v>263.97180455986995</v>
      </c>
      <c r="BA64" s="32">
        <v>203.28591833099458</v>
      </c>
      <c r="BB64" s="32">
        <v>76.38632475225657</v>
      </c>
      <c r="BC64" s="32">
        <v>0</v>
      </c>
      <c r="BD64" s="32">
        <v>0</v>
      </c>
      <c r="BE64" s="32">
        <v>279.67224308325115</v>
      </c>
      <c r="BF64" s="32">
        <v>1.3280981908451568</v>
      </c>
      <c r="BG64" s="32">
        <v>-13.022001232758853</v>
      </c>
      <c r="BH64" s="382">
        <v>210.58099846162517</v>
      </c>
      <c r="BI64" s="32">
        <v>6.9593773992400743E-2</v>
      </c>
      <c r="BJ64" s="32">
        <v>0.16082062654316689</v>
      </c>
      <c r="BK64" s="32">
        <v>0</v>
      </c>
      <c r="BL64" s="32">
        <v>-26.495628186345247</v>
      </c>
      <c r="BM64" s="32">
        <v>-26.265213785809678</v>
      </c>
      <c r="BN64" s="32">
        <v>203.28591833099458</v>
      </c>
      <c r="BO64" s="32">
        <v>0</v>
      </c>
      <c r="BP64" s="32">
        <v>76.38632475225657</v>
      </c>
      <c r="BQ64" s="32">
        <v>0</v>
      </c>
      <c r="BR64" s="32">
        <v>0</v>
      </c>
      <c r="BS64" s="32">
        <v>0</v>
      </c>
      <c r="BT64" s="32">
        <v>0</v>
      </c>
      <c r="BU64" s="32">
        <v>0</v>
      </c>
      <c r="BV64" s="32">
        <v>0</v>
      </c>
      <c r="BW64" s="32">
        <v>0</v>
      </c>
      <c r="BX64" s="32">
        <v>3.2903810892908796</v>
      </c>
      <c r="BY64" s="32"/>
      <c r="BZ64" s="32">
        <v>0</v>
      </c>
      <c r="CA64" s="32">
        <v>-154.68188626437851</v>
      </c>
      <c r="CB64" s="32">
        <v>279.67224308325115</v>
      </c>
      <c r="CC64" s="32">
        <v>-151.39150517508762</v>
      </c>
      <c r="CD64" s="382">
        <v>132.00724097318428</v>
      </c>
      <c r="CE64" s="32">
        <v>-39.517629419104097</v>
      </c>
      <c r="CF64" s="32">
        <v>4.0291685661275602</v>
      </c>
      <c r="CG64" s="32">
        <v>0</v>
      </c>
      <c r="CH64" s="32">
        <v>4.0291685661275602</v>
      </c>
      <c r="CI64" s="32">
        <v>0.20145789455943236</v>
      </c>
      <c r="CJ64" s="32">
        <v>0</v>
      </c>
      <c r="CK64" s="32">
        <v>0.20145789455943236</v>
      </c>
      <c r="CL64" s="32"/>
      <c r="CM64" s="32">
        <v>0</v>
      </c>
      <c r="CN64" s="32"/>
      <c r="CO64" s="32">
        <v>0</v>
      </c>
      <c r="CP64" s="32">
        <v>0</v>
      </c>
      <c r="CQ64" s="32">
        <v>0</v>
      </c>
      <c r="CR64" s="32">
        <v>0</v>
      </c>
      <c r="CS64" s="32">
        <v>0</v>
      </c>
      <c r="CT64" s="32">
        <v>0</v>
      </c>
      <c r="CU64" s="32">
        <v>0</v>
      </c>
      <c r="CV64" s="32">
        <v>9999</v>
      </c>
      <c r="CW64" s="382">
        <v>9999</v>
      </c>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row>
    <row r="65" spans="1:131">
      <c r="A65" s="11" t="s">
        <v>836</v>
      </c>
      <c r="B65" s="11" t="s">
        <v>836</v>
      </c>
      <c r="C65" s="32">
        <v>11.627906976744185</v>
      </c>
      <c r="D65" s="32">
        <v>395.6</v>
      </c>
      <c r="E65" s="32">
        <v>0</v>
      </c>
      <c r="F65" s="32">
        <v>2.0115772129567233</v>
      </c>
      <c r="G65" s="32">
        <v>-56</v>
      </c>
      <c r="H65" s="32">
        <v>0</v>
      </c>
      <c r="I65" s="32" t="s">
        <v>525</v>
      </c>
      <c r="J65" s="32"/>
      <c r="K65" s="32"/>
      <c r="L65" s="32">
        <v>424.12188328301545</v>
      </c>
      <c r="M65" s="32">
        <v>9.8996303774740002E-2</v>
      </c>
      <c r="N65" s="32">
        <v>9.8281792848350619E-2</v>
      </c>
      <c r="O65" s="32">
        <v>0</v>
      </c>
      <c r="P65" s="32">
        <v>0</v>
      </c>
      <c r="Q65" s="32">
        <v>0</v>
      </c>
      <c r="R65" s="32">
        <v>0.40113536792213955</v>
      </c>
      <c r="S65" s="32">
        <v>0.92696282292301724</v>
      </c>
      <c r="T65" s="32">
        <v>0</v>
      </c>
      <c r="U65" s="32">
        <v>1.962282898445723</v>
      </c>
      <c r="V65" s="32" t="s">
        <v>610</v>
      </c>
      <c r="W65" s="32" t="s">
        <v>610</v>
      </c>
      <c r="X65" s="32" t="s">
        <v>610</v>
      </c>
      <c r="Y65" s="32" t="s">
        <v>610</v>
      </c>
      <c r="Z65" s="32">
        <v>0</v>
      </c>
      <c r="AA65" s="32">
        <v>0</v>
      </c>
      <c r="AB65" s="32">
        <v>0</v>
      </c>
      <c r="AC65" s="32">
        <v>-761.05827531819057</v>
      </c>
      <c r="AD65" s="32">
        <v>0</v>
      </c>
      <c r="AE65" s="32">
        <v>0</v>
      </c>
      <c r="AF65" s="32">
        <v>0</v>
      </c>
      <c r="AG65" s="32">
        <v>0</v>
      </c>
      <c r="AH65" s="32">
        <v>0.40113536792213955</v>
      </c>
      <c r="AI65" s="32">
        <v>0.92696282292301724</v>
      </c>
      <c r="AJ65" s="32">
        <v>0</v>
      </c>
      <c r="AK65" s="32">
        <v>-759.09599241974479</v>
      </c>
      <c r="AL65" s="32">
        <v>-757.76789422889965</v>
      </c>
      <c r="AM65" s="32">
        <v>203.28591833099458</v>
      </c>
      <c r="AN65" s="32">
        <v>34.980193956351101</v>
      </c>
      <c r="AO65" s="32">
        <v>0</v>
      </c>
      <c r="AP65" s="32">
        <v>0</v>
      </c>
      <c r="AQ65" s="32">
        <v>238.26611228734566</v>
      </c>
      <c r="AR65" s="32">
        <v>0.40113536792213955</v>
      </c>
      <c r="AS65" s="382">
        <v>593.97931805802068</v>
      </c>
      <c r="AT65" s="32">
        <v>203.28591833099458</v>
      </c>
      <c r="AU65" s="32">
        <v>41.406130795905469</v>
      </c>
      <c r="AV65" s="32">
        <v>0</v>
      </c>
      <c r="AW65" s="32">
        <v>0</v>
      </c>
      <c r="AX65" s="32">
        <v>244.69204912690003</v>
      </c>
      <c r="AY65" s="32">
        <v>0.92696282292301724</v>
      </c>
      <c r="AZ65" s="382">
        <v>263.97180455986995</v>
      </c>
      <c r="BA65" s="32">
        <v>203.28591833099458</v>
      </c>
      <c r="BB65" s="32">
        <v>76.38632475225657</v>
      </c>
      <c r="BC65" s="32">
        <v>0</v>
      </c>
      <c r="BD65" s="32">
        <v>0</v>
      </c>
      <c r="BE65" s="32">
        <v>279.67224308325115</v>
      </c>
      <c r="BF65" s="32">
        <v>1.3280981908451568</v>
      </c>
      <c r="BG65" s="32">
        <v>-13.022001232758853</v>
      </c>
      <c r="BH65" s="382">
        <v>210.58099846162517</v>
      </c>
      <c r="BI65" s="32">
        <v>6.9593773992400743E-2</v>
      </c>
      <c r="BJ65" s="32">
        <v>0.16082062654316689</v>
      </c>
      <c r="BK65" s="32">
        <v>0</v>
      </c>
      <c r="BL65" s="32">
        <v>-131.6970757493786</v>
      </c>
      <c r="BM65" s="32">
        <v>-131.46666134884302</v>
      </c>
      <c r="BN65" s="32">
        <v>203.28591833099458</v>
      </c>
      <c r="BO65" s="32">
        <v>0</v>
      </c>
      <c r="BP65" s="32">
        <v>76.38632475225657</v>
      </c>
      <c r="BQ65" s="32">
        <v>0</v>
      </c>
      <c r="BR65" s="32">
        <v>0</v>
      </c>
      <c r="BS65" s="32">
        <v>0</v>
      </c>
      <c r="BT65" s="32">
        <v>0</v>
      </c>
      <c r="BU65" s="32">
        <v>0</v>
      </c>
      <c r="BV65" s="32">
        <v>0</v>
      </c>
      <c r="BW65" s="32">
        <v>0</v>
      </c>
      <c r="BX65" s="32">
        <v>3.2903810892908796</v>
      </c>
      <c r="BY65" s="32"/>
      <c r="BZ65" s="32">
        <v>-761.05827531819057</v>
      </c>
      <c r="CA65" s="32">
        <v>0</v>
      </c>
      <c r="CB65" s="32">
        <v>279.67224308325115</v>
      </c>
      <c r="CC65" s="32">
        <v>-757.76789422889965</v>
      </c>
      <c r="CD65" s="382">
        <v>316.29482730395</v>
      </c>
      <c r="CE65" s="32">
        <v>-144.71907698213749</v>
      </c>
      <c r="CF65" s="32">
        <v>4.0291685661275602</v>
      </c>
      <c r="CG65" s="32">
        <v>0</v>
      </c>
      <c r="CH65" s="32">
        <v>4.0291685661275602</v>
      </c>
      <c r="CI65" s="32">
        <v>0.20145789455943236</v>
      </c>
      <c r="CJ65" s="32">
        <v>0</v>
      </c>
      <c r="CK65" s="32">
        <v>0.20145789455943236</v>
      </c>
      <c r="CL65" s="32"/>
      <c r="CM65" s="32">
        <v>0</v>
      </c>
      <c r="CN65" s="32"/>
      <c r="CO65" s="32">
        <v>0</v>
      </c>
      <c r="CP65" s="32">
        <v>0</v>
      </c>
      <c r="CQ65" s="32">
        <v>0</v>
      </c>
      <c r="CR65" s="32">
        <v>0</v>
      </c>
      <c r="CS65" s="32">
        <v>0</v>
      </c>
      <c r="CT65" s="32">
        <v>0</v>
      </c>
      <c r="CU65" s="32">
        <v>0</v>
      </c>
      <c r="CV65" s="32">
        <v>9999</v>
      </c>
      <c r="CW65" s="382">
        <v>9999</v>
      </c>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row>
    <row r="66" spans="1:131">
      <c r="A66" s="11" t="s">
        <v>837</v>
      </c>
      <c r="B66" s="11" t="s">
        <v>837</v>
      </c>
      <c r="C66" s="32">
        <v>11.627906976744185</v>
      </c>
      <c r="D66" s="32">
        <v>666.5</v>
      </c>
      <c r="E66" s="32">
        <v>0</v>
      </c>
      <c r="F66" s="32">
        <v>2.0115772129567233</v>
      </c>
      <c r="G66" s="32">
        <v>0</v>
      </c>
      <c r="H66" s="32">
        <v>-154.68188626437851</v>
      </c>
      <c r="I66" s="32" t="s">
        <v>525</v>
      </c>
      <c r="J66" s="32"/>
      <c r="K66" s="32"/>
      <c r="L66" s="32">
        <v>714.55317292247162</v>
      </c>
      <c r="M66" s="32">
        <v>0.16678725092483371</v>
      </c>
      <c r="N66" s="32">
        <v>0.16558345534232982</v>
      </c>
      <c r="O66" s="32">
        <v>0</v>
      </c>
      <c r="P66" s="32">
        <v>0</v>
      </c>
      <c r="Q66" s="32">
        <v>0</v>
      </c>
      <c r="R66" s="32">
        <v>0.40113536792213955</v>
      </c>
      <c r="S66" s="32">
        <v>0.92696282292301724</v>
      </c>
      <c r="T66" s="32">
        <v>0</v>
      </c>
      <c r="U66" s="32">
        <v>1.962282898445723</v>
      </c>
      <c r="V66" s="32" t="s">
        <v>610</v>
      </c>
      <c r="W66" s="32" t="s">
        <v>610</v>
      </c>
      <c r="X66" s="32" t="s">
        <v>610</v>
      </c>
      <c r="Y66" s="32" t="s">
        <v>610</v>
      </c>
      <c r="Z66" s="32">
        <v>0</v>
      </c>
      <c r="AA66" s="32">
        <v>0</v>
      </c>
      <c r="AB66" s="32">
        <v>0</v>
      </c>
      <c r="AC66" s="32">
        <v>0</v>
      </c>
      <c r="AD66" s="32">
        <v>0</v>
      </c>
      <c r="AE66" s="32">
        <v>0</v>
      </c>
      <c r="AF66" s="32">
        <v>0</v>
      </c>
      <c r="AG66" s="32">
        <v>-154.68188626437851</v>
      </c>
      <c r="AH66" s="32">
        <v>0.40113536792213955</v>
      </c>
      <c r="AI66" s="32">
        <v>0.92696282292301724</v>
      </c>
      <c r="AJ66" s="32">
        <v>0</v>
      </c>
      <c r="AK66" s="32">
        <v>-152.71960336593278</v>
      </c>
      <c r="AL66" s="32">
        <v>-151.39150517508762</v>
      </c>
      <c r="AM66" s="32">
        <v>342.49257979678458</v>
      </c>
      <c r="AN66" s="32">
        <v>58.93402242646107</v>
      </c>
      <c r="AO66" s="32">
        <v>0</v>
      </c>
      <c r="AP66" s="32">
        <v>0</v>
      </c>
      <c r="AQ66" s="32">
        <v>401.42660222324565</v>
      </c>
      <c r="AR66" s="32">
        <v>0.40113536792213955</v>
      </c>
      <c r="AS66" s="382">
        <v>1000.7260249890571</v>
      </c>
      <c r="AT66" s="32">
        <v>342.49257979678458</v>
      </c>
      <c r="AU66" s="32">
        <v>69.760329058318973</v>
      </c>
      <c r="AV66" s="32">
        <v>0</v>
      </c>
      <c r="AW66" s="32">
        <v>0</v>
      </c>
      <c r="AX66" s="32">
        <v>412.25290885510356</v>
      </c>
      <c r="AY66" s="32">
        <v>0.92696282292301724</v>
      </c>
      <c r="AZ66" s="382">
        <v>444.73510550847681</v>
      </c>
      <c r="BA66" s="32">
        <v>342.49257979678458</v>
      </c>
      <c r="BB66" s="32">
        <v>128.69435148478004</v>
      </c>
      <c r="BC66" s="32">
        <v>0</v>
      </c>
      <c r="BD66" s="32">
        <v>0</v>
      </c>
      <c r="BE66" s="32">
        <v>471.18693128156463</v>
      </c>
      <c r="BF66" s="32">
        <v>1.3280981908451568</v>
      </c>
      <c r="BG66" s="32">
        <v>-13.11565353749266</v>
      </c>
      <c r="BH66" s="382">
        <v>354.78320392991213</v>
      </c>
      <c r="BI66" s="32">
        <v>4.1307272305166898E-2</v>
      </c>
      <c r="BJ66" s="32">
        <v>9.5454823496589389E-2</v>
      </c>
      <c r="BK66" s="32">
        <v>0</v>
      </c>
      <c r="BL66" s="32">
        <v>-15.72643737512105</v>
      </c>
      <c r="BM66" s="32">
        <v>-15.589675279319293</v>
      </c>
      <c r="BN66" s="32">
        <v>342.49257979678458</v>
      </c>
      <c r="BO66" s="32">
        <v>0</v>
      </c>
      <c r="BP66" s="32">
        <v>128.69435148478004</v>
      </c>
      <c r="BQ66" s="32">
        <v>0</v>
      </c>
      <c r="BR66" s="32">
        <v>0</v>
      </c>
      <c r="BS66" s="32">
        <v>0</v>
      </c>
      <c r="BT66" s="32">
        <v>0</v>
      </c>
      <c r="BU66" s="32">
        <v>0</v>
      </c>
      <c r="BV66" s="32">
        <v>0</v>
      </c>
      <c r="BW66" s="32">
        <v>0</v>
      </c>
      <c r="BX66" s="32">
        <v>3.2903810892908796</v>
      </c>
      <c r="BY66" s="32"/>
      <c r="BZ66" s="32">
        <v>0</v>
      </c>
      <c r="CA66" s="32">
        <v>-154.68188626437851</v>
      </c>
      <c r="CB66" s="32">
        <v>471.18693128156463</v>
      </c>
      <c r="CC66" s="32">
        <v>-151.39150517508762</v>
      </c>
      <c r="CD66" s="382">
        <v>190.21165043251148</v>
      </c>
      <c r="CE66" s="32">
        <v>-28.842090912613713</v>
      </c>
      <c r="CF66" s="32">
        <v>6.788273127714926</v>
      </c>
      <c r="CG66" s="32">
        <v>0</v>
      </c>
      <c r="CH66" s="32">
        <v>6.788273127714926</v>
      </c>
      <c r="CI66" s="32">
        <v>0.33941275713817404</v>
      </c>
      <c r="CJ66" s="32">
        <v>0</v>
      </c>
      <c r="CK66" s="32">
        <v>0.33941275713817404</v>
      </c>
      <c r="CL66" s="32"/>
      <c r="CM66" s="32">
        <v>0</v>
      </c>
      <c r="CN66" s="32"/>
      <c r="CO66" s="32">
        <v>0</v>
      </c>
      <c r="CP66" s="32">
        <v>0</v>
      </c>
      <c r="CQ66" s="32">
        <v>0</v>
      </c>
      <c r="CR66" s="32">
        <v>0</v>
      </c>
      <c r="CS66" s="32">
        <v>0</v>
      </c>
      <c r="CT66" s="32">
        <v>0</v>
      </c>
      <c r="CU66" s="32">
        <v>0</v>
      </c>
      <c r="CV66" s="32">
        <v>9999</v>
      </c>
      <c r="CW66" s="382">
        <v>9999</v>
      </c>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row>
    <row r="67" spans="1:131">
      <c r="A67" s="11" t="s">
        <v>838</v>
      </c>
      <c r="B67" s="11" t="s">
        <v>838</v>
      </c>
      <c r="C67" s="32">
        <v>11.627906976744185</v>
      </c>
      <c r="D67" s="32">
        <v>666.5</v>
      </c>
      <c r="E67" s="32">
        <v>0</v>
      </c>
      <c r="F67" s="32">
        <v>2.0115772129567233</v>
      </c>
      <c r="G67" s="32">
        <v>-56</v>
      </c>
      <c r="H67" s="32">
        <v>0</v>
      </c>
      <c r="I67" s="32" t="s">
        <v>525</v>
      </c>
      <c r="J67" s="32"/>
      <c r="K67" s="32"/>
      <c r="L67" s="32">
        <v>714.55317292247162</v>
      </c>
      <c r="M67" s="32">
        <v>0.16678725092483371</v>
      </c>
      <c r="N67" s="32">
        <v>0.16558345534232982</v>
      </c>
      <c r="O67" s="32">
        <v>0</v>
      </c>
      <c r="P67" s="32">
        <v>0</v>
      </c>
      <c r="Q67" s="32">
        <v>0</v>
      </c>
      <c r="R67" s="32">
        <v>0.40113536792213955</v>
      </c>
      <c r="S67" s="32">
        <v>0.92696282292301724</v>
      </c>
      <c r="T67" s="32">
        <v>0</v>
      </c>
      <c r="U67" s="32">
        <v>1.962282898445723</v>
      </c>
      <c r="V67" s="32" t="s">
        <v>610</v>
      </c>
      <c r="W67" s="32" t="s">
        <v>610</v>
      </c>
      <c r="X67" s="32" t="s">
        <v>610</v>
      </c>
      <c r="Y67" s="32" t="s">
        <v>610</v>
      </c>
      <c r="Z67" s="32">
        <v>0</v>
      </c>
      <c r="AA67" s="32">
        <v>0</v>
      </c>
      <c r="AB67" s="32">
        <v>0</v>
      </c>
      <c r="AC67" s="32">
        <v>-761.05827531819057</v>
      </c>
      <c r="AD67" s="32">
        <v>0</v>
      </c>
      <c r="AE67" s="32">
        <v>0</v>
      </c>
      <c r="AF67" s="32">
        <v>0</v>
      </c>
      <c r="AG67" s="32">
        <v>0</v>
      </c>
      <c r="AH67" s="32">
        <v>0.40113536792213955</v>
      </c>
      <c r="AI67" s="32">
        <v>0.92696282292301724</v>
      </c>
      <c r="AJ67" s="32">
        <v>0</v>
      </c>
      <c r="AK67" s="32">
        <v>-759.09599241974479</v>
      </c>
      <c r="AL67" s="32">
        <v>-757.76789422889965</v>
      </c>
      <c r="AM67" s="32">
        <v>342.49257979678458</v>
      </c>
      <c r="AN67" s="32">
        <v>58.93402242646107</v>
      </c>
      <c r="AO67" s="32">
        <v>0</v>
      </c>
      <c r="AP67" s="32">
        <v>0</v>
      </c>
      <c r="AQ67" s="32">
        <v>401.42660222324565</v>
      </c>
      <c r="AR67" s="32">
        <v>0.40113536792213955</v>
      </c>
      <c r="AS67" s="382">
        <v>1000.7260249890571</v>
      </c>
      <c r="AT67" s="32">
        <v>342.49257979678458</v>
      </c>
      <c r="AU67" s="32">
        <v>69.760329058318973</v>
      </c>
      <c r="AV67" s="32">
        <v>0</v>
      </c>
      <c r="AW67" s="32">
        <v>0</v>
      </c>
      <c r="AX67" s="32">
        <v>412.25290885510356</v>
      </c>
      <c r="AY67" s="32">
        <v>0.92696282292301724</v>
      </c>
      <c r="AZ67" s="382">
        <v>444.73510550847681</v>
      </c>
      <c r="BA67" s="32">
        <v>342.49257979678458</v>
      </c>
      <c r="BB67" s="32">
        <v>128.69435148478004</v>
      </c>
      <c r="BC67" s="32">
        <v>0</v>
      </c>
      <c r="BD67" s="32">
        <v>0</v>
      </c>
      <c r="BE67" s="32">
        <v>471.18693128156463</v>
      </c>
      <c r="BF67" s="32">
        <v>1.3280981908451568</v>
      </c>
      <c r="BG67" s="32">
        <v>-13.11565353749266</v>
      </c>
      <c r="BH67" s="382">
        <v>354.78320392991213</v>
      </c>
      <c r="BI67" s="32">
        <v>4.1307272305166898E-2</v>
      </c>
      <c r="BJ67" s="32">
        <v>9.5454823496589389E-2</v>
      </c>
      <c r="BK67" s="32">
        <v>0</v>
      </c>
      <c r="BL67" s="32">
        <v>-78.168586896405372</v>
      </c>
      <c r="BM67" s="32">
        <v>-78.031824800603616</v>
      </c>
      <c r="BN67" s="32">
        <v>342.49257979678458</v>
      </c>
      <c r="BO67" s="32">
        <v>0</v>
      </c>
      <c r="BP67" s="32">
        <v>128.69435148478004</v>
      </c>
      <c r="BQ67" s="32">
        <v>0</v>
      </c>
      <c r="BR67" s="32">
        <v>0</v>
      </c>
      <c r="BS67" s="32">
        <v>0</v>
      </c>
      <c r="BT67" s="32">
        <v>0</v>
      </c>
      <c r="BU67" s="32">
        <v>0</v>
      </c>
      <c r="BV67" s="32">
        <v>0</v>
      </c>
      <c r="BW67" s="32">
        <v>0</v>
      </c>
      <c r="BX67" s="32">
        <v>3.2903810892908796</v>
      </c>
      <c r="BY67" s="32"/>
      <c r="BZ67" s="32">
        <v>-761.05827531819057</v>
      </c>
      <c r="CA67" s="32">
        <v>0</v>
      </c>
      <c r="CB67" s="32">
        <v>471.18693128156463</v>
      </c>
      <c r="CC67" s="32">
        <v>-757.76789422889965</v>
      </c>
      <c r="CD67" s="382">
        <v>374.49923676327722</v>
      </c>
      <c r="CE67" s="32">
        <v>-91.284240433898006</v>
      </c>
      <c r="CF67" s="32">
        <v>6.788273127714926</v>
      </c>
      <c r="CG67" s="32">
        <v>0</v>
      </c>
      <c r="CH67" s="32">
        <v>6.788273127714926</v>
      </c>
      <c r="CI67" s="32">
        <v>0.33941275713817404</v>
      </c>
      <c r="CJ67" s="32">
        <v>0</v>
      </c>
      <c r="CK67" s="32">
        <v>0.33941275713817404</v>
      </c>
      <c r="CL67" s="32"/>
      <c r="CM67" s="32">
        <v>0</v>
      </c>
      <c r="CN67" s="32"/>
      <c r="CO67" s="32">
        <v>0</v>
      </c>
      <c r="CP67" s="32">
        <v>0</v>
      </c>
      <c r="CQ67" s="32">
        <v>0</v>
      </c>
      <c r="CR67" s="32">
        <v>0</v>
      </c>
      <c r="CS67" s="32">
        <v>0</v>
      </c>
      <c r="CT67" s="32">
        <v>0</v>
      </c>
      <c r="CU67" s="32">
        <v>0</v>
      </c>
      <c r="CV67" s="32">
        <v>9999</v>
      </c>
      <c r="CW67" s="382">
        <v>9999</v>
      </c>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row>
    <row r="68" spans="1:131">
      <c r="A68" s="11" t="s">
        <v>950</v>
      </c>
      <c r="B68" s="11" t="s">
        <v>950</v>
      </c>
      <c r="C68" s="32">
        <v>11.627906976744185</v>
      </c>
      <c r="D68" s="32">
        <v>1152.4000000000001</v>
      </c>
      <c r="E68" s="32">
        <v>0</v>
      </c>
      <c r="F68" s="32">
        <v>134.02315442591345</v>
      </c>
      <c r="G68" s="32">
        <v>0</v>
      </c>
      <c r="H68" s="32">
        <v>-169.14462831976607</v>
      </c>
      <c r="I68" s="32" t="s">
        <v>525</v>
      </c>
      <c r="J68" s="32"/>
      <c r="K68" s="32"/>
      <c r="L68" s="32">
        <v>1235.4854860853059</v>
      </c>
      <c r="M68" s="32">
        <v>0.28838053708293826</v>
      </c>
      <c r="N68" s="32">
        <v>0.28629913568867355</v>
      </c>
      <c r="O68" s="32">
        <v>0</v>
      </c>
      <c r="P68" s="32">
        <v>0</v>
      </c>
      <c r="Q68" s="32">
        <v>0</v>
      </c>
      <c r="R68" s="32">
        <v>26.726007341126671</v>
      </c>
      <c r="S68" s="32">
        <v>61.759737962574029</v>
      </c>
      <c r="T68" s="32">
        <v>0</v>
      </c>
      <c r="U68" s="32">
        <v>130.73887605793738</v>
      </c>
      <c r="V68" s="32" t="s">
        <v>610</v>
      </c>
      <c r="W68" s="32" t="s">
        <v>610</v>
      </c>
      <c r="X68" s="32" t="s">
        <v>610</v>
      </c>
      <c r="Y68" s="32" t="s">
        <v>610</v>
      </c>
      <c r="Z68" s="32">
        <v>0</v>
      </c>
      <c r="AA68" s="32">
        <v>0</v>
      </c>
      <c r="AB68" s="32">
        <v>0</v>
      </c>
      <c r="AC68" s="32">
        <v>0</v>
      </c>
      <c r="AD68" s="32">
        <v>0</v>
      </c>
      <c r="AE68" s="32">
        <v>0</v>
      </c>
      <c r="AF68" s="32">
        <v>0</v>
      </c>
      <c r="AG68" s="32">
        <v>-169.14462831976607</v>
      </c>
      <c r="AH68" s="32">
        <v>26.726007341126671</v>
      </c>
      <c r="AI68" s="32">
        <v>61.759737962574029</v>
      </c>
      <c r="AJ68" s="32">
        <v>0</v>
      </c>
      <c r="AK68" s="32">
        <v>-38.405752261828695</v>
      </c>
      <c r="AL68" s="32">
        <v>50.079993041872001</v>
      </c>
      <c r="AM68" s="32">
        <v>592.18071861637611</v>
      </c>
      <c r="AN68" s="32">
        <v>101.89882587284885</v>
      </c>
      <c r="AO68" s="32">
        <v>0</v>
      </c>
      <c r="AP68" s="32">
        <v>0</v>
      </c>
      <c r="AQ68" s="32">
        <v>694.07954448922499</v>
      </c>
      <c r="AR68" s="32">
        <v>26.726007341126671</v>
      </c>
      <c r="AS68" s="382">
        <v>25.97019209154962</v>
      </c>
      <c r="AT68" s="32">
        <v>592.18071861637611</v>
      </c>
      <c r="AU68" s="32">
        <v>120.61785927502898</v>
      </c>
      <c r="AV68" s="32">
        <v>0</v>
      </c>
      <c r="AW68" s="32">
        <v>0</v>
      </c>
      <c r="AX68" s="32">
        <v>712.7985778914051</v>
      </c>
      <c r="AY68" s="32">
        <v>61.759737962574029</v>
      </c>
      <c r="AZ68" s="382">
        <v>11.541476719401823</v>
      </c>
      <c r="BA68" s="32">
        <v>592.18071861637611</v>
      </c>
      <c r="BB68" s="32">
        <v>222.51668514787781</v>
      </c>
      <c r="BC68" s="32">
        <v>0</v>
      </c>
      <c r="BD68" s="32">
        <v>0</v>
      </c>
      <c r="BE68" s="32">
        <v>814.69740376425398</v>
      </c>
      <c r="BF68" s="32">
        <v>88.485745303700696</v>
      </c>
      <c r="BG68" s="32">
        <v>-7.9824743090869168</v>
      </c>
      <c r="BH68" s="382">
        <v>9.2071033697919393</v>
      </c>
      <c r="BI68" s="32">
        <v>1.5917195479867428</v>
      </c>
      <c r="BJ68" s="32">
        <v>3.6782217762207599</v>
      </c>
      <c r="BK68" s="32">
        <v>0</v>
      </c>
      <c r="BL68" s="32">
        <v>-2.287329560679217</v>
      </c>
      <c r="BM68" s="32">
        <v>2.9826117635282858</v>
      </c>
      <c r="BN68" s="32">
        <v>592.18071861637611</v>
      </c>
      <c r="BO68" s="32">
        <v>0</v>
      </c>
      <c r="BP68" s="32">
        <v>222.51668514787781</v>
      </c>
      <c r="BQ68" s="32">
        <v>0</v>
      </c>
      <c r="BR68" s="32">
        <v>0</v>
      </c>
      <c r="BS68" s="32">
        <v>0</v>
      </c>
      <c r="BT68" s="32">
        <v>0</v>
      </c>
      <c r="BU68" s="32">
        <v>0</v>
      </c>
      <c r="BV68" s="32">
        <v>0</v>
      </c>
      <c r="BW68" s="32">
        <v>0</v>
      </c>
      <c r="BX68" s="32">
        <v>219.22462136163807</v>
      </c>
      <c r="BY68" s="32"/>
      <c r="BZ68" s="32">
        <v>0</v>
      </c>
      <c r="CA68" s="32">
        <v>-169.14462831976607</v>
      </c>
      <c r="CB68" s="32">
        <v>814.69740376425398</v>
      </c>
      <c r="CC68" s="32">
        <v>50.079993041872001</v>
      </c>
      <c r="CD68" s="382">
        <v>4.4878263489439503</v>
      </c>
      <c r="CE68" s="32">
        <v>-10.269803869766129</v>
      </c>
      <c r="CF68" s="32">
        <v>11.737143214371596</v>
      </c>
      <c r="CG68" s="32">
        <v>0</v>
      </c>
      <c r="CH68" s="32">
        <v>11.737143214371596</v>
      </c>
      <c r="CI68" s="32">
        <v>0.58685560589052044</v>
      </c>
      <c r="CJ68" s="32">
        <v>0</v>
      </c>
      <c r="CK68" s="32">
        <v>0.58685560589052044</v>
      </c>
      <c r="CL68" s="32"/>
      <c r="CM68" s="32">
        <v>0</v>
      </c>
      <c r="CN68" s="32"/>
      <c r="CO68" s="32">
        <v>0</v>
      </c>
      <c r="CP68" s="32">
        <v>0</v>
      </c>
      <c r="CQ68" s="32">
        <v>0</v>
      </c>
      <c r="CR68" s="32">
        <v>0</v>
      </c>
      <c r="CS68" s="32">
        <v>0</v>
      </c>
      <c r="CT68" s="32">
        <v>0</v>
      </c>
      <c r="CU68" s="32">
        <v>0</v>
      </c>
      <c r="CV68" s="32">
        <v>9999</v>
      </c>
      <c r="CW68" s="382">
        <v>9999</v>
      </c>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row>
    <row r="69" spans="1:131">
      <c r="A69" s="11" t="s">
        <v>951</v>
      </c>
      <c r="B69" s="11" t="s">
        <v>951</v>
      </c>
      <c r="C69" s="32">
        <v>11.627906976744185</v>
      </c>
      <c r="D69" s="32">
        <v>1152.4000000000001</v>
      </c>
      <c r="E69" s="32">
        <v>0</v>
      </c>
      <c r="F69" s="32">
        <v>134.02315442591345</v>
      </c>
      <c r="G69" s="32">
        <v>-56</v>
      </c>
      <c r="H69" s="32">
        <v>0</v>
      </c>
      <c r="I69" s="32" t="s">
        <v>525</v>
      </c>
      <c r="J69" s="32"/>
      <c r="K69" s="32"/>
      <c r="L69" s="32">
        <v>1235.4854860853059</v>
      </c>
      <c r="M69" s="32">
        <v>0.28838053708293826</v>
      </c>
      <c r="N69" s="32">
        <v>0.28629913568867355</v>
      </c>
      <c r="O69" s="32">
        <v>0</v>
      </c>
      <c r="P69" s="32">
        <v>0</v>
      </c>
      <c r="Q69" s="32">
        <v>0</v>
      </c>
      <c r="R69" s="32">
        <v>26.726007341126671</v>
      </c>
      <c r="S69" s="32">
        <v>61.759737962574029</v>
      </c>
      <c r="T69" s="32">
        <v>0</v>
      </c>
      <c r="U69" s="32">
        <v>130.73887605793738</v>
      </c>
      <c r="V69" s="32" t="s">
        <v>610</v>
      </c>
      <c r="W69" s="32" t="s">
        <v>610</v>
      </c>
      <c r="X69" s="32" t="s">
        <v>610</v>
      </c>
      <c r="Y69" s="32" t="s">
        <v>610</v>
      </c>
      <c r="Z69" s="32">
        <v>0</v>
      </c>
      <c r="AA69" s="32">
        <v>0</v>
      </c>
      <c r="AB69" s="32">
        <v>0</v>
      </c>
      <c r="AC69" s="32">
        <v>-761.05827531819057</v>
      </c>
      <c r="AD69" s="32">
        <v>0</v>
      </c>
      <c r="AE69" s="32">
        <v>0</v>
      </c>
      <c r="AF69" s="32">
        <v>0</v>
      </c>
      <c r="AG69" s="32">
        <v>0</v>
      </c>
      <c r="AH69" s="32">
        <v>26.726007341126671</v>
      </c>
      <c r="AI69" s="32">
        <v>61.759737962574029</v>
      </c>
      <c r="AJ69" s="32">
        <v>0</v>
      </c>
      <c r="AK69" s="32">
        <v>-630.31939926025325</v>
      </c>
      <c r="AL69" s="32">
        <v>-541.83365395655255</v>
      </c>
      <c r="AM69" s="32">
        <v>592.18071861637611</v>
      </c>
      <c r="AN69" s="32">
        <v>101.89882587284885</v>
      </c>
      <c r="AO69" s="32">
        <v>0</v>
      </c>
      <c r="AP69" s="32">
        <v>0</v>
      </c>
      <c r="AQ69" s="32">
        <v>694.07954448922499</v>
      </c>
      <c r="AR69" s="32">
        <v>26.726007341126671</v>
      </c>
      <c r="AS69" s="382">
        <v>25.97019209154962</v>
      </c>
      <c r="AT69" s="32">
        <v>592.18071861637611</v>
      </c>
      <c r="AU69" s="32">
        <v>120.61785927502898</v>
      </c>
      <c r="AV69" s="32">
        <v>0</v>
      </c>
      <c r="AW69" s="32">
        <v>0</v>
      </c>
      <c r="AX69" s="32">
        <v>712.7985778914051</v>
      </c>
      <c r="AY69" s="32">
        <v>61.759737962574029</v>
      </c>
      <c r="AZ69" s="382">
        <v>11.541476719401823</v>
      </c>
      <c r="BA69" s="32">
        <v>592.18071861637611</v>
      </c>
      <c r="BB69" s="32">
        <v>222.51668514787781</v>
      </c>
      <c r="BC69" s="32">
        <v>0</v>
      </c>
      <c r="BD69" s="32">
        <v>0</v>
      </c>
      <c r="BE69" s="32">
        <v>814.69740376425398</v>
      </c>
      <c r="BF69" s="32">
        <v>88.485745303700696</v>
      </c>
      <c r="BG69" s="32">
        <v>-7.9824743090869168</v>
      </c>
      <c r="BH69" s="382">
        <v>9.2071033697919393</v>
      </c>
      <c r="BI69" s="32">
        <v>1.5917195479867428</v>
      </c>
      <c r="BJ69" s="32">
        <v>3.6782217762207599</v>
      </c>
      <c r="BK69" s="32">
        <v>0</v>
      </c>
      <c r="BL69" s="32">
        <v>-37.539902480454472</v>
      </c>
      <c r="BM69" s="32">
        <v>-32.269961156246964</v>
      </c>
      <c r="BN69" s="32">
        <v>592.18071861637611</v>
      </c>
      <c r="BO69" s="32">
        <v>0</v>
      </c>
      <c r="BP69" s="32">
        <v>222.51668514787781</v>
      </c>
      <c r="BQ69" s="32">
        <v>0</v>
      </c>
      <c r="BR69" s="32">
        <v>0</v>
      </c>
      <c r="BS69" s="32">
        <v>0</v>
      </c>
      <c r="BT69" s="32">
        <v>0</v>
      </c>
      <c r="BU69" s="32">
        <v>0</v>
      </c>
      <c r="BV69" s="32">
        <v>0</v>
      </c>
      <c r="BW69" s="32">
        <v>0</v>
      </c>
      <c r="BX69" s="32">
        <v>219.22462136163807</v>
      </c>
      <c r="BY69" s="32"/>
      <c r="BZ69" s="32">
        <v>-761.05827531819057</v>
      </c>
      <c r="CA69" s="32">
        <v>0</v>
      </c>
      <c r="CB69" s="32">
        <v>814.69740376425398</v>
      </c>
      <c r="CC69" s="32">
        <v>-541.83365395655255</v>
      </c>
      <c r="CD69" s="382">
        <v>7.1878590520315733</v>
      </c>
      <c r="CE69" s="32">
        <v>-45.52237678954139</v>
      </c>
      <c r="CF69" s="32">
        <v>11.737143214371596</v>
      </c>
      <c r="CG69" s="32">
        <v>0</v>
      </c>
      <c r="CH69" s="32">
        <v>11.737143214371596</v>
      </c>
      <c r="CI69" s="32">
        <v>0.58685560589052044</v>
      </c>
      <c r="CJ69" s="32">
        <v>0</v>
      </c>
      <c r="CK69" s="32">
        <v>0.58685560589052044</v>
      </c>
      <c r="CL69" s="32"/>
      <c r="CM69" s="32">
        <v>0</v>
      </c>
      <c r="CN69" s="32"/>
      <c r="CO69" s="32">
        <v>0</v>
      </c>
      <c r="CP69" s="32">
        <v>0</v>
      </c>
      <c r="CQ69" s="32">
        <v>0</v>
      </c>
      <c r="CR69" s="32">
        <v>0</v>
      </c>
      <c r="CS69" s="32">
        <v>0</v>
      </c>
      <c r="CT69" s="32">
        <v>0</v>
      </c>
      <c r="CU69" s="32">
        <v>0</v>
      </c>
      <c r="CV69" s="32">
        <v>9999</v>
      </c>
      <c r="CW69" s="382">
        <v>9999</v>
      </c>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row>
    <row r="70" spans="1:131">
      <c r="A70" s="11" t="s">
        <v>867</v>
      </c>
      <c r="B70" s="11" t="s">
        <v>867</v>
      </c>
      <c r="C70" s="32">
        <v>11.627906976744185</v>
      </c>
      <c r="D70" s="32">
        <v>2919.7</v>
      </c>
      <c r="E70" s="32">
        <v>0</v>
      </c>
      <c r="F70" s="32">
        <v>532.0694632777404</v>
      </c>
      <c r="G70" s="32">
        <v>0</v>
      </c>
      <c r="H70" s="32">
        <v>-173.22040249614597</v>
      </c>
      <c r="I70" s="32" t="s">
        <v>525</v>
      </c>
      <c r="J70" s="32"/>
      <c r="K70" s="32"/>
      <c r="L70" s="32">
        <v>3130.2038994474719</v>
      </c>
      <c r="M70" s="32">
        <v>0.73063576372878758</v>
      </c>
      <c r="N70" s="32">
        <v>0.72536236243510932</v>
      </c>
      <c r="O70" s="32">
        <v>0</v>
      </c>
      <c r="P70" s="32">
        <v>0</v>
      </c>
      <c r="Q70" s="32">
        <v>0</v>
      </c>
      <c r="R70" s="32">
        <v>106.10175862866241</v>
      </c>
      <c r="S70" s="32">
        <v>245.18502620445005</v>
      </c>
      <c r="T70" s="32">
        <v>0</v>
      </c>
      <c r="U70" s="32">
        <v>519.03093843485806</v>
      </c>
      <c r="V70" s="32" t="s">
        <v>610</v>
      </c>
      <c r="W70" s="32" t="s">
        <v>610</v>
      </c>
      <c r="X70" s="32" t="s">
        <v>610</v>
      </c>
      <c r="Y70" s="32" t="s">
        <v>610</v>
      </c>
      <c r="Z70" s="32">
        <v>0</v>
      </c>
      <c r="AA70" s="32">
        <v>0</v>
      </c>
      <c r="AB70" s="32">
        <v>0</v>
      </c>
      <c r="AC70" s="32">
        <v>0</v>
      </c>
      <c r="AD70" s="32">
        <v>0</v>
      </c>
      <c r="AE70" s="32">
        <v>0</v>
      </c>
      <c r="AF70" s="32">
        <v>0</v>
      </c>
      <c r="AG70" s="32">
        <v>-173.22040249614597</v>
      </c>
      <c r="AH70" s="32">
        <v>106.10175862866241</v>
      </c>
      <c r="AI70" s="32">
        <v>245.18502620445005</v>
      </c>
      <c r="AJ70" s="32">
        <v>0</v>
      </c>
      <c r="AK70" s="32">
        <v>345.81053593871206</v>
      </c>
      <c r="AL70" s="32">
        <v>697.09732077182457</v>
      </c>
      <c r="AM70" s="32">
        <v>1500.3384624646255</v>
      </c>
      <c r="AN70" s="32">
        <v>258.16904017785203</v>
      </c>
      <c r="AO70" s="32">
        <v>0</v>
      </c>
      <c r="AP70" s="32">
        <v>0</v>
      </c>
      <c r="AQ70" s="32">
        <v>1758.5075026424774</v>
      </c>
      <c r="AR70" s="32">
        <v>106.10175862866241</v>
      </c>
      <c r="AS70" s="382">
        <v>16.573782804080995</v>
      </c>
      <c r="AT70" s="32">
        <v>1500.3384624646255</v>
      </c>
      <c r="AU70" s="32">
        <v>305.59524793934582</v>
      </c>
      <c r="AV70" s="32">
        <v>0</v>
      </c>
      <c r="AW70" s="32">
        <v>0</v>
      </c>
      <c r="AX70" s="32">
        <v>1805.9337104039714</v>
      </c>
      <c r="AY70" s="32">
        <v>245.18502620445005</v>
      </c>
      <c r="AZ70" s="382">
        <v>7.3655954377004864</v>
      </c>
      <c r="BA70" s="32">
        <v>1500.3384624646255</v>
      </c>
      <c r="BB70" s="32">
        <v>563.76428811719779</v>
      </c>
      <c r="BC70" s="32">
        <v>0</v>
      </c>
      <c r="BD70" s="32">
        <v>0</v>
      </c>
      <c r="BE70" s="32">
        <v>2064.1027505818233</v>
      </c>
      <c r="BF70" s="32">
        <v>351.28678483311245</v>
      </c>
      <c r="BG70" s="32">
        <v>-4.9947118779897046</v>
      </c>
      <c r="BH70" s="382">
        <v>5.8758337623273444</v>
      </c>
      <c r="BI70" s="32">
        <v>2.4941356421608059</v>
      </c>
      <c r="BJ70" s="32">
        <v>5.7635681131439069</v>
      </c>
      <c r="BK70" s="32">
        <v>0</v>
      </c>
      <c r="BL70" s="32">
        <v>8.1289734898557668</v>
      </c>
      <c r="BM70" s="32">
        <v>16.386677245160481</v>
      </c>
      <c r="BN70" s="32">
        <v>1500.3384624646255</v>
      </c>
      <c r="BO70" s="32">
        <v>0</v>
      </c>
      <c r="BP70" s="32">
        <v>563.76428811719779</v>
      </c>
      <c r="BQ70" s="32">
        <v>0</v>
      </c>
      <c r="BR70" s="32">
        <v>0</v>
      </c>
      <c r="BS70" s="32">
        <v>0</v>
      </c>
      <c r="BT70" s="32">
        <v>0</v>
      </c>
      <c r="BU70" s="32">
        <v>0</v>
      </c>
      <c r="BV70" s="32">
        <v>0</v>
      </c>
      <c r="BW70" s="32">
        <v>0</v>
      </c>
      <c r="BX70" s="32">
        <v>870.31772326797045</v>
      </c>
      <c r="BY70" s="32"/>
      <c r="BZ70" s="32">
        <v>0</v>
      </c>
      <c r="CA70" s="32">
        <v>-173.22040249614597</v>
      </c>
      <c r="CB70" s="32">
        <v>2064.1027505818233</v>
      </c>
      <c r="CC70" s="32">
        <v>697.09732077182446</v>
      </c>
      <c r="CD70" s="382">
        <v>2.570696991757226</v>
      </c>
      <c r="CE70" s="32">
        <v>3.1342616118660565</v>
      </c>
      <c r="CF70" s="32">
        <v>29.73701583044155</v>
      </c>
      <c r="CG70" s="32">
        <v>0</v>
      </c>
      <c r="CH70" s="32">
        <v>29.73701583044155</v>
      </c>
      <c r="CI70" s="32">
        <v>1.4868468522375493</v>
      </c>
      <c r="CJ70" s="32">
        <v>0</v>
      </c>
      <c r="CK70" s="32">
        <v>1.4868468522375493</v>
      </c>
      <c r="CL70" s="32"/>
      <c r="CM70" s="32">
        <v>0</v>
      </c>
      <c r="CN70" s="32"/>
      <c r="CO70" s="32">
        <v>0</v>
      </c>
      <c r="CP70" s="32">
        <v>0</v>
      </c>
      <c r="CQ70" s="32">
        <v>0</v>
      </c>
      <c r="CR70" s="32">
        <v>0</v>
      </c>
      <c r="CS70" s="32">
        <v>0</v>
      </c>
      <c r="CT70" s="32">
        <v>0</v>
      </c>
      <c r="CU70" s="32">
        <v>0</v>
      </c>
      <c r="CV70" s="32">
        <v>9999</v>
      </c>
      <c r="CW70" s="382">
        <v>9999</v>
      </c>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row>
    <row r="71" spans="1:131">
      <c r="A71" s="11" t="s">
        <v>868</v>
      </c>
      <c r="B71" s="11" t="s">
        <v>868</v>
      </c>
      <c r="C71" s="32">
        <v>11.627906976744185</v>
      </c>
      <c r="D71" s="32">
        <v>2919.7</v>
      </c>
      <c r="E71" s="32">
        <v>0</v>
      </c>
      <c r="F71" s="32">
        <v>532.0694632777404</v>
      </c>
      <c r="G71" s="32">
        <v>-56</v>
      </c>
      <c r="H71" s="32">
        <v>0</v>
      </c>
      <c r="I71" s="32" t="s">
        <v>525</v>
      </c>
      <c r="J71" s="32"/>
      <c r="K71" s="32"/>
      <c r="L71" s="32">
        <v>3130.2038994474719</v>
      </c>
      <c r="M71" s="32">
        <v>0.73063576372878758</v>
      </c>
      <c r="N71" s="32">
        <v>0.72536236243510932</v>
      </c>
      <c r="O71" s="32">
        <v>0</v>
      </c>
      <c r="P71" s="32">
        <v>0</v>
      </c>
      <c r="Q71" s="32">
        <v>0</v>
      </c>
      <c r="R71" s="32">
        <v>106.10175862866241</v>
      </c>
      <c r="S71" s="32">
        <v>245.18502620445005</v>
      </c>
      <c r="T71" s="32">
        <v>0</v>
      </c>
      <c r="U71" s="32">
        <v>519.03093843485806</v>
      </c>
      <c r="V71" s="32" t="s">
        <v>610</v>
      </c>
      <c r="W71" s="32" t="s">
        <v>610</v>
      </c>
      <c r="X71" s="32" t="s">
        <v>610</v>
      </c>
      <c r="Y71" s="32" t="s">
        <v>610</v>
      </c>
      <c r="Z71" s="32">
        <v>0</v>
      </c>
      <c r="AA71" s="32">
        <v>0</v>
      </c>
      <c r="AB71" s="32">
        <v>0</v>
      </c>
      <c r="AC71" s="32">
        <v>-761.05827531819057</v>
      </c>
      <c r="AD71" s="32">
        <v>0</v>
      </c>
      <c r="AE71" s="32">
        <v>0</v>
      </c>
      <c r="AF71" s="32">
        <v>0</v>
      </c>
      <c r="AG71" s="32">
        <v>0</v>
      </c>
      <c r="AH71" s="32">
        <v>106.10175862866241</v>
      </c>
      <c r="AI71" s="32">
        <v>245.18502620445005</v>
      </c>
      <c r="AJ71" s="32">
        <v>0</v>
      </c>
      <c r="AK71" s="32">
        <v>-242.02733688333251</v>
      </c>
      <c r="AL71" s="32">
        <v>109.25944794977994</v>
      </c>
      <c r="AM71" s="32">
        <v>1500.3384624646255</v>
      </c>
      <c r="AN71" s="32">
        <v>258.16904017785203</v>
      </c>
      <c r="AO71" s="32">
        <v>0</v>
      </c>
      <c r="AP71" s="32">
        <v>0</v>
      </c>
      <c r="AQ71" s="32">
        <v>1758.5075026424774</v>
      </c>
      <c r="AR71" s="32">
        <v>106.10175862866241</v>
      </c>
      <c r="AS71" s="382">
        <v>16.573782804080995</v>
      </c>
      <c r="AT71" s="32">
        <v>1500.3384624646255</v>
      </c>
      <c r="AU71" s="32">
        <v>305.59524793934582</v>
      </c>
      <c r="AV71" s="32">
        <v>0</v>
      </c>
      <c r="AW71" s="32">
        <v>0</v>
      </c>
      <c r="AX71" s="32">
        <v>1805.9337104039714</v>
      </c>
      <c r="AY71" s="32">
        <v>245.18502620445005</v>
      </c>
      <c r="AZ71" s="382">
        <v>7.3655954377004864</v>
      </c>
      <c r="BA71" s="32">
        <v>1500.3384624646255</v>
      </c>
      <c r="BB71" s="32">
        <v>563.76428811719779</v>
      </c>
      <c r="BC71" s="32">
        <v>0</v>
      </c>
      <c r="BD71" s="32">
        <v>0</v>
      </c>
      <c r="BE71" s="32">
        <v>2064.1027505818233</v>
      </c>
      <c r="BF71" s="32">
        <v>351.28678483311245</v>
      </c>
      <c r="BG71" s="32">
        <v>-4.9947118779897046</v>
      </c>
      <c r="BH71" s="382">
        <v>5.8758337623273444</v>
      </c>
      <c r="BI71" s="32">
        <v>2.4941356421608059</v>
      </c>
      <c r="BJ71" s="32">
        <v>5.7635681131439069</v>
      </c>
      <c r="BK71" s="32">
        <v>0</v>
      </c>
      <c r="BL71" s="32">
        <v>-5.6893402625930651</v>
      </c>
      <c r="BM71" s="32">
        <v>2.5683634927116468</v>
      </c>
      <c r="BN71" s="32">
        <v>1500.3384624646255</v>
      </c>
      <c r="BO71" s="32">
        <v>0</v>
      </c>
      <c r="BP71" s="32">
        <v>563.76428811719779</v>
      </c>
      <c r="BQ71" s="32">
        <v>0</v>
      </c>
      <c r="BR71" s="32">
        <v>0</v>
      </c>
      <c r="BS71" s="32">
        <v>0</v>
      </c>
      <c r="BT71" s="32">
        <v>0</v>
      </c>
      <c r="BU71" s="32">
        <v>0</v>
      </c>
      <c r="BV71" s="32">
        <v>0</v>
      </c>
      <c r="BW71" s="32">
        <v>0</v>
      </c>
      <c r="BX71" s="32">
        <v>870.31772326797045</v>
      </c>
      <c r="BY71" s="32"/>
      <c r="BZ71" s="32">
        <v>-761.05827531819057</v>
      </c>
      <c r="CA71" s="32">
        <v>0</v>
      </c>
      <c r="CB71" s="32">
        <v>2064.1027505818233</v>
      </c>
      <c r="CC71" s="32">
        <v>109.25944794977988</v>
      </c>
      <c r="CD71" s="382">
        <v>3.2461260415239734</v>
      </c>
      <c r="CE71" s="32">
        <v>-10.684052140582775</v>
      </c>
      <c r="CF71" s="32">
        <v>29.73701583044155</v>
      </c>
      <c r="CG71" s="32">
        <v>0</v>
      </c>
      <c r="CH71" s="32">
        <v>29.73701583044155</v>
      </c>
      <c r="CI71" s="32">
        <v>1.4868468522375493</v>
      </c>
      <c r="CJ71" s="32">
        <v>0</v>
      </c>
      <c r="CK71" s="32">
        <v>1.4868468522375493</v>
      </c>
      <c r="CL71" s="32"/>
      <c r="CM71" s="32">
        <v>0</v>
      </c>
      <c r="CN71" s="32"/>
      <c r="CO71" s="32">
        <v>0</v>
      </c>
      <c r="CP71" s="32">
        <v>0</v>
      </c>
      <c r="CQ71" s="32">
        <v>0</v>
      </c>
      <c r="CR71" s="32">
        <v>0</v>
      </c>
      <c r="CS71" s="32">
        <v>0</v>
      </c>
      <c r="CT71" s="32">
        <v>0</v>
      </c>
      <c r="CU71" s="32">
        <v>0</v>
      </c>
      <c r="CV71" s="32">
        <v>9999</v>
      </c>
      <c r="CW71" s="382">
        <v>9999</v>
      </c>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row>
    <row r="72" spans="1:131">
      <c r="A72" s="11" t="s">
        <v>530</v>
      </c>
      <c r="B72" s="11" t="s">
        <v>530</v>
      </c>
      <c r="C72" s="32">
        <v>11.627906976744185</v>
      </c>
      <c r="D72" s="32">
        <v>339.69999999999993</v>
      </c>
      <c r="E72" s="32">
        <v>0</v>
      </c>
      <c r="F72" s="32">
        <v>113.40810404906972</v>
      </c>
      <c r="G72" s="32">
        <v>0</v>
      </c>
      <c r="H72" s="32">
        <v>-148.8813155294643</v>
      </c>
      <c r="I72" s="32" t="s">
        <v>525</v>
      </c>
      <c r="J72" s="32"/>
      <c r="K72" s="32"/>
      <c r="L72" s="32">
        <v>364.19161716693708</v>
      </c>
      <c r="M72" s="32">
        <v>8.5007695632657157E-2</v>
      </c>
      <c r="N72" s="32">
        <v>8.4394148206735825E-2</v>
      </c>
      <c r="O72" s="32">
        <v>0</v>
      </c>
      <c r="P72" s="32">
        <v>0</v>
      </c>
      <c r="Q72" s="32">
        <v>0</v>
      </c>
      <c r="R72" s="32">
        <v>22.61509090978879</v>
      </c>
      <c r="S72" s="32">
        <v>52.260035356611773</v>
      </c>
      <c r="T72" s="32">
        <v>0</v>
      </c>
      <c r="U72" s="32">
        <v>110.62900379227469</v>
      </c>
      <c r="V72" s="32" t="s">
        <v>610</v>
      </c>
      <c r="W72" s="32" t="s">
        <v>610</v>
      </c>
      <c r="X72" s="32" t="s">
        <v>610</v>
      </c>
      <c r="Y72" s="32" t="s">
        <v>610</v>
      </c>
      <c r="Z72" s="32">
        <v>0</v>
      </c>
      <c r="AA72" s="32">
        <v>0</v>
      </c>
      <c r="AB72" s="32">
        <v>0</v>
      </c>
      <c r="AC72" s="32">
        <v>0</v>
      </c>
      <c r="AD72" s="32">
        <v>0</v>
      </c>
      <c r="AE72" s="32">
        <v>0</v>
      </c>
      <c r="AF72" s="32">
        <v>0</v>
      </c>
      <c r="AG72" s="32">
        <v>-148.8813155294643</v>
      </c>
      <c r="AH72" s="32">
        <v>22.61509090978879</v>
      </c>
      <c r="AI72" s="32">
        <v>52.260035356611773</v>
      </c>
      <c r="AJ72" s="32">
        <v>0</v>
      </c>
      <c r="AK72" s="32">
        <v>-38.252311737189615</v>
      </c>
      <c r="AL72" s="32">
        <v>36.622814529210956</v>
      </c>
      <c r="AM72" s="32">
        <v>174.56073421900641</v>
      </c>
      <c r="AN72" s="32">
        <v>30.03734046251887</v>
      </c>
      <c r="AO72" s="32">
        <v>0</v>
      </c>
      <c r="AP72" s="32">
        <v>0</v>
      </c>
      <c r="AQ72" s="32">
        <v>204.59807468152528</v>
      </c>
      <c r="AR72" s="32">
        <v>22.61509090978879</v>
      </c>
      <c r="AS72" s="382">
        <v>9.0469711352328179</v>
      </c>
      <c r="AT72" s="32">
        <v>174.56073421900641</v>
      </c>
      <c r="AU72" s="32">
        <v>35.555264487788371</v>
      </c>
      <c r="AV72" s="32">
        <v>0</v>
      </c>
      <c r="AW72" s="32">
        <v>0</v>
      </c>
      <c r="AX72" s="32">
        <v>210.11599870679478</v>
      </c>
      <c r="AY72" s="32">
        <v>52.260035356611773</v>
      </c>
      <c r="AZ72" s="382">
        <v>4.020586616006022</v>
      </c>
      <c r="BA72" s="32">
        <v>174.56073421900641</v>
      </c>
      <c r="BB72" s="32">
        <v>65.592604950307248</v>
      </c>
      <c r="BC72" s="32">
        <v>0</v>
      </c>
      <c r="BD72" s="32">
        <v>0</v>
      </c>
      <c r="BE72" s="32">
        <v>240.15333916931365</v>
      </c>
      <c r="BF72" s="32">
        <v>74.875126266400571</v>
      </c>
      <c r="BG72" s="32">
        <v>1.8754527389022013</v>
      </c>
      <c r="BH72" s="382">
        <v>3.2073847637313428</v>
      </c>
      <c r="BI72" s="32">
        <v>4.56918252519952</v>
      </c>
      <c r="BJ72" s="32">
        <v>10.558685846997095</v>
      </c>
      <c r="BK72" s="32">
        <v>0</v>
      </c>
      <c r="BL72" s="32">
        <v>-7.7285470589197658</v>
      </c>
      <c r="BM72" s="32">
        <v>7.3993213132768512</v>
      </c>
      <c r="BN72" s="32">
        <v>174.56073421900641</v>
      </c>
      <c r="BO72" s="32">
        <v>0</v>
      </c>
      <c r="BP72" s="32">
        <v>65.592604950307248</v>
      </c>
      <c r="BQ72" s="32">
        <v>0</v>
      </c>
      <c r="BR72" s="32">
        <v>0</v>
      </c>
      <c r="BS72" s="32">
        <v>0</v>
      </c>
      <c r="BT72" s="32">
        <v>0</v>
      </c>
      <c r="BU72" s="32">
        <v>0</v>
      </c>
      <c r="BV72" s="32">
        <v>0</v>
      </c>
      <c r="BW72" s="32">
        <v>0</v>
      </c>
      <c r="BX72" s="32">
        <v>185.50413005867526</v>
      </c>
      <c r="BY72" s="32"/>
      <c r="BZ72" s="32">
        <v>0</v>
      </c>
      <c r="CA72" s="32">
        <v>-148.8813155294643</v>
      </c>
      <c r="CB72" s="32">
        <v>240.15333916931365</v>
      </c>
      <c r="CC72" s="32">
        <v>36.622814529210956</v>
      </c>
      <c r="CD72" s="382">
        <v>2.0971751657266369</v>
      </c>
      <c r="CE72" s="32">
        <v>-5.853094320017564</v>
      </c>
      <c r="CF72" s="32">
        <v>3.4598295296095349</v>
      </c>
      <c r="CG72" s="32">
        <v>0</v>
      </c>
      <c r="CH72" s="32">
        <v>3.4598295296095349</v>
      </c>
      <c r="CI72" s="32">
        <v>0.17299101815429513</v>
      </c>
      <c r="CJ72" s="32">
        <v>0</v>
      </c>
      <c r="CK72" s="32">
        <v>0.17299101815429513</v>
      </c>
      <c r="CL72" s="32"/>
      <c r="CM72" s="32">
        <v>0</v>
      </c>
      <c r="CN72" s="32"/>
      <c r="CO72" s="32">
        <v>0</v>
      </c>
      <c r="CP72" s="32">
        <v>0</v>
      </c>
      <c r="CQ72" s="32">
        <v>0</v>
      </c>
      <c r="CR72" s="32">
        <v>0</v>
      </c>
      <c r="CS72" s="32">
        <v>0</v>
      </c>
      <c r="CT72" s="32">
        <v>0</v>
      </c>
      <c r="CU72" s="32">
        <v>0</v>
      </c>
      <c r="CV72" s="32">
        <v>9999</v>
      </c>
      <c r="CW72" s="382">
        <v>9999</v>
      </c>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row>
    <row r="73" spans="1:131">
      <c r="A73" s="11" t="s">
        <v>531</v>
      </c>
      <c r="B73" s="11" t="s">
        <v>531</v>
      </c>
      <c r="C73" s="32">
        <v>11.627906976744185</v>
      </c>
      <c r="D73" s="32">
        <v>339.69999999999993</v>
      </c>
      <c r="E73" s="32">
        <v>0</v>
      </c>
      <c r="F73" s="32">
        <v>113.40810404906972</v>
      </c>
      <c r="G73" s="32">
        <v>-56</v>
      </c>
      <c r="H73" s="32">
        <v>0</v>
      </c>
      <c r="I73" s="32" t="s">
        <v>525</v>
      </c>
      <c r="J73" s="32"/>
      <c r="K73" s="32"/>
      <c r="L73" s="32">
        <v>364.19161716693708</v>
      </c>
      <c r="M73" s="32">
        <v>8.5007695632657157E-2</v>
      </c>
      <c r="N73" s="32">
        <v>8.4394148206735825E-2</v>
      </c>
      <c r="O73" s="32">
        <v>0</v>
      </c>
      <c r="P73" s="32">
        <v>0</v>
      </c>
      <c r="Q73" s="32">
        <v>0</v>
      </c>
      <c r="R73" s="32">
        <v>22.61509090978879</v>
      </c>
      <c r="S73" s="32">
        <v>52.260035356611773</v>
      </c>
      <c r="T73" s="32">
        <v>0</v>
      </c>
      <c r="U73" s="32">
        <v>110.62900379227469</v>
      </c>
      <c r="V73" s="32" t="s">
        <v>610</v>
      </c>
      <c r="W73" s="32" t="s">
        <v>610</v>
      </c>
      <c r="X73" s="32" t="s">
        <v>610</v>
      </c>
      <c r="Y73" s="32" t="s">
        <v>610</v>
      </c>
      <c r="Z73" s="32">
        <v>0</v>
      </c>
      <c r="AA73" s="32">
        <v>0</v>
      </c>
      <c r="AB73" s="32">
        <v>0</v>
      </c>
      <c r="AC73" s="32">
        <v>-761.05827531819057</v>
      </c>
      <c r="AD73" s="32">
        <v>0</v>
      </c>
      <c r="AE73" s="32">
        <v>0</v>
      </c>
      <c r="AF73" s="32">
        <v>0</v>
      </c>
      <c r="AG73" s="32">
        <v>0</v>
      </c>
      <c r="AH73" s="32">
        <v>22.61509090978879</v>
      </c>
      <c r="AI73" s="32">
        <v>52.260035356611773</v>
      </c>
      <c r="AJ73" s="32">
        <v>0</v>
      </c>
      <c r="AK73" s="32">
        <v>-650.42927152591585</v>
      </c>
      <c r="AL73" s="32">
        <v>-575.55414525951528</v>
      </c>
      <c r="AM73" s="32">
        <v>174.56073421900641</v>
      </c>
      <c r="AN73" s="32">
        <v>30.03734046251887</v>
      </c>
      <c r="AO73" s="32">
        <v>0</v>
      </c>
      <c r="AP73" s="32">
        <v>0</v>
      </c>
      <c r="AQ73" s="32">
        <v>204.59807468152528</v>
      </c>
      <c r="AR73" s="32">
        <v>22.61509090978879</v>
      </c>
      <c r="AS73" s="382">
        <v>9.0469711352328179</v>
      </c>
      <c r="AT73" s="32">
        <v>174.56073421900641</v>
      </c>
      <c r="AU73" s="32">
        <v>35.555264487788371</v>
      </c>
      <c r="AV73" s="32">
        <v>0</v>
      </c>
      <c r="AW73" s="32">
        <v>0</v>
      </c>
      <c r="AX73" s="32">
        <v>210.11599870679478</v>
      </c>
      <c r="AY73" s="32">
        <v>52.260035356611773</v>
      </c>
      <c r="AZ73" s="382">
        <v>4.020586616006022</v>
      </c>
      <c r="BA73" s="32">
        <v>174.56073421900641</v>
      </c>
      <c r="BB73" s="32">
        <v>65.592604950307248</v>
      </c>
      <c r="BC73" s="32">
        <v>0</v>
      </c>
      <c r="BD73" s="32">
        <v>0</v>
      </c>
      <c r="BE73" s="32">
        <v>240.15333916931365</v>
      </c>
      <c r="BF73" s="32">
        <v>74.875126266400571</v>
      </c>
      <c r="BG73" s="32">
        <v>1.8754527389022013</v>
      </c>
      <c r="BH73" s="382">
        <v>3.2073847637313428</v>
      </c>
      <c r="BI73" s="32">
        <v>4.56918252519952</v>
      </c>
      <c r="BJ73" s="32">
        <v>10.558685846997095</v>
      </c>
      <c r="BK73" s="32">
        <v>0</v>
      </c>
      <c r="BL73" s="32">
        <v>-131.41358012618417</v>
      </c>
      <c r="BM73" s="32">
        <v>-116.28571175398754</v>
      </c>
      <c r="BN73" s="32">
        <v>174.56073421900641</v>
      </c>
      <c r="BO73" s="32">
        <v>0</v>
      </c>
      <c r="BP73" s="32">
        <v>65.592604950307248</v>
      </c>
      <c r="BQ73" s="32">
        <v>0</v>
      </c>
      <c r="BR73" s="32">
        <v>0</v>
      </c>
      <c r="BS73" s="32">
        <v>0</v>
      </c>
      <c r="BT73" s="32">
        <v>0</v>
      </c>
      <c r="BU73" s="32">
        <v>0</v>
      </c>
      <c r="BV73" s="32">
        <v>0</v>
      </c>
      <c r="BW73" s="32">
        <v>0</v>
      </c>
      <c r="BX73" s="32">
        <v>185.50413005867526</v>
      </c>
      <c r="BY73" s="32"/>
      <c r="BZ73" s="32">
        <v>-761.05827531819057</v>
      </c>
      <c r="CA73" s="32">
        <v>0</v>
      </c>
      <c r="CB73" s="32">
        <v>240.15333916931365</v>
      </c>
      <c r="CC73" s="32">
        <v>-575.55414525951528</v>
      </c>
      <c r="CD73" s="382">
        <v>5.3972470271730302</v>
      </c>
      <c r="CE73" s="32">
        <v>-129.53812738728197</v>
      </c>
      <c r="CF73" s="32">
        <v>3.4598295296095349</v>
      </c>
      <c r="CG73" s="32">
        <v>0</v>
      </c>
      <c r="CH73" s="32">
        <v>3.4598295296095349</v>
      </c>
      <c r="CI73" s="32">
        <v>0.17299101815429513</v>
      </c>
      <c r="CJ73" s="32">
        <v>0</v>
      </c>
      <c r="CK73" s="32">
        <v>0.17299101815429513</v>
      </c>
      <c r="CL73" s="32"/>
      <c r="CM73" s="32">
        <v>0</v>
      </c>
      <c r="CN73" s="32"/>
      <c r="CO73" s="32">
        <v>0</v>
      </c>
      <c r="CP73" s="32">
        <v>0</v>
      </c>
      <c r="CQ73" s="32">
        <v>0</v>
      </c>
      <c r="CR73" s="32">
        <v>0</v>
      </c>
      <c r="CS73" s="32">
        <v>0</v>
      </c>
      <c r="CT73" s="32">
        <v>0</v>
      </c>
      <c r="CU73" s="32">
        <v>0</v>
      </c>
      <c r="CV73" s="32">
        <v>9999</v>
      </c>
      <c r="CW73" s="382">
        <v>9999</v>
      </c>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row>
    <row r="74" spans="1:131">
      <c r="A74" s="11" t="s">
        <v>532</v>
      </c>
      <c r="B74" s="11" t="s">
        <v>532</v>
      </c>
      <c r="C74" s="32">
        <v>11.627906976744185</v>
      </c>
      <c r="D74" s="32">
        <v>270.89999999999998</v>
      </c>
      <c r="E74" s="32">
        <v>0</v>
      </c>
      <c r="F74" s="32">
        <v>113.40810404906972</v>
      </c>
      <c r="G74" s="32">
        <v>0</v>
      </c>
      <c r="H74" s="32">
        <v>-148.8813155294643</v>
      </c>
      <c r="I74" s="32" t="s">
        <v>525</v>
      </c>
      <c r="J74" s="32"/>
      <c r="K74" s="32"/>
      <c r="L74" s="32">
        <v>290.43128963945617</v>
      </c>
      <c r="M74" s="32">
        <v>6.7790947150093692E-2</v>
      </c>
      <c r="N74" s="32">
        <v>6.7301662493979217E-2</v>
      </c>
      <c r="O74" s="32">
        <v>0</v>
      </c>
      <c r="P74" s="32">
        <v>0</v>
      </c>
      <c r="Q74" s="32">
        <v>0</v>
      </c>
      <c r="R74" s="32">
        <v>22.61509090978879</v>
      </c>
      <c r="S74" s="32">
        <v>52.260035356611773</v>
      </c>
      <c r="T74" s="32">
        <v>0</v>
      </c>
      <c r="U74" s="32">
        <v>110.62900379227469</v>
      </c>
      <c r="V74" s="32" t="s">
        <v>610</v>
      </c>
      <c r="W74" s="32" t="s">
        <v>610</v>
      </c>
      <c r="X74" s="32" t="s">
        <v>610</v>
      </c>
      <c r="Y74" s="32" t="s">
        <v>610</v>
      </c>
      <c r="Z74" s="32">
        <v>0</v>
      </c>
      <c r="AA74" s="32">
        <v>0</v>
      </c>
      <c r="AB74" s="32">
        <v>0</v>
      </c>
      <c r="AC74" s="32">
        <v>0</v>
      </c>
      <c r="AD74" s="32">
        <v>0</v>
      </c>
      <c r="AE74" s="32">
        <v>0</v>
      </c>
      <c r="AF74" s="32">
        <v>0</v>
      </c>
      <c r="AG74" s="32">
        <v>-148.8813155294643</v>
      </c>
      <c r="AH74" s="32">
        <v>22.61509090978879</v>
      </c>
      <c r="AI74" s="32">
        <v>52.260035356611773</v>
      </c>
      <c r="AJ74" s="32">
        <v>0</v>
      </c>
      <c r="AK74" s="32">
        <v>-38.252311737189615</v>
      </c>
      <c r="AL74" s="32">
        <v>36.622814529210956</v>
      </c>
      <c r="AM74" s="32">
        <v>139.20666146578981</v>
      </c>
      <c r="AN74" s="32">
        <v>23.953828470109986</v>
      </c>
      <c r="AO74" s="32">
        <v>0</v>
      </c>
      <c r="AP74" s="32">
        <v>0</v>
      </c>
      <c r="AQ74" s="32">
        <v>163.16048993589979</v>
      </c>
      <c r="AR74" s="32">
        <v>22.61509090978879</v>
      </c>
      <c r="AS74" s="382">
        <v>7.2146731837932547</v>
      </c>
      <c r="AT74" s="32">
        <v>139.20666146578981</v>
      </c>
      <c r="AU74" s="32">
        <v>28.354198262413522</v>
      </c>
      <c r="AV74" s="32">
        <v>0</v>
      </c>
      <c r="AW74" s="32">
        <v>0</v>
      </c>
      <c r="AX74" s="32">
        <v>167.56085972820333</v>
      </c>
      <c r="AY74" s="32">
        <v>52.260035356611773</v>
      </c>
      <c r="AZ74" s="382">
        <v>3.2062905925111291</v>
      </c>
      <c r="BA74" s="32">
        <v>139.20666146578981</v>
      </c>
      <c r="BB74" s="32">
        <v>52.308026732523508</v>
      </c>
      <c r="BC74" s="32">
        <v>0</v>
      </c>
      <c r="BD74" s="32">
        <v>0</v>
      </c>
      <c r="BE74" s="32">
        <v>191.51468819831331</v>
      </c>
      <c r="BF74" s="32">
        <v>74.875126266400571</v>
      </c>
      <c r="BG74" s="32">
        <v>5.7174510556505487</v>
      </c>
      <c r="BH74" s="382">
        <v>2.5577878495579047</v>
      </c>
      <c r="BI74" s="32">
        <v>5.7296098331866991</v>
      </c>
      <c r="BJ74" s="32">
        <v>13.240256855758261</v>
      </c>
      <c r="BK74" s="32">
        <v>0</v>
      </c>
      <c r="BL74" s="32">
        <v>-9.6913526611851033</v>
      </c>
      <c r="BM74" s="32">
        <v>9.2785140277598614</v>
      </c>
      <c r="BN74" s="32">
        <v>139.20666146578981</v>
      </c>
      <c r="BO74" s="32">
        <v>0</v>
      </c>
      <c r="BP74" s="32">
        <v>52.308026732523508</v>
      </c>
      <c r="BQ74" s="32">
        <v>0</v>
      </c>
      <c r="BR74" s="32">
        <v>0</v>
      </c>
      <c r="BS74" s="32">
        <v>0</v>
      </c>
      <c r="BT74" s="32">
        <v>0</v>
      </c>
      <c r="BU74" s="32">
        <v>0</v>
      </c>
      <c r="BV74" s="32">
        <v>0</v>
      </c>
      <c r="BW74" s="32">
        <v>0</v>
      </c>
      <c r="BX74" s="32">
        <v>185.50413005867526</v>
      </c>
      <c r="BY74" s="32"/>
      <c r="BZ74" s="32">
        <v>0</v>
      </c>
      <c r="CA74" s="32">
        <v>-148.8813155294643</v>
      </c>
      <c r="CB74" s="32">
        <v>191.51468819831331</v>
      </c>
      <c r="CC74" s="32">
        <v>36.622814529210956</v>
      </c>
      <c r="CD74" s="382">
        <v>1.834978033212036</v>
      </c>
      <c r="CE74" s="32">
        <v>-3.9739016055345542</v>
      </c>
      <c r="CF74" s="32">
        <v>2.7591045615873551</v>
      </c>
      <c r="CG74" s="32">
        <v>0</v>
      </c>
      <c r="CH74" s="32">
        <v>2.7591045615873551</v>
      </c>
      <c r="CI74" s="32">
        <v>0.13795486257874173</v>
      </c>
      <c r="CJ74" s="32">
        <v>0</v>
      </c>
      <c r="CK74" s="32">
        <v>0.13795486257874173</v>
      </c>
      <c r="CL74" s="32"/>
      <c r="CM74" s="32">
        <v>0</v>
      </c>
      <c r="CN74" s="32"/>
      <c r="CO74" s="32">
        <v>0</v>
      </c>
      <c r="CP74" s="32">
        <v>0</v>
      </c>
      <c r="CQ74" s="32">
        <v>0</v>
      </c>
      <c r="CR74" s="32">
        <v>0</v>
      </c>
      <c r="CS74" s="32">
        <v>0</v>
      </c>
      <c r="CT74" s="32">
        <v>0</v>
      </c>
      <c r="CU74" s="32">
        <v>0</v>
      </c>
      <c r="CV74" s="32">
        <v>9999</v>
      </c>
      <c r="CW74" s="382">
        <v>9999</v>
      </c>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row>
    <row r="75" spans="1:131">
      <c r="A75" s="11" t="s">
        <v>533</v>
      </c>
      <c r="B75" s="11" t="s">
        <v>533</v>
      </c>
      <c r="C75" s="32">
        <v>11.627906976744185</v>
      </c>
      <c r="D75" s="32">
        <v>270.89999999999998</v>
      </c>
      <c r="E75" s="32">
        <v>0</v>
      </c>
      <c r="F75" s="32">
        <v>113.40810404906972</v>
      </c>
      <c r="G75" s="32">
        <v>-56</v>
      </c>
      <c r="H75" s="32">
        <v>0</v>
      </c>
      <c r="I75" s="32" t="s">
        <v>525</v>
      </c>
      <c r="J75" s="32"/>
      <c r="K75" s="32"/>
      <c r="L75" s="32">
        <v>290.43128963945617</v>
      </c>
      <c r="M75" s="32">
        <v>6.7790947150093692E-2</v>
      </c>
      <c r="N75" s="32">
        <v>6.7301662493979217E-2</v>
      </c>
      <c r="O75" s="32">
        <v>0</v>
      </c>
      <c r="P75" s="32">
        <v>0</v>
      </c>
      <c r="Q75" s="32">
        <v>0</v>
      </c>
      <c r="R75" s="32">
        <v>22.61509090978879</v>
      </c>
      <c r="S75" s="32">
        <v>52.260035356611773</v>
      </c>
      <c r="T75" s="32">
        <v>0</v>
      </c>
      <c r="U75" s="32">
        <v>110.62900379227469</v>
      </c>
      <c r="V75" s="32" t="s">
        <v>610</v>
      </c>
      <c r="W75" s="32" t="s">
        <v>610</v>
      </c>
      <c r="X75" s="32" t="s">
        <v>610</v>
      </c>
      <c r="Y75" s="32" t="s">
        <v>610</v>
      </c>
      <c r="Z75" s="32">
        <v>0</v>
      </c>
      <c r="AA75" s="32">
        <v>0</v>
      </c>
      <c r="AB75" s="32">
        <v>0</v>
      </c>
      <c r="AC75" s="32">
        <v>-761.05827531819057</v>
      </c>
      <c r="AD75" s="32">
        <v>0</v>
      </c>
      <c r="AE75" s="32">
        <v>0</v>
      </c>
      <c r="AF75" s="32">
        <v>0</v>
      </c>
      <c r="AG75" s="32">
        <v>0</v>
      </c>
      <c r="AH75" s="32">
        <v>22.61509090978879</v>
      </c>
      <c r="AI75" s="32">
        <v>52.260035356611773</v>
      </c>
      <c r="AJ75" s="32">
        <v>0</v>
      </c>
      <c r="AK75" s="32">
        <v>-650.42927152591585</v>
      </c>
      <c r="AL75" s="32">
        <v>-575.55414525951528</v>
      </c>
      <c r="AM75" s="32">
        <v>139.20666146578981</v>
      </c>
      <c r="AN75" s="32">
        <v>23.953828470109986</v>
      </c>
      <c r="AO75" s="32">
        <v>0</v>
      </c>
      <c r="AP75" s="32">
        <v>0</v>
      </c>
      <c r="AQ75" s="32">
        <v>163.16048993589979</v>
      </c>
      <c r="AR75" s="32">
        <v>22.61509090978879</v>
      </c>
      <c r="AS75" s="382">
        <v>7.2146731837932547</v>
      </c>
      <c r="AT75" s="32">
        <v>139.20666146578981</v>
      </c>
      <c r="AU75" s="32">
        <v>28.354198262413522</v>
      </c>
      <c r="AV75" s="32">
        <v>0</v>
      </c>
      <c r="AW75" s="32">
        <v>0</v>
      </c>
      <c r="AX75" s="32">
        <v>167.56085972820333</v>
      </c>
      <c r="AY75" s="32">
        <v>52.260035356611773</v>
      </c>
      <c r="AZ75" s="382">
        <v>3.2062905925111291</v>
      </c>
      <c r="BA75" s="32">
        <v>139.20666146578981</v>
      </c>
      <c r="BB75" s="32">
        <v>52.308026732523508</v>
      </c>
      <c r="BC75" s="32">
        <v>0</v>
      </c>
      <c r="BD75" s="32">
        <v>0</v>
      </c>
      <c r="BE75" s="32">
        <v>191.51468819831331</v>
      </c>
      <c r="BF75" s="32">
        <v>74.875126266400571</v>
      </c>
      <c r="BG75" s="32">
        <v>5.7174510556505487</v>
      </c>
      <c r="BH75" s="382">
        <v>2.5577878495579047</v>
      </c>
      <c r="BI75" s="32">
        <v>5.7296098331866991</v>
      </c>
      <c r="BJ75" s="32">
        <v>13.240256855758261</v>
      </c>
      <c r="BK75" s="32">
        <v>0</v>
      </c>
      <c r="BL75" s="32">
        <v>-164.78845761854839</v>
      </c>
      <c r="BM75" s="32">
        <v>-145.81859092960343</v>
      </c>
      <c r="BN75" s="32">
        <v>139.20666146578981</v>
      </c>
      <c r="BO75" s="32">
        <v>0</v>
      </c>
      <c r="BP75" s="32">
        <v>52.308026732523508</v>
      </c>
      <c r="BQ75" s="32">
        <v>0</v>
      </c>
      <c r="BR75" s="32">
        <v>0</v>
      </c>
      <c r="BS75" s="32">
        <v>0</v>
      </c>
      <c r="BT75" s="32">
        <v>0</v>
      </c>
      <c r="BU75" s="32">
        <v>0</v>
      </c>
      <c r="BV75" s="32">
        <v>0</v>
      </c>
      <c r="BW75" s="32">
        <v>0</v>
      </c>
      <c r="BX75" s="32">
        <v>185.50413005867526</v>
      </c>
      <c r="BY75" s="32"/>
      <c r="BZ75" s="32">
        <v>-761.05827531819057</v>
      </c>
      <c r="CA75" s="32">
        <v>0</v>
      </c>
      <c r="CB75" s="32">
        <v>191.51468819831331</v>
      </c>
      <c r="CC75" s="32">
        <v>-575.55414525951528</v>
      </c>
      <c r="CD75" s="382">
        <v>5.1350498946584295</v>
      </c>
      <c r="CE75" s="32">
        <v>-159.07100656289782</v>
      </c>
      <c r="CF75" s="32">
        <v>2.7591045615873551</v>
      </c>
      <c r="CG75" s="32">
        <v>0</v>
      </c>
      <c r="CH75" s="32">
        <v>2.7591045615873551</v>
      </c>
      <c r="CI75" s="32">
        <v>0.13795486257874173</v>
      </c>
      <c r="CJ75" s="32">
        <v>0</v>
      </c>
      <c r="CK75" s="32">
        <v>0.13795486257874173</v>
      </c>
      <c r="CL75" s="32"/>
      <c r="CM75" s="32">
        <v>0</v>
      </c>
      <c r="CN75" s="32"/>
      <c r="CO75" s="32">
        <v>0</v>
      </c>
      <c r="CP75" s="32">
        <v>0</v>
      </c>
      <c r="CQ75" s="32">
        <v>0</v>
      </c>
      <c r="CR75" s="32">
        <v>0</v>
      </c>
      <c r="CS75" s="32">
        <v>0</v>
      </c>
      <c r="CT75" s="32">
        <v>0</v>
      </c>
      <c r="CU75" s="32">
        <v>0</v>
      </c>
      <c r="CV75" s="32">
        <v>9999</v>
      </c>
      <c r="CW75" s="382">
        <v>9999</v>
      </c>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row>
    <row r="76" spans="1:131">
      <c r="A76" s="11" t="s">
        <v>839</v>
      </c>
      <c r="B76" s="11" t="s">
        <v>839</v>
      </c>
      <c r="C76" s="32">
        <v>11.627906976744185</v>
      </c>
      <c r="D76" s="32">
        <v>395.6</v>
      </c>
      <c r="E76" s="32">
        <v>0</v>
      </c>
      <c r="F76" s="32">
        <v>162.01157721295672</v>
      </c>
      <c r="G76" s="32">
        <v>0</v>
      </c>
      <c r="H76" s="32">
        <v>-154.68188626437851</v>
      </c>
      <c r="I76" s="32" t="s">
        <v>525</v>
      </c>
      <c r="J76" s="32"/>
      <c r="K76" s="32"/>
      <c r="L76" s="32">
        <v>424.12188328301545</v>
      </c>
      <c r="M76" s="32">
        <v>9.8996303774740002E-2</v>
      </c>
      <c r="N76" s="32">
        <v>9.8281792848350619E-2</v>
      </c>
      <c r="O76" s="32">
        <v>0</v>
      </c>
      <c r="P76" s="32">
        <v>0</v>
      </c>
      <c r="Q76" s="32">
        <v>0</v>
      </c>
      <c r="R76" s="32">
        <v>32.307272728269702</v>
      </c>
      <c r="S76" s="32">
        <v>74.657193366588231</v>
      </c>
      <c r="T76" s="32">
        <v>0</v>
      </c>
      <c r="U76" s="32">
        <v>158.0414339889638</v>
      </c>
      <c r="V76" s="32" t="s">
        <v>610</v>
      </c>
      <c r="W76" s="32" t="s">
        <v>610</v>
      </c>
      <c r="X76" s="32" t="s">
        <v>610</v>
      </c>
      <c r="Y76" s="32" t="s">
        <v>610</v>
      </c>
      <c r="Z76" s="32">
        <v>0</v>
      </c>
      <c r="AA76" s="32">
        <v>0</v>
      </c>
      <c r="AB76" s="32">
        <v>0</v>
      </c>
      <c r="AC76" s="32">
        <v>0</v>
      </c>
      <c r="AD76" s="32">
        <v>0</v>
      </c>
      <c r="AE76" s="32">
        <v>0</v>
      </c>
      <c r="AF76" s="32">
        <v>0</v>
      </c>
      <c r="AG76" s="32">
        <v>-154.68188626437851</v>
      </c>
      <c r="AH76" s="32">
        <v>32.307272728269702</v>
      </c>
      <c r="AI76" s="32">
        <v>74.657193366588231</v>
      </c>
      <c r="AJ76" s="32">
        <v>0</v>
      </c>
      <c r="AK76" s="32">
        <v>3.3595477245852976</v>
      </c>
      <c r="AL76" s="32">
        <v>110.32401381944322</v>
      </c>
      <c r="AM76" s="32">
        <v>203.28591833099458</v>
      </c>
      <c r="AN76" s="32">
        <v>34.980193956351101</v>
      </c>
      <c r="AO76" s="32">
        <v>0</v>
      </c>
      <c r="AP76" s="32">
        <v>0</v>
      </c>
      <c r="AQ76" s="32">
        <v>238.26611228734566</v>
      </c>
      <c r="AR76" s="32">
        <v>32.307272728269702</v>
      </c>
      <c r="AS76" s="382">
        <v>7.374999254544214</v>
      </c>
      <c r="AT76" s="32">
        <v>203.28591833099458</v>
      </c>
      <c r="AU76" s="32">
        <v>41.406130795905469</v>
      </c>
      <c r="AV76" s="32">
        <v>0</v>
      </c>
      <c r="AW76" s="32">
        <v>0</v>
      </c>
      <c r="AX76" s="32">
        <v>244.69204912690003</v>
      </c>
      <c r="AY76" s="32">
        <v>74.657193366588231</v>
      </c>
      <c r="AZ76" s="382">
        <v>3.2775414945669321</v>
      </c>
      <c r="BA76" s="32">
        <v>203.28591833099458</v>
      </c>
      <c r="BB76" s="32">
        <v>76.38632475225657</v>
      </c>
      <c r="BC76" s="32">
        <v>0</v>
      </c>
      <c r="BD76" s="32">
        <v>0</v>
      </c>
      <c r="BE76" s="32">
        <v>279.67224308325115</v>
      </c>
      <c r="BF76" s="32">
        <v>106.96446609485793</v>
      </c>
      <c r="BG76" s="32">
        <v>5.3050626493691251</v>
      </c>
      <c r="BH76" s="382">
        <v>2.6146275795480811</v>
      </c>
      <c r="BI76" s="32">
        <v>5.6050530976826405</v>
      </c>
      <c r="BJ76" s="32">
        <v>12.952425184980903</v>
      </c>
      <c r="BK76" s="32">
        <v>0</v>
      </c>
      <c r="BL76" s="32">
        <v>0.58285462653807851</v>
      </c>
      <c r="BM76" s="32">
        <v>19.140332909201621</v>
      </c>
      <c r="BN76" s="32">
        <v>203.28591833099458</v>
      </c>
      <c r="BO76" s="32">
        <v>0</v>
      </c>
      <c r="BP76" s="32">
        <v>76.38632475225657</v>
      </c>
      <c r="BQ76" s="32">
        <v>0</v>
      </c>
      <c r="BR76" s="32">
        <v>0</v>
      </c>
      <c r="BS76" s="32">
        <v>0</v>
      </c>
      <c r="BT76" s="32">
        <v>0</v>
      </c>
      <c r="BU76" s="32">
        <v>0</v>
      </c>
      <c r="BV76" s="32">
        <v>0</v>
      </c>
      <c r="BW76" s="32">
        <v>0</v>
      </c>
      <c r="BX76" s="32">
        <v>265.00590008382176</v>
      </c>
      <c r="BY76" s="32"/>
      <c r="BZ76" s="32">
        <v>0</v>
      </c>
      <c r="CA76" s="32">
        <v>-154.68188626437851</v>
      </c>
      <c r="CB76" s="32">
        <v>279.67224308325115</v>
      </c>
      <c r="CC76" s="32">
        <v>110.32401381944325</v>
      </c>
      <c r="CD76" s="382">
        <v>1.6390356939609376</v>
      </c>
      <c r="CE76" s="32">
        <v>5.887917275907208</v>
      </c>
      <c r="CF76" s="32">
        <v>4.0291685661275602</v>
      </c>
      <c r="CG76" s="32">
        <v>0</v>
      </c>
      <c r="CH76" s="32">
        <v>4.0291685661275602</v>
      </c>
      <c r="CI76" s="32">
        <v>0.20145789455943236</v>
      </c>
      <c r="CJ76" s="32">
        <v>0</v>
      </c>
      <c r="CK76" s="32">
        <v>0.20145789455943236</v>
      </c>
      <c r="CL76" s="32"/>
      <c r="CM76" s="32">
        <v>0</v>
      </c>
      <c r="CN76" s="32"/>
      <c r="CO76" s="32">
        <v>0</v>
      </c>
      <c r="CP76" s="32">
        <v>0</v>
      </c>
      <c r="CQ76" s="32">
        <v>0</v>
      </c>
      <c r="CR76" s="32">
        <v>0</v>
      </c>
      <c r="CS76" s="32">
        <v>0</v>
      </c>
      <c r="CT76" s="32">
        <v>0</v>
      </c>
      <c r="CU76" s="32">
        <v>0</v>
      </c>
      <c r="CV76" s="32">
        <v>9999</v>
      </c>
      <c r="CW76" s="382">
        <v>9999</v>
      </c>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row>
    <row r="77" spans="1:131">
      <c r="A77" s="11" t="s">
        <v>840</v>
      </c>
      <c r="B77" s="11" t="s">
        <v>840</v>
      </c>
      <c r="C77" s="32">
        <v>11.627906976744185</v>
      </c>
      <c r="D77" s="32">
        <v>395.6</v>
      </c>
      <c r="E77" s="32">
        <v>0</v>
      </c>
      <c r="F77" s="32">
        <v>162.01157721295672</v>
      </c>
      <c r="G77" s="32">
        <v>-56</v>
      </c>
      <c r="H77" s="32">
        <v>0</v>
      </c>
      <c r="I77" s="32" t="s">
        <v>525</v>
      </c>
      <c r="J77" s="32"/>
      <c r="K77" s="32"/>
      <c r="L77" s="32">
        <v>424.12188328301545</v>
      </c>
      <c r="M77" s="32">
        <v>9.8996303774740002E-2</v>
      </c>
      <c r="N77" s="32">
        <v>9.8281792848350619E-2</v>
      </c>
      <c r="O77" s="32">
        <v>0</v>
      </c>
      <c r="P77" s="32">
        <v>0</v>
      </c>
      <c r="Q77" s="32">
        <v>0</v>
      </c>
      <c r="R77" s="32">
        <v>32.307272728269702</v>
      </c>
      <c r="S77" s="32">
        <v>74.657193366588231</v>
      </c>
      <c r="T77" s="32">
        <v>0</v>
      </c>
      <c r="U77" s="32">
        <v>158.0414339889638</v>
      </c>
      <c r="V77" s="32" t="s">
        <v>610</v>
      </c>
      <c r="W77" s="32" t="s">
        <v>610</v>
      </c>
      <c r="X77" s="32" t="s">
        <v>610</v>
      </c>
      <c r="Y77" s="32" t="s">
        <v>610</v>
      </c>
      <c r="Z77" s="32">
        <v>0</v>
      </c>
      <c r="AA77" s="32">
        <v>0</v>
      </c>
      <c r="AB77" s="32">
        <v>0</v>
      </c>
      <c r="AC77" s="32">
        <v>-761.05827531819057</v>
      </c>
      <c r="AD77" s="32">
        <v>0</v>
      </c>
      <c r="AE77" s="32">
        <v>0</v>
      </c>
      <c r="AF77" s="32">
        <v>0</v>
      </c>
      <c r="AG77" s="32">
        <v>0</v>
      </c>
      <c r="AH77" s="32">
        <v>32.307272728269702</v>
      </c>
      <c r="AI77" s="32">
        <v>74.657193366588231</v>
      </c>
      <c r="AJ77" s="32">
        <v>0</v>
      </c>
      <c r="AK77" s="32">
        <v>-603.01684132922674</v>
      </c>
      <c r="AL77" s="32">
        <v>-496.05237523436881</v>
      </c>
      <c r="AM77" s="32">
        <v>203.28591833099458</v>
      </c>
      <c r="AN77" s="32">
        <v>34.980193956351101</v>
      </c>
      <c r="AO77" s="32">
        <v>0</v>
      </c>
      <c r="AP77" s="32">
        <v>0</v>
      </c>
      <c r="AQ77" s="32">
        <v>238.26611228734566</v>
      </c>
      <c r="AR77" s="32">
        <v>32.307272728269702</v>
      </c>
      <c r="AS77" s="382">
        <v>7.374999254544214</v>
      </c>
      <c r="AT77" s="32">
        <v>203.28591833099458</v>
      </c>
      <c r="AU77" s="32">
        <v>41.406130795905469</v>
      </c>
      <c r="AV77" s="32">
        <v>0</v>
      </c>
      <c r="AW77" s="32">
        <v>0</v>
      </c>
      <c r="AX77" s="32">
        <v>244.69204912690003</v>
      </c>
      <c r="AY77" s="32">
        <v>74.657193366588231</v>
      </c>
      <c r="AZ77" s="382">
        <v>3.2775414945669321</v>
      </c>
      <c r="BA77" s="32">
        <v>203.28591833099458</v>
      </c>
      <c r="BB77" s="32">
        <v>76.38632475225657</v>
      </c>
      <c r="BC77" s="32">
        <v>0</v>
      </c>
      <c r="BD77" s="32">
        <v>0</v>
      </c>
      <c r="BE77" s="32">
        <v>279.67224308325115</v>
      </c>
      <c r="BF77" s="32">
        <v>106.96446609485793</v>
      </c>
      <c r="BG77" s="32">
        <v>5.3050626493691251</v>
      </c>
      <c r="BH77" s="382">
        <v>2.6146275795480811</v>
      </c>
      <c r="BI77" s="32">
        <v>5.6050530976826405</v>
      </c>
      <c r="BJ77" s="32">
        <v>12.952425184980903</v>
      </c>
      <c r="BK77" s="32">
        <v>0</v>
      </c>
      <c r="BL77" s="32">
        <v>-104.61859293649529</v>
      </c>
      <c r="BM77" s="32">
        <v>-86.061114653831751</v>
      </c>
      <c r="BN77" s="32">
        <v>203.28591833099458</v>
      </c>
      <c r="BO77" s="32">
        <v>0</v>
      </c>
      <c r="BP77" s="32">
        <v>76.38632475225657</v>
      </c>
      <c r="BQ77" s="32">
        <v>0</v>
      </c>
      <c r="BR77" s="32">
        <v>0</v>
      </c>
      <c r="BS77" s="32">
        <v>0</v>
      </c>
      <c r="BT77" s="32">
        <v>0</v>
      </c>
      <c r="BU77" s="32">
        <v>0</v>
      </c>
      <c r="BV77" s="32">
        <v>0</v>
      </c>
      <c r="BW77" s="32">
        <v>0</v>
      </c>
      <c r="BX77" s="32">
        <v>265.00590008382176</v>
      </c>
      <c r="BY77" s="32"/>
      <c r="BZ77" s="32">
        <v>-761.05827531819057</v>
      </c>
      <c r="CA77" s="32">
        <v>0</v>
      </c>
      <c r="CB77" s="32">
        <v>279.67224308325115</v>
      </c>
      <c r="CC77" s="32">
        <v>-496.05237523436881</v>
      </c>
      <c r="CD77" s="382">
        <v>3.9271975381388002</v>
      </c>
      <c r="CE77" s="32">
        <v>-99.313530287126156</v>
      </c>
      <c r="CF77" s="32">
        <v>4.0291685661275602</v>
      </c>
      <c r="CG77" s="32">
        <v>0</v>
      </c>
      <c r="CH77" s="32">
        <v>4.0291685661275602</v>
      </c>
      <c r="CI77" s="32">
        <v>0.20145789455943236</v>
      </c>
      <c r="CJ77" s="32">
        <v>0</v>
      </c>
      <c r="CK77" s="32">
        <v>0.20145789455943236</v>
      </c>
      <c r="CL77" s="32"/>
      <c r="CM77" s="32">
        <v>0</v>
      </c>
      <c r="CN77" s="32"/>
      <c r="CO77" s="32">
        <v>0</v>
      </c>
      <c r="CP77" s="32">
        <v>0</v>
      </c>
      <c r="CQ77" s="32">
        <v>0</v>
      </c>
      <c r="CR77" s="32">
        <v>0</v>
      </c>
      <c r="CS77" s="32">
        <v>0</v>
      </c>
      <c r="CT77" s="32">
        <v>0</v>
      </c>
      <c r="CU77" s="32">
        <v>0</v>
      </c>
      <c r="CV77" s="32">
        <v>9999</v>
      </c>
      <c r="CW77" s="382">
        <v>9999</v>
      </c>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row>
    <row r="78" spans="1:131">
      <c r="A78" s="11" t="s">
        <v>841</v>
      </c>
      <c r="B78" s="11" t="s">
        <v>841</v>
      </c>
      <c r="C78" s="32">
        <v>11.627906976744185</v>
      </c>
      <c r="D78" s="32">
        <v>666.5</v>
      </c>
      <c r="E78" s="32">
        <v>0</v>
      </c>
      <c r="F78" s="32">
        <v>162.01157721295672</v>
      </c>
      <c r="G78" s="32">
        <v>0</v>
      </c>
      <c r="H78" s="32">
        <v>-154.68188626437851</v>
      </c>
      <c r="I78" s="32" t="s">
        <v>525</v>
      </c>
      <c r="J78" s="32"/>
      <c r="K78" s="32"/>
      <c r="L78" s="32">
        <v>714.55317292247162</v>
      </c>
      <c r="M78" s="32">
        <v>0.16678725092483371</v>
      </c>
      <c r="N78" s="32">
        <v>0.16558345534232982</v>
      </c>
      <c r="O78" s="32">
        <v>0</v>
      </c>
      <c r="P78" s="32">
        <v>0</v>
      </c>
      <c r="Q78" s="32">
        <v>0</v>
      </c>
      <c r="R78" s="32">
        <v>32.307272728269702</v>
      </c>
      <c r="S78" s="32">
        <v>74.657193366588231</v>
      </c>
      <c r="T78" s="32">
        <v>0</v>
      </c>
      <c r="U78" s="32">
        <v>158.0414339889638</v>
      </c>
      <c r="V78" s="32" t="s">
        <v>610</v>
      </c>
      <c r="W78" s="32" t="s">
        <v>610</v>
      </c>
      <c r="X78" s="32" t="s">
        <v>610</v>
      </c>
      <c r="Y78" s="32" t="s">
        <v>610</v>
      </c>
      <c r="Z78" s="32">
        <v>0</v>
      </c>
      <c r="AA78" s="32">
        <v>0</v>
      </c>
      <c r="AB78" s="32">
        <v>0</v>
      </c>
      <c r="AC78" s="32">
        <v>0</v>
      </c>
      <c r="AD78" s="32">
        <v>0</v>
      </c>
      <c r="AE78" s="32">
        <v>0</v>
      </c>
      <c r="AF78" s="32">
        <v>0</v>
      </c>
      <c r="AG78" s="32">
        <v>-154.68188626437851</v>
      </c>
      <c r="AH78" s="32">
        <v>32.307272728269702</v>
      </c>
      <c r="AI78" s="32">
        <v>74.657193366588231</v>
      </c>
      <c r="AJ78" s="32">
        <v>0</v>
      </c>
      <c r="AK78" s="32">
        <v>3.3595477245852976</v>
      </c>
      <c r="AL78" s="32">
        <v>110.32401381944322</v>
      </c>
      <c r="AM78" s="32">
        <v>342.49257979678458</v>
      </c>
      <c r="AN78" s="32">
        <v>58.93402242646107</v>
      </c>
      <c r="AO78" s="32">
        <v>0</v>
      </c>
      <c r="AP78" s="32">
        <v>0</v>
      </c>
      <c r="AQ78" s="32">
        <v>401.42660222324565</v>
      </c>
      <c r="AR78" s="32">
        <v>32.307272728269702</v>
      </c>
      <c r="AS78" s="382">
        <v>12.425270483199498</v>
      </c>
      <c r="AT78" s="32">
        <v>342.49257979678458</v>
      </c>
      <c r="AU78" s="32">
        <v>69.760329058318973</v>
      </c>
      <c r="AV78" s="32">
        <v>0</v>
      </c>
      <c r="AW78" s="32">
        <v>0</v>
      </c>
      <c r="AX78" s="32">
        <v>412.25290885510356</v>
      </c>
      <c r="AY78" s="32">
        <v>74.657193366588231</v>
      </c>
      <c r="AZ78" s="382">
        <v>5.5219449093247253</v>
      </c>
      <c r="BA78" s="32">
        <v>342.49257979678458</v>
      </c>
      <c r="BB78" s="32">
        <v>128.69435148478004</v>
      </c>
      <c r="BC78" s="32">
        <v>0</v>
      </c>
      <c r="BD78" s="32">
        <v>0</v>
      </c>
      <c r="BE78" s="32">
        <v>471.18693128156463</v>
      </c>
      <c r="BF78" s="32">
        <v>106.96446609485793</v>
      </c>
      <c r="BG78" s="32">
        <v>-2.2376543300360527</v>
      </c>
      <c r="BH78" s="382">
        <v>4.4050790742386168</v>
      </c>
      <c r="BI78" s="32">
        <v>3.3268702257213092</v>
      </c>
      <c r="BJ78" s="32">
        <v>7.6878910775370528</v>
      </c>
      <c r="BK78" s="32">
        <v>0</v>
      </c>
      <c r="BL78" s="32">
        <v>0.34595242349356925</v>
      </c>
      <c r="BM78" s="32">
        <v>11.36071372675193</v>
      </c>
      <c r="BN78" s="32">
        <v>342.49257979678458</v>
      </c>
      <c r="BO78" s="32">
        <v>0</v>
      </c>
      <c r="BP78" s="32">
        <v>128.69435148478004</v>
      </c>
      <c r="BQ78" s="32">
        <v>0</v>
      </c>
      <c r="BR78" s="32">
        <v>0</v>
      </c>
      <c r="BS78" s="32">
        <v>0</v>
      </c>
      <c r="BT78" s="32">
        <v>0</v>
      </c>
      <c r="BU78" s="32">
        <v>0</v>
      </c>
      <c r="BV78" s="32">
        <v>0</v>
      </c>
      <c r="BW78" s="32">
        <v>0</v>
      </c>
      <c r="BX78" s="32">
        <v>265.00590008382176</v>
      </c>
      <c r="BY78" s="32"/>
      <c r="BZ78" s="32">
        <v>0</v>
      </c>
      <c r="CA78" s="32">
        <v>-154.68188626437851</v>
      </c>
      <c r="CB78" s="32">
        <v>471.18693128156463</v>
      </c>
      <c r="CC78" s="32">
        <v>110.32401381944325</v>
      </c>
      <c r="CD78" s="382">
        <v>2.3617165404543066</v>
      </c>
      <c r="CE78" s="32">
        <v>-1.8917019065424776</v>
      </c>
      <c r="CF78" s="32">
        <v>6.788273127714926</v>
      </c>
      <c r="CG78" s="32">
        <v>0</v>
      </c>
      <c r="CH78" s="32">
        <v>6.788273127714926</v>
      </c>
      <c r="CI78" s="32">
        <v>0.33941275713817404</v>
      </c>
      <c r="CJ78" s="32">
        <v>0</v>
      </c>
      <c r="CK78" s="32">
        <v>0.33941275713817404</v>
      </c>
      <c r="CL78" s="32"/>
      <c r="CM78" s="32">
        <v>0</v>
      </c>
      <c r="CN78" s="32"/>
      <c r="CO78" s="32">
        <v>0</v>
      </c>
      <c r="CP78" s="32">
        <v>0</v>
      </c>
      <c r="CQ78" s="32">
        <v>0</v>
      </c>
      <c r="CR78" s="32">
        <v>0</v>
      </c>
      <c r="CS78" s="32">
        <v>0</v>
      </c>
      <c r="CT78" s="32">
        <v>0</v>
      </c>
      <c r="CU78" s="32">
        <v>0</v>
      </c>
      <c r="CV78" s="32">
        <v>9999</v>
      </c>
      <c r="CW78" s="382">
        <v>9999</v>
      </c>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row>
    <row r="79" spans="1:131">
      <c r="A79" s="11" t="s">
        <v>842</v>
      </c>
      <c r="B79" s="11" t="s">
        <v>842</v>
      </c>
      <c r="C79" s="32">
        <v>11.627906976744185</v>
      </c>
      <c r="D79" s="32">
        <v>666.5</v>
      </c>
      <c r="E79" s="32">
        <v>0</v>
      </c>
      <c r="F79" s="32">
        <v>162.01157721295672</v>
      </c>
      <c r="G79" s="32">
        <v>-56</v>
      </c>
      <c r="H79" s="32">
        <v>0</v>
      </c>
      <c r="I79" s="32" t="s">
        <v>525</v>
      </c>
      <c r="J79" s="32"/>
      <c r="K79" s="32"/>
      <c r="L79" s="32">
        <v>714.55317292247162</v>
      </c>
      <c r="M79" s="32">
        <v>0.16678725092483371</v>
      </c>
      <c r="N79" s="32">
        <v>0.16558345534232982</v>
      </c>
      <c r="O79" s="32">
        <v>0</v>
      </c>
      <c r="P79" s="32">
        <v>0</v>
      </c>
      <c r="Q79" s="32">
        <v>0</v>
      </c>
      <c r="R79" s="32">
        <v>32.307272728269702</v>
      </c>
      <c r="S79" s="32">
        <v>74.657193366588231</v>
      </c>
      <c r="T79" s="32">
        <v>0</v>
      </c>
      <c r="U79" s="32">
        <v>158.0414339889638</v>
      </c>
      <c r="V79" s="32" t="s">
        <v>610</v>
      </c>
      <c r="W79" s="32" t="s">
        <v>610</v>
      </c>
      <c r="X79" s="32" t="s">
        <v>610</v>
      </c>
      <c r="Y79" s="32" t="s">
        <v>610</v>
      </c>
      <c r="Z79" s="32">
        <v>0</v>
      </c>
      <c r="AA79" s="32">
        <v>0</v>
      </c>
      <c r="AB79" s="32">
        <v>0</v>
      </c>
      <c r="AC79" s="32">
        <v>-761.05827531819057</v>
      </c>
      <c r="AD79" s="32">
        <v>0</v>
      </c>
      <c r="AE79" s="32">
        <v>0</v>
      </c>
      <c r="AF79" s="32">
        <v>0</v>
      </c>
      <c r="AG79" s="32">
        <v>0</v>
      </c>
      <c r="AH79" s="32">
        <v>32.307272728269702</v>
      </c>
      <c r="AI79" s="32">
        <v>74.657193366588231</v>
      </c>
      <c r="AJ79" s="32">
        <v>0</v>
      </c>
      <c r="AK79" s="32">
        <v>-603.01684132922674</v>
      </c>
      <c r="AL79" s="32">
        <v>-496.05237523436881</v>
      </c>
      <c r="AM79" s="32">
        <v>342.49257979678458</v>
      </c>
      <c r="AN79" s="32">
        <v>58.93402242646107</v>
      </c>
      <c r="AO79" s="32">
        <v>0</v>
      </c>
      <c r="AP79" s="32">
        <v>0</v>
      </c>
      <c r="AQ79" s="32">
        <v>401.42660222324565</v>
      </c>
      <c r="AR79" s="32">
        <v>32.307272728269702</v>
      </c>
      <c r="AS79" s="382">
        <v>12.425270483199498</v>
      </c>
      <c r="AT79" s="32">
        <v>342.49257979678458</v>
      </c>
      <c r="AU79" s="32">
        <v>69.760329058318973</v>
      </c>
      <c r="AV79" s="32">
        <v>0</v>
      </c>
      <c r="AW79" s="32">
        <v>0</v>
      </c>
      <c r="AX79" s="32">
        <v>412.25290885510356</v>
      </c>
      <c r="AY79" s="32">
        <v>74.657193366588231</v>
      </c>
      <c r="AZ79" s="382">
        <v>5.5219449093247253</v>
      </c>
      <c r="BA79" s="32">
        <v>342.49257979678458</v>
      </c>
      <c r="BB79" s="32">
        <v>128.69435148478004</v>
      </c>
      <c r="BC79" s="32">
        <v>0</v>
      </c>
      <c r="BD79" s="32">
        <v>0</v>
      </c>
      <c r="BE79" s="32">
        <v>471.18693128156463</v>
      </c>
      <c r="BF79" s="32">
        <v>106.96446609485793</v>
      </c>
      <c r="BG79" s="32">
        <v>-2.2376543300360527</v>
      </c>
      <c r="BH79" s="382">
        <v>4.4050790742386168</v>
      </c>
      <c r="BI79" s="32">
        <v>3.3268702257213092</v>
      </c>
      <c r="BJ79" s="32">
        <v>7.6878910775370528</v>
      </c>
      <c r="BK79" s="32">
        <v>0</v>
      </c>
      <c r="BL79" s="32">
        <v>-62.096197097790757</v>
      </c>
      <c r="BM79" s="32">
        <v>-51.081435794532396</v>
      </c>
      <c r="BN79" s="32">
        <v>342.49257979678458</v>
      </c>
      <c r="BO79" s="32">
        <v>0</v>
      </c>
      <c r="BP79" s="32">
        <v>128.69435148478004</v>
      </c>
      <c r="BQ79" s="32">
        <v>0</v>
      </c>
      <c r="BR79" s="32">
        <v>0</v>
      </c>
      <c r="BS79" s="32">
        <v>0</v>
      </c>
      <c r="BT79" s="32">
        <v>0</v>
      </c>
      <c r="BU79" s="32">
        <v>0</v>
      </c>
      <c r="BV79" s="32">
        <v>0</v>
      </c>
      <c r="BW79" s="32">
        <v>0</v>
      </c>
      <c r="BX79" s="32">
        <v>265.00590008382176</v>
      </c>
      <c r="BY79" s="32"/>
      <c r="BZ79" s="32">
        <v>-761.05827531819057</v>
      </c>
      <c r="CA79" s="32">
        <v>0</v>
      </c>
      <c r="CB79" s="32">
        <v>471.18693128156463</v>
      </c>
      <c r="CC79" s="32">
        <v>-496.05237523436881</v>
      </c>
      <c r="CD79" s="382">
        <v>4.649878384632169</v>
      </c>
      <c r="CE79" s="32">
        <v>-64.333851427826815</v>
      </c>
      <c r="CF79" s="32">
        <v>6.788273127714926</v>
      </c>
      <c r="CG79" s="32">
        <v>0</v>
      </c>
      <c r="CH79" s="32">
        <v>6.788273127714926</v>
      </c>
      <c r="CI79" s="32">
        <v>0.33941275713817404</v>
      </c>
      <c r="CJ79" s="32">
        <v>0</v>
      </c>
      <c r="CK79" s="32">
        <v>0.33941275713817404</v>
      </c>
      <c r="CL79" s="32"/>
      <c r="CM79" s="32">
        <v>0</v>
      </c>
      <c r="CN79" s="32"/>
      <c r="CO79" s="32">
        <v>0</v>
      </c>
      <c r="CP79" s="32">
        <v>0</v>
      </c>
      <c r="CQ79" s="32">
        <v>0</v>
      </c>
      <c r="CR79" s="32">
        <v>0</v>
      </c>
      <c r="CS79" s="32">
        <v>0</v>
      </c>
      <c r="CT79" s="32">
        <v>0</v>
      </c>
      <c r="CU79" s="32">
        <v>0</v>
      </c>
      <c r="CV79" s="32">
        <v>9999</v>
      </c>
      <c r="CW79" s="382">
        <v>9999</v>
      </c>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row>
    <row r="80" spans="1:131">
      <c r="A80" s="11" t="s">
        <v>952</v>
      </c>
      <c r="B80" s="11" t="s">
        <v>952</v>
      </c>
      <c r="C80" s="32">
        <v>11.627906976744185</v>
      </c>
      <c r="D80" s="32">
        <v>1152.4000000000001</v>
      </c>
      <c r="E80" s="32">
        <v>0</v>
      </c>
      <c r="F80" s="32">
        <v>324.02315442591345</v>
      </c>
      <c r="G80" s="32">
        <v>0</v>
      </c>
      <c r="H80" s="32">
        <v>-169.14462831976607</v>
      </c>
      <c r="I80" s="32" t="s">
        <v>525</v>
      </c>
      <c r="J80" s="32"/>
      <c r="K80" s="32"/>
      <c r="L80" s="32">
        <v>1235.4854860853059</v>
      </c>
      <c r="M80" s="32">
        <v>0.28838053708293826</v>
      </c>
      <c r="N80" s="32">
        <v>0.28629913568867355</v>
      </c>
      <c r="O80" s="32">
        <v>0</v>
      </c>
      <c r="P80" s="32">
        <v>0</v>
      </c>
      <c r="Q80" s="32">
        <v>0</v>
      </c>
      <c r="R80" s="32">
        <v>64.614545456539403</v>
      </c>
      <c r="S80" s="32">
        <v>149.31438673317646</v>
      </c>
      <c r="T80" s="32">
        <v>0</v>
      </c>
      <c r="U80" s="32">
        <v>316.08286797792761</v>
      </c>
      <c r="V80" s="32" t="s">
        <v>610</v>
      </c>
      <c r="W80" s="32" t="s">
        <v>610</v>
      </c>
      <c r="X80" s="32" t="s">
        <v>610</v>
      </c>
      <c r="Y80" s="32" t="s">
        <v>610</v>
      </c>
      <c r="Z80" s="32">
        <v>0</v>
      </c>
      <c r="AA80" s="32">
        <v>0</v>
      </c>
      <c r="AB80" s="32">
        <v>0</v>
      </c>
      <c r="AC80" s="32">
        <v>0</v>
      </c>
      <c r="AD80" s="32">
        <v>0</v>
      </c>
      <c r="AE80" s="32">
        <v>0</v>
      </c>
      <c r="AF80" s="32">
        <v>0</v>
      </c>
      <c r="AG80" s="32">
        <v>-169.14462831976607</v>
      </c>
      <c r="AH80" s="32">
        <v>64.614545456539403</v>
      </c>
      <c r="AI80" s="32">
        <v>149.31438673317646</v>
      </c>
      <c r="AJ80" s="32">
        <v>0</v>
      </c>
      <c r="AK80" s="32">
        <v>146.93823965816154</v>
      </c>
      <c r="AL80" s="32">
        <v>360.86717184787739</v>
      </c>
      <c r="AM80" s="32">
        <v>592.18071861637611</v>
      </c>
      <c r="AN80" s="32">
        <v>101.89882587284885</v>
      </c>
      <c r="AO80" s="32">
        <v>0</v>
      </c>
      <c r="AP80" s="32">
        <v>0</v>
      </c>
      <c r="AQ80" s="32">
        <v>694.07954448922499</v>
      </c>
      <c r="AR80" s="32">
        <v>64.614545456539403</v>
      </c>
      <c r="AS80" s="382">
        <v>10.74184674031441</v>
      </c>
      <c r="AT80" s="32">
        <v>592.18071861637611</v>
      </c>
      <c r="AU80" s="32">
        <v>120.61785927502898</v>
      </c>
      <c r="AV80" s="32">
        <v>0</v>
      </c>
      <c r="AW80" s="32">
        <v>0</v>
      </c>
      <c r="AX80" s="32">
        <v>712.7985778914051</v>
      </c>
      <c r="AY80" s="32">
        <v>149.31438673317646</v>
      </c>
      <c r="AZ80" s="382">
        <v>4.7738104377387964</v>
      </c>
      <c r="BA80" s="32">
        <v>592.18071861637611</v>
      </c>
      <c r="BB80" s="32">
        <v>222.51668514787781</v>
      </c>
      <c r="BC80" s="32">
        <v>0</v>
      </c>
      <c r="BD80" s="32">
        <v>0</v>
      </c>
      <c r="BE80" s="32">
        <v>814.69740376425398</v>
      </c>
      <c r="BF80" s="32">
        <v>213.92893218971585</v>
      </c>
      <c r="BG80" s="32">
        <v>-0.51146039445079372</v>
      </c>
      <c r="BH80" s="382">
        <v>3.8082619093417729</v>
      </c>
      <c r="BI80" s="32">
        <v>3.8482454103492749</v>
      </c>
      <c r="BJ80" s="32">
        <v>8.8927098284943504</v>
      </c>
      <c r="BK80" s="32">
        <v>0</v>
      </c>
      <c r="BL80" s="32">
        <v>8.7511937501696746</v>
      </c>
      <c r="BM80" s="32">
        <v>21.492148989013302</v>
      </c>
      <c r="BN80" s="32">
        <v>592.18071861637611</v>
      </c>
      <c r="BO80" s="32">
        <v>0</v>
      </c>
      <c r="BP80" s="32">
        <v>222.51668514787781</v>
      </c>
      <c r="BQ80" s="32">
        <v>0</v>
      </c>
      <c r="BR80" s="32">
        <v>0</v>
      </c>
      <c r="BS80" s="32">
        <v>0</v>
      </c>
      <c r="BT80" s="32">
        <v>0</v>
      </c>
      <c r="BU80" s="32">
        <v>0</v>
      </c>
      <c r="BV80" s="32">
        <v>0</v>
      </c>
      <c r="BW80" s="32">
        <v>0</v>
      </c>
      <c r="BX80" s="32">
        <v>530.01180016764351</v>
      </c>
      <c r="BY80" s="32"/>
      <c r="BZ80" s="32">
        <v>0</v>
      </c>
      <c r="CA80" s="32">
        <v>-169.14462831976607</v>
      </c>
      <c r="CB80" s="32">
        <v>814.69740376425398</v>
      </c>
      <c r="CC80" s="32">
        <v>360.86717184787744</v>
      </c>
      <c r="CD80" s="382">
        <v>1.8562643921754749</v>
      </c>
      <c r="CE80" s="32">
        <v>8.239733355718883</v>
      </c>
      <c r="CF80" s="32">
        <v>11.737143214371596</v>
      </c>
      <c r="CG80" s="32">
        <v>0</v>
      </c>
      <c r="CH80" s="32">
        <v>11.737143214371596</v>
      </c>
      <c r="CI80" s="32">
        <v>0.58685560589052044</v>
      </c>
      <c r="CJ80" s="32">
        <v>0</v>
      </c>
      <c r="CK80" s="32">
        <v>0.58685560589052044</v>
      </c>
      <c r="CL80" s="32"/>
      <c r="CM80" s="32">
        <v>0</v>
      </c>
      <c r="CN80" s="32"/>
      <c r="CO80" s="32">
        <v>0</v>
      </c>
      <c r="CP80" s="32">
        <v>0</v>
      </c>
      <c r="CQ80" s="32">
        <v>0</v>
      </c>
      <c r="CR80" s="32">
        <v>0</v>
      </c>
      <c r="CS80" s="32">
        <v>0</v>
      </c>
      <c r="CT80" s="32">
        <v>0</v>
      </c>
      <c r="CU80" s="32">
        <v>0</v>
      </c>
      <c r="CV80" s="32">
        <v>9999</v>
      </c>
      <c r="CW80" s="382">
        <v>9999</v>
      </c>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row>
    <row r="81" spans="1:131">
      <c r="A81" s="11" t="s">
        <v>953</v>
      </c>
      <c r="B81" s="11" t="s">
        <v>953</v>
      </c>
      <c r="C81" s="32">
        <v>11.627906976744185</v>
      </c>
      <c r="D81" s="32">
        <v>1152.4000000000001</v>
      </c>
      <c r="E81" s="32">
        <v>0</v>
      </c>
      <c r="F81" s="32">
        <v>324.02315442591345</v>
      </c>
      <c r="G81" s="32">
        <v>-56</v>
      </c>
      <c r="H81" s="32">
        <v>0</v>
      </c>
      <c r="I81" s="32" t="s">
        <v>525</v>
      </c>
      <c r="J81" s="32"/>
      <c r="K81" s="32"/>
      <c r="L81" s="32">
        <v>1235.4854860853059</v>
      </c>
      <c r="M81" s="32">
        <v>0.28838053708293826</v>
      </c>
      <c r="N81" s="32">
        <v>0.28629913568867355</v>
      </c>
      <c r="O81" s="32">
        <v>0</v>
      </c>
      <c r="P81" s="32">
        <v>0</v>
      </c>
      <c r="Q81" s="32">
        <v>0</v>
      </c>
      <c r="R81" s="32">
        <v>64.614545456539403</v>
      </c>
      <c r="S81" s="32">
        <v>149.31438673317646</v>
      </c>
      <c r="T81" s="32">
        <v>0</v>
      </c>
      <c r="U81" s="32">
        <v>316.08286797792761</v>
      </c>
      <c r="V81" s="32" t="s">
        <v>610</v>
      </c>
      <c r="W81" s="32" t="s">
        <v>610</v>
      </c>
      <c r="X81" s="32" t="s">
        <v>610</v>
      </c>
      <c r="Y81" s="32" t="s">
        <v>610</v>
      </c>
      <c r="Z81" s="32">
        <v>0</v>
      </c>
      <c r="AA81" s="32">
        <v>0</v>
      </c>
      <c r="AB81" s="32">
        <v>0</v>
      </c>
      <c r="AC81" s="32">
        <v>-761.05827531819057</v>
      </c>
      <c r="AD81" s="32">
        <v>0</v>
      </c>
      <c r="AE81" s="32">
        <v>0</v>
      </c>
      <c r="AF81" s="32">
        <v>0</v>
      </c>
      <c r="AG81" s="32">
        <v>0</v>
      </c>
      <c r="AH81" s="32">
        <v>64.614545456539403</v>
      </c>
      <c r="AI81" s="32">
        <v>149.31438673317646</v>
      </c>
      <c r="AJ81" s="32">
        <v>0</v>
      </c>
      <c r="AK81" s="32">
        <v>-444.97540734026296</v>
      </c>
      <c r="AL81" s="32">
        <v>-231.04647515054711</v>
      </c>
      <c r="AM81" s="32">
        <v>592.18071861637611</v>
      </c>
      <c r="AN81" s="32">
        <v>101.89882587284885</v>
      </c>
      <c r="AO81" s="32">
        <v>0</v>
      </c>
      <c r="AP81" s="32">
        <v>0</v>
      </c>
      <c r="AQ81" s="32">
        <v>694.07954448922499</v>
      </c>
      <c r="AR81" s="32">
        <v>64.614545456539403</v>
      </c>
      <c r="AS81" s="382">
        <v>10.74184674031441</v>
      </c>
      <c r="AT81" s="32">
        <v>592.18071861637611</v>
      </c>
      <c r="AU81" s="32">
        <v>120.61785927502898</v>
      </c>
      <c r="AV81" s="32">
        <v>0</v>
      </c>
      <c r="AW81" s="32">
        <v>0</v>
      </c>
      <c r="AX81" s="32">
        <v>712.7985778914051</v>
      </c>
      <c r="AY81" s="32">
        <v>149.31438673317646</v>
      </c>
      <c r="AZ81" s="382">
        <v>4.7738104377387964</v>
      </c>
      <c r="BA81" s="32">
        <v>592.18071861637611</v>
      </c>
      <c r="BB81" s="32">
        <v>222.51668514787781</v>
      </c>
      <c r="BC81" s="32">
        <v>0</v>
      </c>
      <c r="BD81" s="32">
        <v>0</v>
      </c>
      <c r="BE81" s="32">
        <v>814.69740376425398</v>
      </c>
      <c r="BF81" s="32">
        <v>213.92893218971585</v>
      </c>
      <c r="BG81" s="32">
        <v>-0.51146039445079372</v>
      </c>
      <c r="BH81" s="382">
        <v>3.8082619093417729</v>
      </c>
      <c r="BI81" s="32">
        <v>3.8482454103492749</v>
      </c>
      <c r="BJ81" s="32">
        <v>8.8927098284943504</v>
      </c>
      <c r="BK81" s="32">
        <v>0</v>
      </c>
      <c r="BL81" s="32">
        <v>-26.501379169605578</v>
      </c>
      <c r="BM81" s="32">
        <v>-13.760423930761952</v>
      </c>
      <c r="BN81" s="32">
        <v>592.18071861637611</v>
      </c>
      <c r="BO81" s="32">
        <v>0</v>
      </c>
      <c r="BP81" s="32">
        <v>222.51668514787781</v>
      </c>
      <c r="BQ81" s="32">
        <v>0</v>
      </c>
      <c r="BR81" s="32">
        <v>0</v>
      </c>
      <c r="BS81" s="32">
        <v>0</v>
      </c>
      <c r="BT81" s="32">
        <v>0</v>
      </c>
      <c r="BU81" s="32">
        <v>0</v>
      </c>
      <c r="BV81" s="32">
        <v>0</v>
      </c>
      <c r="BW81" s="32">
        <v>0</v>
      </c>
      <c r="BX81" s="32">
        <v>530.01180016764351</v>
      </c>
      <c r="BY81" s="32"/>
      <c r="BZ81" s="32">
        <v>-761.05827531819057</v>
      </c>
      <c r="CA81" s="32">
        <v>0</v>
      </c>
      <c r="CB81" s="32">
        <v>814.69740376425398</v>
      </c>
      <c r="CC81" s="32">
        <v>-231.04647515054705</v>
      </c>
      <c r="CD81" s="382">
        <v>2.973057729250614</v>
      </c>
      <c r="CE81" s="32">
        <v>-27.012839564056364</v>
      </c>
      <c r="CF81" s="32">
        <v>11.737143214371596</v>
      </c>
      <c r="CG81" s="32">
        <v>0</v>
      </c>
      <c r="CH81" s="32">
        <v>11.737143214371596</v>
      </c>
      <c r="CI81" s="32">
        <v>0.58685560589052044</v>
      </c>
      <c r="CJ81" s="32">
        <v>0</v>
      </c>
      <c r="CK81" s="32">
        <v>0.58685560589052044</v>
      </c>
      <c r="CL81" s="32"/>
      <c r="CM81" s="32">
        <v>0</v>
      </c>
      <c r="CN81" s="32"/>
      <c r="CO81" s="32">
        <v>0</v>
      </c>
      <c r="CP81" s="32">
        <v>0</v>
      </c>
      <c r="CQ81" s="32">
        <v>0</v>
      </c>
      <c r="CR81" s="32">
        <v>0</v>
      </c>
      <c r="CS81" s="32">
        <v>0</v>
      </c>
      <c r="CT81" s="32">
        <v>0</v>
      </c>
      <c r="CU81" s="32">
        <v>0</v>
      </c>
      <c r="CV81" s="32">
        <v>9999</v>
      </c>
      <c r="CW81" s="382">
        <v>9999</v>
      </c>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row>
    <row r="82" spans="1:131">
      <c r="A82" s="11" t="s">
        <v>869</v>
      </c>
      <c r="B82" s="11" t="s">
        <v>869</v>
      </c>
      <c r="C82" s="32">
        <v>11.627906976744185</v>
      </c>
      <c r="D82" s="32">
        <v>2919.7</v>
      </c>
      <c r="E82" s="32">
        <v>0</v>
      </c>
      <c r="F82" s="32">
        <v>972.0694632777404</v>
      </c>
      <c r="G82" s="32">
        <v>0</v>
      </c>
      <c r="H82" s="32">
        <v>-173.22040249614597</v>
      </c>
      <c r="I82" s="32" t="s">
        <v>525</v>
      </c>
      <c r="J82" s="32"/>
      <c r="K82" s="32"/>
      <c r="L82" s="32">
        <v>3130.2038994474719</v>
      </c>
      <c r="M82" s="32">
        <v>0.73063576372878758</v>
      </c>
      <c r="N82" s="32">
        <v>0.72536236243510932</v>
      </c>
      <c r="O82" s="32">
        <v>0</v>
      </c>
      <c r="P82" s="32">
        <v>0</v>
      </c>
      <c r="Q82" s="32">
        <v>0</v>
      </c>
      <c r="R82" s="32">
        <v>193.8436363696182</v>
      </c>
      <c r="S82" s="32">
        <v>447.94316019952942</v>
      </c>
      <c r="T82" s="32">
        <v>0</v>
      </c>
      <c r="U82" s="32">
        <v>948.24860393378299</v>
      </c>
      <c r="V82" s="32" t="s">
        <v>610</v>
      </c>
      <c r="W82" s="32" t="s">
        <v>610</v>
      </c>
      <c r="X82" s="32" t="s">
        <v>610</v>
      </c>
      <c r="Y82" s="32" t="s">
        <v>610</v>
      </c>
      <c r="Z82" s="32">
        <v>0</v>
      </c>
      <c r="AA82" s="32">
        <v>0</v>
      </c>
      <c r="AB82" s="32">
        <v>0</v>
      </c>
      <c r="AC82" s="32">
        <v>0</v>
      </c>
      <c r="AD82" s="32">
        <v>0</v>
      </c>
      <c r="AE82" s="32">
        <v>0</v>
      </c>
      <c r="AF82" s="32">
        <v>0</v>
      </c>
      <c r="AG82" s="32">
        <v>-173.22040249614597</v>
      </c>
      <c r="AH82" s="32">
        <v>193.8436363696182</v>
      </c>
      <c r="AI82" s="32">
        <v>447.94316019952942</v>
      </c>
      <c r="AJ82" s="32">
        <v>0</v>
      </c>
      <c r="AK82" s="32">
        <v>775.02820143763699</v>
      </c>
      <c r="AL82" s="32">
        <v>1416.8149980067847</v>
      </c>
      <c r="AM82" s="32">
        <v>1500.3384624646255</v>
      </c>
      <c r="AN82" s="32">
        <v>258.16904017785203</v>
      </c>
      <c r="AO82" s="32">
        <v>0</v>
      </c>
      <c r="AP82" s="32">
        <v>0</v>
      </c>
      <c r="AQ82" s="32">
        <v>1758.5075026424774</v>
      </c>
      <c r="AR82" s="32">
        <v>193.8436363696182</v>
      </c>
      <c r="AS82" s="382">
        <v>9.0717835033252321</v>
      </c>
      <c r="AT82" s="32">
        <v>1500.3384624646255</v>
      </c>
      <c r="AU82" s="32">
        <v>305.59524793934582</v>
      </c>
      <c r="AV82" s="32">
        <v>0</v>
      </c>
      <c r="AW82" s="32">
        <v>0</v>
      </c>
      <c r="AX82" s="32">
        <v>1805.9337104039714</v>
      </c>
      <c r="AY82" s="32">
        <v>447.94316019952942</v>
      </c>
      <c r="AZ82" s="382">
        <v>4.0316135413241847</v>
      </c>
      <c r="BA82" s="32">
        <v>1500.3384624646255</v>
      </c>
      <c r="BB82" s="32">
        <v>563.76428811719779</v>
      </c>
      <c r="BC82" s="32">
        <v>0</v>
      </c>
      <c r="BD82" s="32">
        <v>0</v>
      </c>
      <c r="BE82" s="32">
        <v>2064.1027505818233</v>
      </c>
      <c r="BF82" s="32">
        <v>641.78679656914755</v>
      </c>
      <c r="BG82" s="32">
        <v>1.8340762842759475</v>
      </c>
      <c r="BH82" s="382">
        <v>3.2161813886107771</v>
      </c>
      <c r="BI82" s="32">
        <v>4.5566852870704242</v>
      </c>
      <c r="BJ82" s="32">
        <v>10.529806630499943</v>
      </c>
      <c r="BK82" s="32">
        <v>0</v>
      </c>
      <c r="BL82" s="32">
        <v>18.218599633684168</v>
      </c>
      <c r="BM82" s="32">
        <v>33.305091551254534</v>
      </c>
      <c r="BN82" s="32">
        <v>1500.3384624646255</v>
      </c>
      <c r="BO82" s="32">
        <v>0</v>
      </c>
      <c r="BP82" s="32">
        <v>563.76428811719779</v>
      </c>
      <c r="BQ82" s="32">
        <v>0</v>
      </c>
      <c r="BR82" s="32">
        <v>0</v>
      </c>
      <c r="BS82" s="32">
        <v>0</v>
      </c>
      <c r="BT82" s="32">
        <v>0</v>
      </c>
      <c r="BU82" s="32">
        <v>0</v>
      </c>
      <c r="BV82" s="32">
        <v>0</v>
      </c>
      <c r="BW82" s="32">
        <v>0</v>
      </c>
      <c r="BX82" s="32">
        <v>1590.0354005029305</v>
      </c>
      <c r="BY82" s="32"/>
      <c r="BZ82" s="32">
        <v>0</v>
      </c>
      <c r="CA82" s="32">
        <v>-173.22040249614597</v>
      </c>
      <c r="CB82" s="32">
        <v>2064.1027505818233</v>
      </c>
      <c r="CC82" s="32">
        <v>1416.8149980067847</v>
      </c>
      <c r="CD82" s="382">
        <v>1.4070901518106458</v>
      </c>
      <c r="CE82" s="32">
        <v>20.052675917960119</v>
      </c>
      <c r="CF82" s="32">
        <v>29.73701583044155</v>
      </c>
      <c r="CG82" s="32">
        <v>0</v>
      </c>
      <c r="CH82" s="32">
        <v>29.73701583044155</v>
      </c>
      <c r="CI82" s="32">
        <v>1.4868468522375493</v>
      </c>
      <c r="CJ82" s="32">
        <v>0</v>
      </c>
      <c r="CK82" s="32">
        <v>1.4868468522375493</v>
      </c>
      <c r="CL82" s="32"/>
      <c r="CM82" s="32">
        <v>0</v>
      </c>
      <c r="CN82" s="32"/>
      <c r="CO82" s="32">
        <v>0</v>
      </c>
      <c r="CP82" s="32">
        <v>0</v>
      </c>
      <c r="CQ82" s="32">
        <v>0</v>
      </c>
      <c r="CR82" s="32">
        <v>0</v>
      </c>
      <c r="CS82" s="32">
        <v>0</v>
      </c>
      <c r="CT82" s="32">
        <v>0</v>
      </c>
      <c r="CU82" s="32">
        <v>0</v>
      </c>
      <c r="CV82" s="32">
        <v>9999</v>
      </c>
      <c r="CW82" s="382">
        <v>9999</v>
      </c>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row>
    <row r="83" spans="1:131">
      <c r="A83" s="11" t="s">
        <v>870</v>
      </c>
      <c r="B83" s="11" t="s">
        <v>870</v>
      </c>
      <c r="C83" s="32">
        <v>11.627906976744185</v>
      </c>
      <c r="D83" s="32">
        <v>2919.7</v>
      </c>
      <c r="E83" s="32">
        <v>0</v>
      </c>
      <c r="F83" s="32">
        <v>972.0694632777404</v>
      </c>
      <c r="G83" s="32">
        <v>-56</v>
      </c>
      <c r="H83" s="32">
        <v>0</v>
      </c>
      <c r="I83" s="32" t="s">
        <v>525</v>
      </c>
      <c r="J83" s="32"/>
      <c r="K83" s="32"/>
      <c r="L83" s="32">
        <v>3130.2038994474719</v>
      </c>
      <c r="M83" s="32">
        <v>0.73063576372878758</v>
      </c>
      <c r="N83" s="32">
        <v>0.72536236243510932</v>
      </c>
      <c r="O83" s="32">
        <v>0</v>
      </c>
      <c r="P83" s="32">
        <v>0</v>
      </c>
      <c r="Q83" s="32">
        <v>0</v>
      </c>
      <c r="R83" s="32">
        <v>193.8436363696182</v>
      </c>
      <c r="S83" s="32">
        <v>447.94316019952942</v>
      </c>
      <c r="T83" s="32">
        <v>0</v>
      </c>
      <c r="U83" s="32">
        <v>948.24860393378299</v>
      </c>
      <c r="V83" s="32" t="s">
        <v>610</v>
      </c>
      <c r="W83" s="32" t="s">
        <v>610</v>
      </c>
      <c r="X83" s="32" t="s">
        <v>610</v>
      </c>
      <c r="Y83" s="32" t="s">
        <v>610</v>
      </c>
      <c r="Z83" s="32">
        <v>0</v>
      </c>
      <c r="AA83" s="32">
        <v>0</v>
      </c>
      <c r="AB83" s="32">
        <v>0</v>
      </c>
      <c r="AC83" s="32">
        <v>-761.05827531819057</v>
      </c>
      <c r="AD83" s="32">
        <v>0</v>
      </c>
      <c r="AE83" s="32">
        <v>0</v>
      </c>
      <c r="AF83" s="32">
        <v>0</v>
      </c>
      <c r="AG83" s="32">
        <v>0</v>
      </c>
      <c r="AH83" s="32">
        <v>193.8436363696182</v>
      </c>
      <c r="AI83" s="32">
        <v>447.94316019952942</v>
      </c>
      <c r="AJ83" s="32">
        <v>0</v>
      </c>
      <c r="AK83" s="32">
        <v>187.19032861559242</v>
      </c>
      <c r="AL83" s="32">
        <v>828.97712518473998</v>
      </c>
      <c r="AM83" s="32">
        <v>1500.3384624646255</v>
      </c>
      <c r="AN83" s="32">
        <v>258.16904017785203</v>
      </c>
      <c r="AO83" s="32">
        <v>0</v>
      </c>
      <c r="AP83" s="32">
        <v>0</v>
      </c>
      <c r="AQ83" s="32">
        <v>1758.5075026424774</v>
      </c>
      <c r="AR83" s="32">
        <v>193.8436363696182</v>
      </c>
      <c r="AS83" s="382">
        <v>9.0717835033252321</v>
      </c>
      <c r="AT83" s="32">
        <v>1500.3384624646255</v>
      </c>
      <c r="AU83" s="32">
        <v>305.59524793934582</v>
      </c>
      <c r="AV83" s="32">
        <v>0</v>
      </c>
      <c r="AW83" s="32">
        <v>0</v>
      </c>
      <c r="AX83" s="32">
        <v>1805.9337104039714</v>
      </c>
      <c r="AY83" s="32">
        <v>447.94316019952942</v>
      </c>
      <c r="AZ83" s="382">
        <v>4.0316135413241847</v>
      </c>
      <c r="BA83" s="32">
        <v>1500.3384624646255</v>
      </c>
      <c r="BB83" s="32">
        <v>563.76428811719779</v>
      </c>
      <c r="BC83" s="32">
        <v>0</v>
      </c>
      <c r="BD83" s="32">
        <v>0</v>
      </c>
      <c r="BE83" s="32">
        <v>2064.1027505818233</v>
      </c>
      <c r="BF83" s="32">
        <v>641.78679656914755</v>
      </c>
      <c r="BG83" s="32">
        <v>1.8340762842759475</v>
      </c>
      <c r="BH83" s="382">
        <v>3.2161813886107771</v>
      </c>
      <c r="BI83" s="32">
        <v>4.5566852870704242</v>
      </c>
      <c r="BJ83" s="32">
        <v>10.529806630499943</v>
      </c>
      <c r="BK83" s="32">
        <v>0</v>
      </c>
      <c r="BL83" s="32">
        <v>4.4002858812353374</v>
      </c>
      <c r="BM83" s="32">
        <v>19.486777798805701</v>
      </c>
      <c r="BN83" s="32">
        <v>1500.3384624646255</v>
      </c>
      <c r="BO83" s="32">
        <v>0</v>
      </c>
      <c r="BP83" s="32">
        <v>563.76428811719779</v>
      </c>
      <c r="BQ83" s="32">
        <v>0</v>
      </c>
      <c r="BR83" s="32">
        <v>0</v>
      </c>
      <c r="BS83" s="32">
        <v>0</v>
      </c>
      <c r="BT83" s="32">
        <v>0</v>
      </c>
      <c r="BU83" s="32">
        <v>0</v>
      </c>
      <c r="BV83" s="32">
        <v>0</v>
      </c>
      <c r="BW83" s="32">
        <v>0</v>
      </c>
      <c r="BX83" s="32">
        <v>1590.0354005029305</v>
      </c>
      <c r="BY83" s="32"/>
      <c r="BZ83" s="32">
        <v>-761.05827531819057</v>
      </c>
      <c r="CA83" s="32">
        <v>0</v>
      </c>
      <c r="CB83" s="32">
        <v>2064.1027505818233</v>
      </c>
      <c r="CC83" s="32">
        <v>828.97712518473998</v>
      </c>
      <c r="CD83" s="382">
        <v>1.7767912745882333</v>
      </c>
      <c r="CE83" s="32">
        <v>6.2343621655112882</v>
      </c>
      <c r="CF83" s="32">
        <v>29.73701583044155</v>
      </c>
      <c r="CG83" s="32">
        <v>0</v>
      </c>
      <c r="CH83" s="32">
        <v>29.73701583044155</v>
      </c>
      <c r="CI83" s="32">
        <v>1.4868468522375493</v>
      </c>
      <c r="CJ83" s="32">
        <v>0</v>
      </c>
      <c r="CK83" s="32">
        <v>1.4868468522375493</v>
      </c>
      <c r="CL83" s="32"/>
      <c r="CM83" s="32">
        <v>0</v>
      </c>
      <c r="CN83" s="32"/>
      <c r="CO83" s="32">
        <v>0</v>
      </c>
      <c r="CP83" s="32">
        <v>0</v>
      </c>
      <c r="CQ83" s="32">
        <v>0</v>
      </c>
      <c r="CR83" s="32">
        <v>0</v>
      </c>
      <c r="CS83" s="32">
        <v>0</v>
      </c>
      <c r="CT83" s="32">
        <v>0</v>
      </c>
      <c r="CU83" s="32">
        <v>0</v>
      </c>
      <c r="CV83" s="32">
        <v>9999</v>
      </c>
      <c r="CW83" s="382">
        <v>9999</v>
      </c>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row>
    <row r="84" spans="1:131">
      <c r="A84" s="11"/>
      <c r="B84" s="1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row>
    <row r="85" spans="1:131">
      <c r="A85" s="11"/>
      <c r="B85" s="11"/>
      <c r="C85" s="32"/>
      <c r="D85" s="32"/>
      <c r="E85" s="32"/>
      <c r="F85" s="32"/>
      <c r="G85" s="32"/>
      <c r="H85" s="32"/>
      <c r="I85" s="32"/>
      <c r="J85" s="32"/>
      <c r="K85" s="32"/>
      <c r="L85" s="32"/>
      <c r="M85" s="32"/>
      <c r="N85" s="32"/>
      <c r="O85" s="32"/>
      <c r="P85" s="32"/>
      <c r="Q85" s="32"/>
      <c r="R85" s="32"/>
      <c r="S85" s="32"/>
      <c r="T85" s="32"/>
      <c r="U85" s="32"/>
      <c r="V85" s="32"/>
      <c r="W85" s="32"/>
      <c r="X85" s="32"/>
      <c r="Y85" s="32"/>
      <c r="Z85" s="32"/>
      <c r="AA85" s="32"/>
      <c r="AB85" s="32"/>
      <c r="AC85" s="32"/>
      <c r="AD85" s="32"/>
      <c r="AE85" s="32"/>
      <c r="AF85" s="32"/>
      <c r="AG85" s="32"/>
      <c r="AH85" s="32"/>
      <c r="AI85" s="32"/>
      <c r="AJ85" s="32"/>
      <c r="AK85" s="32"/>
      <c r="AL85" s="32"/>
      <c r="AM85" s="32"/>
      <c r="AN85" s="32"/>
      <c r="AO85" s="32"/>
      <c r="AP85" s="32"/>
      <c r="AQ85" s="32"/>
      <c r="AR85" s="32"/>
      <c r="AS85" s="32"/>
      <c r="AT85" s="32"/>
      <c r="AU85" s="32"/>
      <c r="AV85" s="32"/>
      <c r="AW85" s="32"/>
      <c r="AX85" s="32"/>
      <c r="AY85" s="32"/>
      <c r="AZ85" s="32"/>
      <c r="BA85" s="32"/>
      <c r="BB85" s="32"/>
      <c r="BC85" s="32"/>
      <c r="BD85" s="32"/>
      <c r="BE85" s="32"/>
      <c r="BF85" s="32"/>
      <c r="BG85" s="32"/>
      <c r="BH85" s="32"/>
      <c r="BI85" s="32"/>
      <c r="BJ85" s="32"/>
      <c r="BK85" s="32"/>
      <c r="BL85" s="32"/>
      <c r="BM85" s="32"/>
      <c r="BN85" s="32"/>
      <c r="BO85" s="32"/>
      <c r="BP85" s="32"/>
      <c r="BQ85" s="32"/>
      <c r="BR85" s="32"/>
      <c r="BS85" s="32"/>
      <c r="BT85" s="32"/>
      <c r="BU85" s="32"/>
      <c r="BV85" s="32"/>
      <c r="BW85" s="32"/>
      <c r="BX85" s="32"/>
      <c r="BY85" s="32"/>
      <c r="BZ85" s="32"/>
      <c r="CA85" s="32"/>
      <c r="CB85" s="32"/>
      <c r="CC85" s="32"/>
      <c r="CD85" s="32"/>
      <c r="CE85" s="32"/>
      <c r="CF85" s="32"/>
      <c r="CG85" s="32"/>
      <c r="CH85" s="32"/>
      <c r="CI85" s="32"/>
      <c r="CJ85" s="32"/>
      <c r="CK85" s="32"/>
      <c r="CL85" s="32"/>
      <c r="CM85" s="32"/>
      <c r="CN85" s="32"/>
      <c r="CO85" s="32"/>
      <c r="CP85" s="32"/>
      <c r="CQ85" s="32"/>
      <c r="CR85" s="32"/>
      <c r="CS85" s="32"/>
      <c r="CT85" s="32"/>
      <c r="CU85" s="32"/>
      <c r="CV85" s="32"/>
      <c r="CW85" s="32"/>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row>
    <row r="86" spans="1:131" ht="13.5" thickBot="1">
      <c r="A86" s="367" t="s">
        <v>611</v>
      </c>
      <c r="B86" s="369"/>
      <c r="C86" s="32"/>
      <c r="D86" s="32"/>
      <c r="E86" s="32"/>
      <c r="F86" s="32"/>
      <c r="G86" s="32"/>
      <c r="H86" s="32"/>
      <c r="I86" s="32"/>
      <c r="J86" s="32"/>
      <c r="K86" s="32"/>
      <c r="L86" s="32"/>
      <c r="M86" s="32"/>
      <c r="N86" s="32"/>
      <c r="O86" s="32"/>
      <c r="P86" s="32"/>
      <c r="Q86" s="32"/>
      <c r="R86" s="32"/>
      <c r="S86" s="32"/>
      <c r="T86" s="32"/>
      <c r="U86" s="32"/>
      <c r="V86" s="32"/>
      <c r="W86" s="32"/>
      <c r="X86" s="32"/>
      <c r="Y86" s="32"/>
      <c r="Z86" s="32"/>
      <c r="AA86" s="32"/>
      <c r="AB86" s="32"/>
      <c r="AC86" s="32"/>
      <c r="AD86" s="32"/>
      <c r="AE86" s="32"/>
      <c r="AF86" s="32"/>
      <c r="AG86" s="32"/>
      <c r="AH86" s="32"/>
      <c r="AI86" s="32"/>
      <c r="AJ86" s="32"/>
      <c r="AK86" s="32"/>
      <c r="AL86" s="32"/>
      <c r="AM86" s="32"/>
      <c r="AN86" s="32"/>
      <c r="AO86" s="32"/>
      <c r="AP86" s="32"/>
      <c r="AQ86" s="32"/>
      <c r="AR86" s="32"/>
      <c r="AS86" s="32"/>
      <c r="AT86" s="32"/>
      <c r="AU86" s="32"/>
      <c r="AV86" s="32"/>
      <c r="AW86" s="32"/>
      <c r="AX86" s="32"/>
      <c r="AY86" s="32"/>
      <c r="AZ86" s="32"/>
      <c r="BA86" s="32"/>
      <c r="BB86" s="32"/>
      <c r="BC86" s="32"/>
      <c r="BD86" s="32"/>
      <c r="BE86" s="32"/>
      <c r="BF86" s="32"/>
      <c r="BG86" s="32"/>
      <c r="BH86" s="32"/>
      <c r="BI86" s="32"/>
      <c r="BJ86" s="32"/>
      <c r="BK86" s="32"/>
      <c r="BL86" s="32"/>
      <c r="BM86" s="32"/>
      <c r="BN86" s="32"/>
      <c r="BO86" s="32"/>
      <c r="BP86" s="32"/>
      <c r="BQ86" s="32"/>
      <c r="BR86" s="32"/>
      <c r="BS86" s="32"/>
      <c r="BT86" s="32"/>
      <c r="BU86" s="32"/>
      <c r="BV86" s="32"/>
      <c r="BW86" s="32"/>
      <c r="BX86" s="32"/>
      <c r="BY86" s="32"/>
      <c r="BZ86" s="32"/>
      <c r="CA86" s="32"/>
      <c r="CB86" s="32"/>
      <c r="CC86" s="32"/>
      <c r="CD86" s="32"/>
      <c r="CE86" s="32"/>
      <c r="CF86" s="32"/>
      <c r="CG86" s="32"/>
      <c r="CH86" s="32"/>
      <c r="CI86" s="32"/>
      <c r="CJ86" s="32"/>
      <c r="CK86" s="32"/>
      <c r="CL86" s="32"/>
      <c r="CM86" s="32"/>
      <c r="CN86" s="32"/>
      <c r="CO86" s="32"/>
      <c r="CP86" s="32"/>
      <c r="CQ86" s="32"/>
      <c r="CR86" s="32"/>
      <c r="CS86" s="32"/>
      <c r="CT86" s="32"/>
      <c r="CU86" s="32"/>
      <c r="CV86" s="32"/>
      <c r="CW86" s="32"/>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row>
    <row r="87" spans="1:131" ht="26.25" thickBot="1">
      <c r="A87" s="372" t="s">
        <v>291</v>
      </c>
      <c r="B87" s="373"/>
      <c r="C87" s="374" t="s">
        <v>292</v>
      </c>
      <c r="D87" s="375"/>
      <c r="E87" s="375"/>
      <c r="F87" s="375"/>
      <c r="G87" s="375"/>
      <c r="H87" s="375"/>
      <c r="I87" s="375"/>
      <c r="J87" s="375"/>
      <c r="K87" s="376"/>
      <c r="L87" s="374" t="s">
        <v>102</v>
      </c>
      <c r="M87" s="375"/>
      <c r="N87" s="375"/>
      <c r="O87" s="375"/>
      <c r="P87" s="375"/>
      <c r="Q87" s="376"/>
      <c r="R87" s="374" t="s">
        <v>293</v>
      </c>
      <c r="S87" s="375"/>
      <c r="T87" s="375"/>
      <c r="U87" s="376"/>
      <c r="V87" s="374" t="s">
        <v>294</v>
      </c>
      <c r="W87" s="375"/>
      <c r="X87" s="375"/>
      <c r="Y87" s="376"/>
      <c r="Z87" s="374" t="s">
        <v>295</v>
      </c>
      <c r="AA87" s="375"/>
      <c r="AB87" s="375"/>
      <c r="AC87" s="376"/>
      <c r="AD87" s="374" t="s">
        <v>296</v>
      </c>
      <c r="AE87" s="375"/>
      <c r="AF87" s="375"/>
      <c r="AG87" s="376"/>
      <c r="AH87" s="374" t="s">
        <v>297</v>
      </c>
      <c r="AI87" s="375"/>
      <c r="AJ87" s="375"/>
      <c r="AK87" s="375"/>
      <c r="AL87" s="376"/>
      <c r="AM87" s="374" t="s">
        <v>298</v>
      </c>
      <c r="AN87" s="375"/>
      <c r="AO87" s="375"/>
      <c r="AP87" s="375"/>
      <c r="AQ87" s="375"/>
      <c r="AR87" s="375"/>
      <c r="AS87" s="376"/>
      <c r="AT87" s="374" t="s">
        <v>299</v>
      </c>
      <c r="AU87" s="375"/>
      <c r="AV87" s="375"/>
      <c r="AW87" s="375"/>
      <c r="AX87" s="375"/>
      <c r="AY87" s="375"/>
      <c r="AZ87" s="376"/>
      <c r="BA87" s="374" t="s">
        <v>300</v>
      </c>
      <c r="BB87" s="375"/>
      <c r="BC87" s="375"/>
      <c r="BD87" s="375"/>
      <c r="BE87" s="375"/>
      <c r="BF87" s="376"/>
      <c r="BG87" s="374" t="s">
        <v>301</v>
      </c>
      <c r="BH87" s="376"/>
      <c r="BI87" s="374" t="s">
        <v>302</v>
      </c>
      <c r="BJ87" s="375"/>
      <c r="BK87" s="375"/>
      <c r="BL87" s="375"/>
      <c r="BM87" s="376"/>
      <c r="BN87" s="374" t="s">
        <v>303</v>
      </c>
      <c r="BO87" s="375"/>
      <c r="BP87" s="375"/>
      <c r="BQ87" s="375"/>
      <c r="BR87" s="375"/>
      <c r="BS87" s="375"/>
      <c r="BT87" s="375"/>
      <c r="BU87" s="375"/>
      <c r="BV87" s="375"/>
      <c r="BW87" s="375"/>
      <c r="BX87" s="375"/>
      <c r="BY87" s="375"/>
      <c r="BZ87" s="375"/>
      <c r="CA87" s="375"/>
      <c r="CB87" s="375"/>
      <c r="CC87" s="376"/>
      <c r="CD87" s="374" t="s">
        <v>304</v>
      </c>
      <c r="CE87" s="376"/>
      <c r="CF87" s="374" t="s">
        <v>305</v>
      </c>
      <c r="CG87" s="375"/>
      <c r="CH87" s="375"/>
      <c r="CI87" s="375"/>
      <c r="CJ87" s="375"/>
      <c r="CK87" s="376"/>
      <c r="CL87" s="377"/>
      <c r="CM87" s="374" t="s">
        <v>15</v>
      </c>
      <c r="CN87" s="375"/>
      <c r="CO87" s="375"/>
      <c r="CP87" s="376"/>
      <c r="CQ87" s="374" t="s">
        <v>306</v>
      </c>
      <c r="CR87" s="375"/>
      <c r="CS87" s="375"/>
      <c r="CT87" s="375"/>
      <c r="CU87" s="376"/>
      <c r="CV87" s="374" t="s">
        <v>307</v>
      </c>
      <c r="CW87" s="376"/>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row>
    <row r="88" spans="1:131" ht="127.5">
      <c r="A88" s="378" t="s">
        <v>308</v>
      </c>
      <c r="B88" s="379" t="s">
        <v>309</v>
      </c>
      <c r="C88" s="380" t="s">
        <v>8</v>
      </c>
      <c r="D88" s="380" t="s">
        <v>310</v>
      </c>
      <c r="E88" s="380" t="s">
        <v>311</v>
      </c>
      <c r="F88" s="380" t="s">
        <v>312</v>
      </c>
      <c r="G88" s="380" t="s">
        <v>313</v>
      </c>
      <c r="H88" s="380" t="s">
        <v>314</v>
      </c>
      <c r="I88" s="380" t="s">
        <v>315</v>
      </c>
      <c r="J88" s="380" t="s">
        <v>316</v>
      </c>
      <c r="K88" s="380" t="s">
        <v>317</v>
      </c>
      <c r="L88" s="380" t="s">
        <v>318</v>
      </c>
      <c r="M88" s="380" t="s">
        <v>319</v>
      </c>
      <c r="N88" s="380" t="s">
        <v>320</v>
      </c>
      <c r="O88" s="380" t="s">
        <v>321</v>
      </c>
      <c r="P88" s="380" t="s">
        <v>322</v>
      </c>
      <c r="Q88" s="380" t="s">
        <v>323</v>
      </c>
      <c r="R88" s="380" t="s">
        <v>324</v>
      </c>
      <c r="S88" s="380" t="s">
        <v>325</v>
      </c>
      <c r="T88" s="380" t="s">
        <v>326</v>
      </c>
      <c r="U88" s="380" t="s">
        <v>327</v>
      </c>
      <c r="V88" s="380" t="s">
        <v>324</v>
      </c>
      <c r="W88" s="380" t="s">
        <v>325</v>
      </c>
      <c r="X88" s="380" t="s">
        <v>326</v>
      </c>
      <c r="Y88" s="380" t="s">
        <v>327</v>
      </c>
      <c r="Z88" s="380" t="s">
        <v>324</v>
      </c>
      <c r="AA88" s="380" t="s">
        <v>325</v>
      </c>
      <c r="AB88" s="380" t="s">
        <v>326</v>
      </c>
      <c r="AC88" s="380" t="s">
        <v>327</v>
      </c>
      <c r="AD88" s="380" t="s">
        <v>324</v>
      </c>
      <c r="AE88" s="380" t="s">
        <v>325</v>
      </c>
      <c r="AF88" s="380" t="s">
        <v>326</v>
      </c>
      <c r="AG88" s="380" t="s">
        <v>327</v>
      </c>
      <c r="AH88" s="380" t="s">
        <v>324</v>
      </c>
      <c r="AI88" s="380" t="s">
        <v>325</v>
      </c>
      <c r="AJ88" s="380" t="s">
        <v>326</v>
      </c>
      <c r="AK88" s="380" t="s">
        <v>327</v>
      </c>
      <c r="AL88" s="380" t="s">
        <v>156</v>
      </c>
      <c r="AM88" s="380" t="s">
        <v>328</v>
      </c>
      <c r="AN88" s="380" t="s">
        <v>329</v>
      </c>
      <c r="AO88" s="380" t="s">
        <v>330</v>
      </c>
      <c r="AP88" s="380" t="s">
        <v>331</v>
      </c>
      <c r="AQ88" s="380" t="s">
        <v>332</v>
      </c>
      <c r="AR88" s="380" t="s">
        <v>333</v>
      </c>
      <c r="AS88" s="380" t="s">
        <v>334</v>
      </c>
      <c r="AT88" s="380" t="s">
        <v>335</v>
      </c>
      <c r="AU88" s="380" t="s">
        <v>336</v>
      </c>
      <c r="AV88" s="380" t="s">
        <v>337</v>
      </c>
      <c r="AW88" s="380" t="s">
        <v>338</v>
      </c>
      <c r="AX88" s="380" t="s">
        <v>339</v>
      </c>
      <c r="AY88" s="380" t="s">
        <v>340</v>
      </c>
      <c r="AZ88" s="380" t="s">
        <v>341</v>
      </c>
      <c r="BA88" s="380" t="s">
        <v>342</v>
      </c>
      <c r="BB88" s="380" t="s">
        <v>343</v>
      </c>
      <c r="BC88" s="380" t="s">
        <v>344</v>
      </c>
      <c r="BD88" s="380" t="s">
        <v>345</v>
      </c>
      <c r="BE88" s="380" t="s">
        <v>346</v>
      </c>
      <c r="BF88" s="380" t="s">
        <v>347</v>
      </c>
      <c r="BG88" s="380" t="s">
        <v>348</v>
      </c>
      <c r="BH88" s="380" t="s">
        <v>349</v>
      </c>
      <c r="BI88" s="380" t="s">
        <v>350</v>
      </c>
      <c r="BJ88" s="380" t="s">
        <v>351</v>
      </c>
      <c r="BK88" s="380" t="s">
        <v>352</v>
      </c>
      <c r="BL88" s="380" t="s">
        <v>353</v>
      </c>
      <c r="BM88" s="380" t="s">
        <v>354</v>
      </c>
      <c r="BN88" s="380" t="s">
        <v>355</v>
      </c>
      <c r="BO88" s="380" t="s">
        <v>356</v>
      </c>
      <c r="BP88" s="380" t="s">
        <v>357</v>
      </c>
      <c r="BQ88" s="380" t="s">
        <v>358</v>
      </c>
      <c r="BR88" s="380" t="s">
        <v>359</v>
      </c>
      <c r="BS88" s="380" t="s">
        <v>360</v>
      </c>
      <c r="BT88" s="380" t="s">
        <v>361</v>
      </c>
      <c r="BU88" s="380" t="s">
        <v>362</v>
      </c>
      <c r="BV88" s="380" t="s">
        <v>363</v>
      </c>
      <c r="BW88" s="380" t="s">
        <v>364</v>
      </c>
      <c r="BX88" s="380" t="s">
        <v>365</v>
      </c>
      <c r="BY88" s="380" t="s">
        <v>366</v>
      </c>
      <c r="BZ88" s="380" t="s">
        <v>367</v>
      </c>
      <c r="CA88" s="380" t="s">
        <v>368</v>
      </c>
      <c r="CB88" s="380" t="s">
        <v>369</v>
      </c>
      <c r="CC88" s="380" t="s">
        <v>370</v>
      </c>
      <c r="CD88" s="380" t="s">
        <v>371</v>
      </c>
      <c r="CE88" s="380" t="s">
        <v>372</v>
      </c>
      <c r="CF88" s="380" t="s">
        <v>373</v>
      </c>
      <c r="CG88" s="380" t="s">
        <v>374</v>
      </c>
      <c r="CH88" s="380" t="s">
        <v>375</v>
      </c>
      <c r="CI88" s="380" t="s">
        <v>607</v>
      </c>
      <c r="CJ88" s="380" t="s">
        <v>608</v>
      </c>
      <c r="CK88" s="380" t="s">
        <v>609</v>
      </c>
      <c r="CL88" s="380"/>
      <c r="CM88" s="380" t="s">
        <v>376</v>
      </c>
      <c r="CN88" s="380" t="s">
        <v>377</v>
      </c>
      <c r="CO88" s="380" t="s">
        <v>378</v>
      </c>
      <c r="CP88" s="380" t="s">
        <v>379</v>
      </c>
      <c r="CQ88" s="380" t="s">
        <v>380</v>
      </c>
      <c r="CR88" s="380" t="s">
        <v>381</v>
      </c>
      <c r="CS88" s="380" t="s">
        <v>382</v>
      </c>
      <c r="CT88" s="380" t="s">
        <v>383</v>
      </c>
      <c r="CU88" s="380" t="s">
        <v>384</v>
      </c>
      <c r="CV88" s="380" t="s">
        <v>385</v>
      </c>
      <c r="CW88" s="380" t="s">
        <v>386</v>
      </c>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row>
    <row r="89" spans="1:131">
      <c r="A89" s="11" t="s">
        <v>526</v>
      </c>
      <c r="B89" s="11"/>
      <c r="C89" s="32">
        <v>11.627906976744185</v>
      </c>
      <c r="D89" s="32">
        <v>339.69999999999993</v>
      </c>
      <c r="E89" s="32">
        <v>0</v>
      </c>
      <c r="F89" s="32">
        <v>-8.5918959509302795</v>
      </c>
      <c r="G89" s="32">
        <v>0</v>
      </c>
      <c r="H89" s="32">
        <v>-148.8813155294643</v>
      </c>
      <c r="I89" s="32"/>
      <c r="J89" s="32"/>
      <c r="K89" s="32"/>
      <c r="L89" s="32">
        <v>364.19161716693708</v>
      </c>
      <c r="M89" s="32">
        <v>8.5007695632657157E-2</v>
      </c>
      <c r="N89" s="32">
        <v>8.4394148206735825E-2</v>
      </c>
      <c r="O89" s="32">
        <v>0</v>
      </c>
      <c r="P89" s="32">
        <v>0</v>
      </c>
      <c r="Q89" s="32">
        <v>0</v>
      </c>
      <c r="R89" s="32">
        <v>-1.713338827476222</v>
      </c>
      <c r="S89" s="32">
        <v>-3.9592654329329573</v>
      </c>
      <c r="T89" s="32">
        <v>0</v>
      </c>
      <c r="U89" s="32">
        <v>-8.3813489142453612</v>
      </c>
      <c r="V89" s="32">
        <v>-0.51551375705581681</v>
      </c>
      <c r="W89" s="32">
        <v>-1.2028654331302391</v>
      </c>
      <c r="X89" s="32">
        <v>0</v>
      </c>
      <c r="Y89" s="32">
        <v>0</v>
      </c>
      <c r="Z89" s="32">
        <v>0</v>
      </c>
      <c r="AA89" s="32">
        <v>0</v>
      </c>
      <c r="AB89" s="32">
        <v>0</v>
      </c>
      <c r="AC89" s="32">
        <v>0</v>
      </c>
      <c r="AD89" s="32">
        <v>0</v>
      </c>
      <c r="AE89" s="32">
        <v>0</v>
      </c>
      <c r="AF89" s="32">
        <v>0</v>
      </c>
      <c r="AG89" s="32">
        <v>-148.8813155294643</v>
      </c>
      <c r="AH89" s="32">
        <v>-2.2288525845320386</v>
      </c>
      <c r="AI89" s="32">
        <v>-5.1621308660631966</v>
      </c>
      <c r="AJ89" s="32">
        <v>0</v>
      </c>
      <c r="AK89" s="32">
        <v>-157.26266444370967</v>
      </c>
      <c r="AL89" s="32">
        <v>-164.6536478943049</v>
      </c>
      <c r="AM89" s="32">
        <v>174.56073421900641</v>
      </c>
      <c r="AN89" s="32">
        <v>30.03734046251887</v>
      </c>
      <c r="AO89" s="32">
        <v>0</v>
      </c>
      <c r="AP89" s="32">
        <v>0</v>
      </c>
      <c r="AQ89" s="32">
        <v>204.59807468152528</v>
      </c>
      <c r="AR89" s="32">
        <v>-2.2288525845320386</v>
      </c>
      <c r="AS89" s="382">
        <v>9999</v>
      </c>
      <c r="AT89" s="32">
        <v>174.56073421900641</v>
      </c>
      <c r="AU89" s="32">
        <v>35.555264487788371</v>
      </c>
      <c r="AV89" s="32">
        <v>0</v>
      </c>
      <c r="AW89" s="32">
        <v>0</v>
      </c>
      <c r="AX89" s="32">
        <v>210.11599870679478</v>
      </c>
      <c r="AY89" s="32">
        <v>-5.1621308660631966</v>
      </c>
      <c r="AZ89" s="382">
        <v>9999</v>
      </c>
      <c r="BA89" s="32">
        <v>174.56073421900641</v>
      </c>
      <c r="BB89" s="32">
        <v>65.592604950307248</v>
      </c>
      <c r="BC89" s="32">
        <v>0</v>
      </c>
      <c r="BD89" s="32">
        <v>0</v>
      </c>
      <c r="BE89" s="32">
        <v>240.15333916931365</v>
      </c>
      <c r="BF89" s="32">
        <v>-7.3909834505952352</v>
      </c>
      <c r="BG89" s="32">
        <v>-14.745699589622935</v>
      </c>
      <c r="BH89" s="382">
        <v>9999</v>
      </c>
      <c r="BI89" s="32">
        <v>-0.45032028927557777</v>
      </c>
      <c r="BJ89" s="32">
        <v>-1.0429636670529443</v>
      </c>
      <c r="BK89" s="32">
        <v>0</v>
      </c>
      <c r="BL89" s="32">
        <v>-31.773554265549709</v>
      </c>
      <c r="BM89" s="32">
        <v>-33.266838221878231</v>
      </c>
      <c r="BN89" s="32">
        <v>174.56073421900641</v>
      </c>
      <c r="BO89" s="32">
        <v>0</v>
      </c>
      <c r="BP89" s="32">
        <v>65.592604950307248</v>
      </c>
      <c r="BQ89" s="32">
        <v>0</v>
      </c>
      <c r="BR89" s="32">
        <v>0</v>
      </c>
      <c r="BS89" s="32">
        <v>0</v>
      </c>
      <c r="BT89" s="32">
        <v>0</v>
      </c>
      <c r="BU89" s="32">
        <v>0</v>
      </c>
      <c r="BV89" s="32">
        <v>0</v>
      </c>
      <c r="BW89" s="32">
        <v>0</v>
      </c>
      <c r="BX89" s="32">
        <v>-14.053953174654541</v>
      </c>
      <c r="BY89" s="32">
        <v>-1.7183791901860559</v>
      </c>
      <c r="BZ89" s="32">
        <v>0</v>
      </c>
      <c r="CA89" s="32">
        <v>-148.8813155294643</v>
      </c>
      <c r="CB89" s="32">
        <v>240.15333916931365</v>
      </c>
      <c r="CC89" s="32">
        <v>-164.6536478943049</v>
      </c>
      <c r="CD89" s="382">
        <v>9999</v>
      </c>
      <c r="CE89" s="32">
        <v>-46.519253855172643</v>
      </c>
      <c r="CF89" s="32">
        <v>3.4598295296095349</v>
      </c>
      <c r="CG89" s="32">
        <v>0</v>
      </c>
      <c r="CH89" s="32">
        <v>3.4598295296095349</v>
      </c>
      <c r="CI89" s="32">
        <v>0.17299101815429513</v>
      </c>
      <c r="CJ89" s="32">
        <v>0</v>
      </c>
      <c r="CK89" s="32">
        <v>0.17299101815429513</v>
      </c>
      <c r="CL89" s="32"/>
      <c r="CM89" s="32">
        <v>0</v>
      </c>
      <c r="CN89" s="32"/>
      <c r="CO89" s="32">
        <v>0</v>
      </c>
      <c r="CP89" s="32">
        <v>0</v>
      </c>
      <c r="CQ89" s="32">
        <v>0</v>
      </c>
      <c r="CR89" s="32">
        <v>0</v>
      </c>
      <c r="CS89" s="32">
        <v>0</v>
      </c>
      <c r="CT89" s="32">
        <v>0</v>
      </c>
      <c r="CU89" s="32">
        <v>0</v>
      </c>
      <c r="CV89" s="32">
        <v>9999</v>
      </c>
      <c r="CW89" s="382">
        <v>9999</v>
      </c>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row>
    <row r="90" spans="1:131">
      <c r="A90" s="11" t="s">
        <v>527</v>
      </c>
      <c r="B90" s="11"/>
      <c r="C90" s="32">
        <v>11.627906976744185</v>
      </c>
      <c r="D90" s="32">
        <v>339.69999999999993</v>
      </c>
      <c r="E90" s="32">
        <v>0</v>
      </c>
      <c r="F90" s="32">
        <v>-8.5918959509302795</v>
      </c>
      <c r="G90" s="32">
        <v>-56</v>
      </c>
      <c r="H90" s="32">
        <v>0</v>
      </c>
      <c r="I90" s="32"/>
      <c r="J90" s="32"/>
      <c r="K90" s="32"/>
      <c r="L90" s="32">
        <v>364.19161716693708</v>
      </c>
      <c r="M90" s="32">
        <v>8.5007695632657157E-2</v>
      </c>
      <c r="N90" s="32">
        <v>8.4394148206735825E-2</v>
      </c>
      <c r="O90" s="32">
        <v>0</v>
      </c>
      <c r="P90" s="32">
        <v>0</v>
      </c>
      <c r="Q90" s="32">
        <v>0</v>
      </c>
      <c r="R90" s="32">
        <v>-1.713338827476222</v>
      </c>
      <c r="S90" s="32">
        <v>-3.9592654329329573</v>
      </c>
      <c r="T90" s="32">
        <v>0</v>
      </c>
      <c r="U90" s="32">
        <v>-8.3813489142453612</v>
      </c>
      <c r="V90" s="32">
        <v>-0.51551375705581681</v>
      </c>
      <c r="W90" s="32">
        <v>-1.2028654331302391</v>
      </c>
      <c r="X90" s="32">
        <v>0</v>
      </c>
      <c r="Y90" s="32">
        <v>0</v>
      </c>
      <c r="Z90" s="32">
        <v>0</v>
      </c>
      <c r="AA90" s="32">
        <v>0</v>
      </c>
      <c r="AB90" s="32">
        <v>0</v>
      </c>
      <c r="AC90" s="32">
        <v>-761.05827531819057</v>
      </c>
      <c r="AD90" s="32">
        <v>0</v>
      </c>
      <c r="AE90" s="32">
        <v>0</v>
      </c>
      <c r="AF90" s="32">
        <v>0</v>
      </c>
      <c r="AG90" s="32">
        <v>0</v>
      </c>
      <c r="AH90" s="32">
        <v>-2.2288525845320386</v>
      </c>
      <c r="AI90" s="32">
        <v>-5.1621308660631966</v>
      </c>
      <c r="AJ90" s="32">
        <v>0</v>
      </c>
      <c r="AK90" s="32">
        <v>-769.4396242324359</v>
      </c>
      <c r="AL90" s="32">
        <v>-776.83060768303119</v>
      </c>
      <c r="AM90" s="32">
        <v>174.56073421900641</v>
      </c>
      <c r="AN90" s="32">
        <v>30.03734046251887</v>
      </c>
      <c r="AO90" s="32">
        <v>0</v>
      </c>
      <c r="AP90" s="32">
        <v>0</v>
      </c>
      <c r="AQ90" s="32">
        <v>204.59807468152528</v>
      </c>
      <c r="AR90" s="32">
        <v>-2.2288525845320386</v>
      </c>
      <c r="AS90" s="382">
        <v>9999</v>
      </c>
      <c r="AT90" s="32">
        <v>174.56073421900641</v>
      </c>
      <c r="AU90" s="32">
        <v>35.555264487788371</v>
      </c>
      <c r="AV90" s="32">
        <v>0</v>
      </c>
      <c r="AW90" s="32">
        <v>0</v>
      </c>
      <c r="AX90" s="32">
        <v>210.11599870679478</v>
      </c>
      <c r="AY90" s="32">
        <v>-5.1621308660631966</v>
      </c>
      <c r="AZ90" s="382">
        <v>9999</v>
      </c>
      <c r="BA90" s="32">
        <v>174.56073421900641</v>
      </c>
      <c r="BB90" s="32">
        <v>65.592604950307248</v>
      </c>
      <c r="BC90" s="32">
        <v>0</v>
      </c>
      <c r="BD90" s="32">
        <v>0</v>
      </c>
      <c r="BE90" s="32">
        <v>240.15333916931365</v>
      </c>
      <c r="BF90" s="32">
        <v>-7.3909834505952352</v>
      </c>
      <c r="BG90" s="32">
        <v>-14.745699589622935</v>
      </c>
      <c r="BH90" s="382">
        <v>9999</v>
      </c>
      <c r="BI90" s="32">
        <v>-0.45032028927557777</v>
      </c>
      <c r="BJ90" s="32">
        <v>-1.0429636670529443</v>
      </c>
      <c r="BK90" s="32">
        <v>0</v>
      </c>
      <c r="BL90" s="32">
        <v>-155.45858733281412</v>
      </c>
      <c r="BM90" s="32">
        <v>-156.95187128914264</v>
      </c>
      <c r="BN90" s="32">
        <v>174.56073421900641</v>
      </c>
      <c r="BO90" s="32">
        <v>0</v>
      </c>
      <c r="BP90" s="32">
        <v>65.592604950307248</v>
      </c>
      <c r="BQ90" s="32">
        <v>0</v>
      </c>
      <c r="BR90" s="32">
        <v>0</v>
      </c>
      <c r="BS90" s="32">
        <v>0</v>
      </c>
      <c r="BT90" s="32">
        <v>0</v>
      </c>
      <c r="BU90" s="32">
        <v>0</v>
      </c>
      <c r="BV90" s="32">
        <v>0</v>
      </c>
      <c r="BW90" s="32">
        <v>0</v>
      </c>
      <c r="BX90" s="32">
        <v>-14.053953174654541</v>
      </c>
      <c r="BY90" s="32">
        <v>-1.7183791901860559</v>
      </c>
      <c r="BZ90" s="32">
        <v>-761.05827531819057</v>
      </c>
      <c r="CA90" s="32">
        <v>0</v>
      </c>
      <c r="CB90" s="32">
        <v>240.15333916931365</v>
      </c>
      <c r="CC90" s="32">
        <v>-776.83060768303119</v>
      </c>
      <c r="CD90" s="382">
        <v>9999</v>
      </c>
      <c r="CE90" s="32">
        <v>-170.20428692243706</v>
      </c>
      <c r="CF90" s="32">
        <v>3.4598295296095349</v>
      </c>
      <c r="CG90" s="32">
        <v>0</v>
      </c>
      <c r="CH90" s="32">
        <v>3.4598295296095349</v>
      </c>
      <c r="CI90" s="32">
        <v>0.17299101815429513</v>
      </c>
      <c r="CJ90" s="32">
        <v>0</v>
      </c>
      <c r="CK90" s="32">
        <v>0.17299101815429513</v>
      </c>
      <c r="CL90" s="32"/>
      <c r="CM90" s="32">
        <v>0</v>
      </c>
      <c r="CN90" s="32"/>
      <c r="CO90" s="32">
        <v>0</v>
      </c>
      <c r="CP90" s="32">
        <v>0</v>
      </c>
      <c r="CQ90" s="32">
        <v>0</v>
      </c>
      <c r="CR90" s="32">
        <v>0</v>
      </c>
      <c r="CS90" s="32">
        <v>0</v>
      </c>
      <c r="CT90" s="32">
        <v>0</v>
      </c>
      <c r="CU90" s="32">
        <v>0</v>
      </c>
      <c r="CV90" s="32">
        <v>9999</v>
      </c>
      <c r="CW90" s="382">
        <v>9999</v>
      </c>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row>
    <row r="91" spans="1:131">
      <c r="A91" s="11" t="s">
        <v>528</v>
      </c>
      <c r="B91" s="11"/>
      <c r="C91" s="32">
        <v>11.627906976744185</v>
      </c>
      <c r="D91" s="32">
        <v>270.89999999999998</v>
      </c>
      <c r="E91" s="32">
        <v>0</v>
      </c>
      <c r="F91" s="32">
        <v>-8.5918959509302795</v>
      </c>
      <c r="G91" s="32">
        <v>0</v>
      </c>
      <c r="H91" s="32">
        <v>-148.8813155294643</v>
      </c>
      <c r="I91" s="32"/>
      <c r="J91" s="32"/>
      <c r="K91" s="32"/>
      <c r="L91" s="32">
        <v>290.43128963945617</v>
      </c>
      <c r="M91" s="32">
        <v>6.7790947150093692E-2</v>
      </c>
      <c r="N91" s="32">
        <v>6.7301662493979217E-2</v>
      </c>
      <c r="O91" s="32">
        <v>0</v>
      </c>
      <c r="P91" s="32">
        <v>0</v>
      </c>
      <c r="Q91" s="32">
        <v>0</v>
      </c>
      <c r="R91" s="32">
        <v>-1.713338827476222</v>
      </c>
      <c r="S91" s="32">
        <v>-3.9592654329329573</v>
      </c>
      <c r="T91" s="32">
        <v>0</v>
      </c>
      <c r="U91" s="32">
        <v>-8.3813489142453612</v>
      </c>
      <c r="V91" s="32">
        <v>-0.51551375705581681</v>
      </c>
      <c r="W91" s="32">
        <v>-1.2028654331302391</v>
      </c>
      <c r="X91" s="32">
        <v>0</v>
      </c>
      <c r="Y91" s="32">
        <v>0</v>
      </c>
      <c r="Z91" s="32">
        <v>0</v>
      </c>
      <c r="AA91" s="32">
        <v>0</v>
      </c>
      <c r="AB91" s="32">
        <v>0</v>
      </c>
      <c r="AC91" s="32">
        <v>0</v>
      </c>
      <c r="AD91" s="32">
        <v>0</v>
      </c>
      <c r="AE91" s="32">
        <v>0</v>
      </c>
      <c r="AF91" s="32">
        <v>0</v>
      </c>
      <c r="AG91" s="32">
        <v>-148.8813155294643</v>
      </c>
      <c r="AH91" s="32">
        <v>-2.2288525845320386</v>
      </c>
      <c r="AI91" s="32">
        <v>-5.1621308660631966</v>
      </c>
      <c r="AJ91" s="32">
        <v>0</v>
      </c>
      <c r="AK91" s="32">
        <v>-157.26266444370967</v>
      </c>
      <c r="AL91" s="32">
        <v>-164.6536478943049</v>
      </c>
      <c r="AM91" s="32">
        <v>139.20666146578981</v>
      </c>
      <c r="AN91" s="32">
        <v>23.953828470109986</v>
      </c>
      <c r="AO91" s="32">
        <v>0</v>
      </c>
      <c r="AP91" s="32">
        <v>0</v>
      </c>
      <c r="AQ91" s="32">
        <v>163.16048993589979</v>
      </c>
      <c r="AR91" s="32">
        <v>-2.2288525845320386</v>
      </c>
      <c r="AS91" s="382">
        <v>9999</v>
      </c>
      <c r="AT91" s="32">
        <v>139.20666146578981</v>
      </c>
      <c r="AU91" s="32">
        <v>28.354198262413522</v>
      </c>
      <c r="AV91" s="32">
        <v>0</v>
      </c>
      <c r="AW91" s="32">
        <v>0</v>
      </c>
      <c r="AX91" s="32">
        <v>167.56085972820333</v>
      </c>
      <c r="AY91" s="32">
        <v>-5.1621308660631966</v>
      </c>
      <c r="AZ91" s="382">
        <v>9999</v>
      </c>
      <c r="BA91" s="32">
        <v>139.20666146578981</v>
      </c>
      <c r="BB91" s="32">
        <v>52.308026732523508</v>
      </c>
      <c r="BC91" s="32">
        <v>0</v>
      </c>
      <c r="BD91" s="32">
        <v>0</v>
      </c>
      <c r="BE91" s="32">
        <v>191.51468819831331</v>
      </c>
      <c r="BF91" s="32">
        <v>-7.3909834505952352</v>
      </c>
      <c r="BG91" s="32">
        <v>-15.124946308690497</v>
      </c>
      <c r="BH91" s="382">
        <v>9999</v>
      </c>
      <c r="BI91" s="32">
        <v>-0.56468734686937527</v>
      </c>
      <c r="BJ91" s="32">
        <v>-1.3078433285267077</v>
      </c>
      <c r="BK91" s="32">
        <v>0</v>
      </c>
      <c r="BL91" s="32">
        <v>-39.843028364736931</v>
      </c>
      <c r="BM91" s="32">
        <v>-41.715559040133016</v>
      </c>
      <c r="BN91" s="32">
        <v>139.20666146578981</v>
      </c>
      <c r="BO91" s="32">
        <v>0</v>
      </c>
      <c r="BP91" s="32">
        <v>52.308026732523508</v>
      </c>
      <c r="BQ91" s="32">
        <v>0</v>
      </c>
      <c r="BR91" s="32">
        <v>0</v>
      </c>
      <c r="BS91" s="32">
        <v>0</v>
      </c>
      <c r="BT91" s="32">
        <v>0</v>
      </c>
      <c r="BU91" s="32">
        <v>0</v>
      </c>
      <c r="BV91" s="32">
        <v>0</v>
      </c>
      <c r="BW91" s="32">
        <v>0</v>
      </c>
      <c r="BX91" s="32">
        <v>-14.053953174654541</v>
      </c>
      <c r="BY91" s="32">
        <v>-1.7183791901860559</v>
      </c>
      <c r="BZ91" s="32">
        <v>0</v>
      </c>
      <c r="CA91" s="32">
        <v>-148.8813155294643</v>
      </c>
      <c r="CB91" s="32">
        <v>191.51468819831331</v>
      </c>
      <c r="CC91" s="32">
        <v>-164.6536478943049</v>
      </c>
      <c r="CD91" s="382">
        <v>9999</v>
      </c>
      <c r="CE91" s="32">
        <v>-54.967974673427442</v>
      </c>
      <c r="CF91" s="32">
        <v>2.7591045615873551</v>
      </c>
      <c r="CG91" s="32">
        <v>0</v>
      </c>
      <c r="CH91" s="32">
        <v>2.7591045615873551</v>
      </c>
      <c r="CI91" s="32">
        <v>0.13795486257874173</v>
      </c>
      <c r="CJ91" s="32">
        <v>0</v>
      </c>
      <c r="CK91" s="32">
        <v>0.13795486257874173</v>
      </c>
      <c r="CL91" s="32"/>
      <c r="CM91" s="32">
        <v>0</v>
      </c>
      <c r="CN91" s="32"/>
      <c r="CO91" s="32">
        <v>0</v>
      </c>
      <c r="CP91" s="32">
        <v>0</v>
      </c>
      <c r="CQ91" s="32">
        <v>0</v>
      </c>
      <c r="CR91" s="32">
        <v>0</v>
      </c>
      <c r="CS91" s="32">
        <v>0</v>
      </c>
      <c r="CT91" s="32">
        <v>0</v>
      </c>
      <c r="CU91" s="32">
        <v>0</v>
      </c>
      <c r="CV91" s="32">
        <v>9999</v>
      </c>
      <c r="CW91" s="382">
        <v>9999</v>
      </c>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row>
    <row r="92" spans="1:131">
      <c r="A92" s="11" t="s">
        <v>529</v>
      </c>
      <c r="B92" s="11"/>
      <c r="C92" s="32">
        <v>11.627906976744185</v>
      </c>
      <c r="D92" s="32">
        <v>270.89999999999998</v>
      </c>
      <c r="E92" s="32">
        <v>0</v>
      </c>
      <c r="F92" s="32">
        <v>-8.5918959509302795</v>
      </c>
      <c r="G92" s="32">
        <v>-56</v>
      </c>
      <c r="H92" s="32">
        <v>0</v>
      </c>
      <c r="I92" s="32"/>
      <c r="J92" s="32"/>
      <c r="K92" s="32"/>
      <c r="L92" s="32">
        <v>290.43128963945617</v>
      </c>
      <c r="M92" s="32">
        <v>6.7790947150093692E-2</v>
      </c>
      <c r="N92" s="32">
        <v>6.7301662493979217E-2</v>
      </c>
      <c r="O92" s="32">
        <v>0</v>
      </c>
      <c r="P92" s="32">
        <v>0</v>
      </c>
      <c r="Q92" s="32">
        <v>0</v>
      </c>
      <c r="R92" s="32">
        <v>-1.713338827476222</v>
      </c>
      <c r="S92" s="32">
        <v>-3.9592654329329573</v>
      </c>
      <c r="T92" s="32">
        <v>0</v>
      </c>
      <c r="U92" s="32">
        <v>-8.3813489142453612</v>
      </c>
      <c r="V92" s="32">
        <v>-0.51551375705581681</v>
      </c>
      <c r="W92" s="32">
        <v>-1.2028654331302391</v>
      </c>
      <c r="X92" s="32">
        <v>0</v>
      </c>
      <c r="Y92" s="32">
        <v>0</v>
      </c>
      <c r="Z92" s="32">
        <v>0</v>
      </c>
      <c r="AA92" s="32">
        <v>0</v>
      </c>
      <c r="AB92" s="32">
        <v>0</v>
      </c>
      <c r="AC92" s="32">
        <v>-761.05827531819057</v>
      </c>
      <c r="AD92" s="32">
        <v>0</v>
      </c>
      <c r="AE92" s="32">
        <v>0</v>
      </c>
      <c r="AF92" s="32">
        <v>0</v>
      </c>
      <c r="AG92" s="32">
        <v>0</v>
      </c>
      <c r="AH92" s="32">
        <v>-2.2288525845320386</v>
      </c>
      <c r="AI92" s="32">
        <v>-5.1621308660631966</v>
      </c>
      <c r="AJ92" s="32">
        <v>0</v>
      </c>
      <c r="AK92" s="32">
        <v>-769.4396242324359</v>
      </c>
      <c r="AL92" s="32">
        <v>-776.83060768303119</v>
      </c>
      <c r="AM92" s="32">
        <v>139.20666146578981</v>
      </c>
      <c r="AN92" s="32">
        <v>23.953828470109986</v>
      </c>
      <c r="AO92" s="32">
        <v>0</v>
      </c>
      <c r="AP92" s="32">
        <v>0</v>
      </c>
      <c r="AQ92" s="32">
        <v>163.16048993589979</v>
      </c>
      <c r="AR92" s="32">
        <v>-2.2288525845320386</v>
      </c>
      <c r="AS92" s="382">
        <v>9999</v>
      </c>
      <c r="AT92" s="32">
        <v>139.20666146578981</v>
      </c>
      <c r="AU92" s="32">
        <v>28.354198262413522</v>
      </c>
      <c r="AV92" s="32">
        <v>0</v>
      </c>
      <c r="AW92" s="32">
        <v>0</v>
      </c>
      <c r="AX92" s="32">
        <v>167.56085972820333</v>
      </c>
      <c r="AY92" s="32">
        <v>-5.1621308660631966</v>
      </c>
      <c r="AZ92" s="382">
        <v>9999</v>
      </c>
      <c r="BA92" s="32">
        <v>139.20666146578981</v>
      </c>
      <c r="BB92" s="32">
        <v>52.308026732523508</v>
      </c>
      <c r="BC92" s="32">
        <v>0</v>
      </c>
      <c r="BD92" s="32">
        <v>0</v>
      </c>
      <c r="BE92" s="32">
        <v>191.51468819831331</v>
      </c>
      <c r="BF92" s="32">
        <v>-7.3909834505952352</v>
      </c>
      <c r="BG92" s="32">
        <v>-15.124946308690497</v>
      </c>
      <c r="BH92" s="382">
        <v>9999</v>
      </c>
      <c r="BI92" s="32">
        <v>-0.56468734686937527</v>
      </c>
      <c r="BJ92" s="32">
        <v>-1.3078433285267077</v>
      </c>
      <c r="BK92" s="32">
        <v>0</v>
      </c>
      <c r="BL92" s="32">
        <v>-194.94013332210025</v>
      </c>
      <c r="BM92" s="32">
        <v>-196.81266399749634</v>
      </c>
      <c r="BN92" s="32">
        <v>139.20666146578981</v>
      </c>
      <c r="BO92" s="32">
        <v>0</v>
      </c>
      <c r="BP92" s="32">
        <v>52.308026732523508</v>
      </c>
      <c r="BQ92" s="32">
        <v>0</v>
      </c>
      <c r="BR92" s="32">
        <v>0</v>
      </c>
      <c r="BS92" s="32">
        <v>0</v>
      </c>
      <c r="BT92" s="32">
        <v>0</v>
      </c>
      <c r="BU92" s="32">
        <v>0</v>
      </c>
      <c r="BV92" s="32">
        <v>0</v>
      </c>
      <c r="BW92" s="32">
        <v>0</v>
      </c>
      <c r="BX92" s="32">
        <v>-14.053953174654541</v>
      </c>
      <c r="BY92" s="32">
        <v>-1.7183791901860559</v>
      </c>
      <c r="BZ92" s="32">
        <v>-761.05827531819057</v>
      </c>
      <c r="CA92" s="32">
        <v>0</v>
      </c>
      <c r="CB92" s="32">
        <v>191.51468819831331</v>
      </c>
      <c r="CC92" s="32">
        <v>-776.83060768303119</v>
      </c>
      <c r="CD92" s="382">
        <v>9999</v>
      </c>
      <c r="CE92" s="32">
        <v>-210.06507963079073</v>
      </c>
      <c r="CF92" s="32">
        <v>2.7591045615873551</v>
      </c>
      <c r="CG92" s="32">
        <v>0</v>
      </c>
      <c r="CH92" s="32">
        <v>2.7591045615873551</v>
      </c>
      <c r="CI92" s="32">
        <v>0.13795486257874173</v>
      </c>
      <c r="CJ92" s="32">
        <v>0</v>
      </c>
      <c r="CK92" s="32">
        <v>0.13795486257874173</v>
      </c>
      <c r="CL92" s="32"/>
      <c r="CM92" s="32">
        <v>0</v>
      </c>
      <c r="CN92" s="32"/>
      <c r="CO92" s="32">
        <v>0</v>
      </c>
      <c r="CP92" s="32">
        <v>0</v>
      </c>
      <c r="CQ92" s="32">
        <v>0</v>
      </c>
      <c r="CR92" s="32">
        <v>0</v>
      </c>
      <c r="CS92" s="32">
        <v>0</v>
      </c>
      <c r="CT92" s="32">
        <v>0</v>
      </c>
      <c r="CU92" s="32">
        <v>0</v>
      </c>
      <c r="CV92" s="32">
        <v>9999</v>
      </c>
      <c r="CW92" s="382">
        <v>9999</v>
      </c>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row>
    <row r="93" spans="1:131">
      <c r="A93" s="11" t="s">
        <v>838</v>
      </c>
      <c r="B93" s="11"/>
      <c r="C93" s="32">
        <v>11.627906976744185</v>
      </c>
      <c r="D93" s="32">
        <v>666.5</v>
      </c>
      <c r="E93" s="32">
        <v>0</v>
      </c>
      <c r="F93" s="32">
        <v>2.0115772129567233</v>
      </c>
      <c r="G93" s="32">
        <v>-56</v>
      </c>
      <c r="H93" s="32">
        <v>0</v>
      </c>
      <c r="I93" s="32"/>
      <c r="J93" s="32"/>
      <c r="K93" s="32"/>
      <c r="L93" s="32">
        <v>714.55317292247162</v>
      </c>
      <c r="M93" s="32">
        <v>0.16678725092483371</v>
      </c>
      <c r="N93" s="32">
        <v>0.16558345534232982</v>
      </c>
      <c r="O93" s="32">
        <v>0</v>
      </c>
      <c r="P93" s="32">
        <v>0</v>
      </c>
      <c r="Q93" s="32">
        <v>0</v>
      </c>
      <c r="R93" s="32">
        <v>0.40113536792213955</v>
      </c>
      <c r="S93" s="32">
        <v>0.92696282292301724</v>
      </c>
      <c r="T93" s="32">
        <v>0</v>
      </c>
      <c r="U93" s="32">
        <v>1.962282898445723</v>
      </c>
      <c r="V93" s="32">
        <v>0.1206946327774034</v>
      </c>
      <c r="W93" s="32">
        <v>0.28162080981394128</v>
      </c>
      <c r="X93" s="32">
        <v>0</v>
      </c>
      <c r="Y93" s="32">
        <v>0</v>
      </c>
      <c r="Z93" s="32">
        <v>0</v>
      </c>
      <c r="AA93" s="32">
        <v>0</v>
      </c>
      <c r="AB93" s="32">
        <v>0</v>
      </c>
      <c r="AC93" s="32">
        <v>-761.05827531819057</v>
      </c>
      <c r="AD93" s="32">
        <v>0</v>
      </c>
      <c r="AE93" s="32">
        <v>0</v>
      </c>
      <c r="AF93" s="32">
        <v>0</v>
      </c>
      <c r="AG93" s="32">
        <v>0</v>
      </c>
      <c r="AH93" s="32">
        <v>0.521830000699543</v>
      </c>
      <c r="AI93" s="32">
        <v>1.2085836327369586</v>
      </c>
      <c r="AJ93" s="32">
        <v>0</v>
      </c>
      <c r="AK93" s="32">
        <v>-759.09599241974479</v>
      </c>
      <c r="AL93" s="32">
        <v>-757.36557878630833</v>
      </c>
      <c r="AM93" s="32">
        <v>342.49257979678458</v>
      </c>
      <c r="AN93" s="32">
        <v>58.93402242646107</v>
      </c>
      <c r="AO93" s="32">
        <v>0</v>
      </c>
      <c r="AP93" s="32">
        <v>0</v>
      </c>
      <c r="AQ93" s="32">
        <v>401.42660222324565</v>
      </c>
      <c r="AR93" s="32">
        <v>0.521830000699543</v>
      </c>
      <c r="AS93" s="382">
        <v>769.26700589293512</v>
      </c>
      <c r="AT93" s="32">
        <v>342.49257979678458</v>
      </c>
      <c r="AU93" s="32">
        <v>69.760329058318973</v>
      </c>
      <c r="AV93" s="32">
        <v>0</v>
      </c>
      <c r="AW93" s="32">
        <v>0</v>
      </c>
      <c r="AX93" s="32">
        <v>412.25290885510356</v>
      </c>
      <c r="AY93" s="32">
        <v>1.2085836327369586</v>
      </c>
      <c r="AZ93" s="382">
        <v>341.10416332671622</v>
      </c>
      <c r="BA93" s="32">
        <v>342.49257979678458</v>
      </c>
      <c r="BB93" s="32">
        <v>128.69435148478004</v>
      </c>
      <c r="BC93" s="32">
        <v>0</v>
      </c>
      <c r="BD93" s="32">
        <v>0</v>
      </c>
      <c r="BE93" s="32">
        <v>471.18693128156463</v>
      </c>
      <c r="BF93" s="32">
        <v>1.7304136334365015</v>
      </c>
      <c r="BG93" s="32">
        <v>-13.074224745945859</v>
      </c>
      <c r="BH93" s="382">
        <v>272.29728324886958</v>
      </c>
      <c r="BI93" s="32">
        <v>5.373590976920628E-2</v>
      </c>
      <c r="BJ93" s="32">
        <v>0.12445497757934795</v>
      </c>
      <c r="BK93" s="32">
        <v>0</v>
      </c>
      <c r="BL93" s="32">
        <v>-78.168586896405372</v>
      </c>
      <c r="BM93" s="32">
        <v>-77.990396009056809</v>
      </c>
      <c r="BN93" s="32">
        <v>342.49257979678458</v>
      </c>
      <c r="BO93" s="32">
        <v>0</v>
      </c>
      <c r="BP93" s="32">
        <v>128.69435148478004</v>
      </c>
      <c r="BQ93" s="32">
        <v>0</v>
      </c>
      <c r="BR93" s="32">
        <v>0</v>
      </c>
      <c r="BS93" s="32">
        <v>0</v>
      </c>
      <c r="BT93" s="32">
        <v>0</v>
      </c>
      <c r="BU93" s="32">
        <v>0</v>
      </c>
      <c r="BV93" s="32">
        <v>0</v>
      </c>
      <c r="BW93" s="32">
        <v>0</v>
      </c>
      <c r="BX93" s="32">
        <v>3.2903810892908796</v>
      </c>
      <c r="BY93" s="32">
        <v>0.40231544259134466</v>
      </c>
      <c r="BZ93" s="32">
        <v>-761.05827531819057</v>
      </c>
      <c r="CA93" s="32">
        <v>0</v>
      </c>
      <c r="CB93" s="32">
        <v>471.18693128156463</v>
      </c>
      <c r="CC93" s="32">
        <v>-757.36557878630833</v>
      </c>
      <c r="CD93" s="382">
        <v>333.69793481828867</v>
      </c>
      <c r="CE93" s="32">
        <v>-91.242811642351228</v>
      </c>
      <c r="CF93" s="32">
        <v>6.788273127714926</v>
      </c>
      <c r="CG93" s="32">
        <v>0</v>
      </c>
      <c r="CH93" s="32">
        <v>6.788273127714926</v>
      </c>
      <c r="CI93" s="32">
        <v>0.33941275713817404</v>
      </c>
      <c r="CJ93" s="32">
        <v>0</v>
      </c>
      <c r="CK93" s="32">
        <v>0.33941275713817404</v>
      </c>
      <c r="CL93" s="32"/>
      <c r="CM93" s="32">
        <v>0</v>
      </c>
      <c r="CN93" s="32"/>
      <c r="CO93" s="32">
        <v>0</v>
      </c>
      <c r="CP93" s="32">
        <v>0</v>
      </c>
      <c r="CQ93" s="32">
        <v>0</v>
      </c>
      <c r="CR93" s="32">
        <v>0</v>
      </c>
      <c r="CS93" s="32">
        <v>0</v>
      </c>
      <c r="CT93" s="32">
        <v>0</v>
      </c>
      <c r="CU93" s="32">
        <v>0</v>
      </c>
      <c r="CV93" s="32">
        <v>9999</v>
      </c>
      <c r="CW93" s="382">
        <v>9999</v>
      </c>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row>
    <row r="94" spans="1:131">
      <c r="A94" s="11" t="s">
        <v>836</v>
      </c>
      <c r="B94" s="11"/>
      <c r="C94" s="32">
        <v>11.627906976744185</v>
      </c>
      <c r="D94" s="32">
        <v>395.6</v>
      </c>
      <c r="E94" s="32">
        <v>0</v>
      </c>
      <c r="F94" s="32">
        <v>2.0115772129567233</v>
      </c>
      <c r="G94" s="32">
        <v>-56</v>
      </c>
      <c r="H94" s="32">
        <v>0</v>
      </c>
      <c r="I94" s="32"/>
      <c r="J94" s="32"/>
      <c r="K94" s="32"/>
      <c r="L94" s="32">
        <v>424.12188328301545</v>
      </c>
      <c r="M94" s="32">
        <v>9.8996303774740002E-2</v>
      </c>
      <c r="N94" s="32">
        <v>9.8281792848350619E-2</v>
      </c>
      <c r="O94" s="32">
        <v>0</v>
      </c>
      <c r="P94" s="32">
        <v>0</v>
      </c>
      <c r="Q94" s="32">
        <v>0</v>
      </c>
      <c r="R94" s="32">
        <v>0.40113536792213955</v>
      </c>
      <c r="S94" s="32">
        <v>0.92696282292301724</v>
      </c>
      <c r="T94" s="32">
        <v>0</v>
      </c>
      <c r="U94" s="32">
        <v>1.962282898445723</v>
      </c>
      <c r="V94" s="32">
        <v>0.1206946327774034</v>
      </c>
      <c r="W94" s="32">
        <v>0.28162080981394128</v>
      </c>
      <c r="X94" s="32">
        <v>0</v>
      </c>
      <c r="Y94" s="32">
        <v>0</v>
      </c>
      <c r="Z94" s="32">
        <v>0</v>
      </c>
      <c r="AA94" s="32">
        <v>0</v>
      </c>
      <c r="AB94" s="32">
        <v>0</v>
      </c>
      <c r="AC94" s="32">
        <v>-761.05827531819057</v>
      </c>
      <c r="AD94" s="32">
        <v>0</v>
      </c>
      <c r="AE94" s="32">
        <v>0</v>
      </c>
      <c r="AF94" s="32">
        <v>0</v>
      </c>
      <c r="AG94" s="32">
        <v>0</v>
      </c>
      <c r="AH94" s="32">
        <v>0.521830000699543</v>
      </c>
      <c r="AI94" s="32">
        <v>1.2085836327369586</v>
      </c>
      <c r="AJ94" s="32">
        <v>0</v>
      </c>
      <c r="AK94" s="32">
        <v>-759.09599241974479</v>
      </c>
      <c r="AL94" s="32">
        <v>-757.36557878630833</v>
      </c>
      <c r="AM94" s="32">
        <v>203.28591833099458</v>
      </c>
      <c r="AN94" s="32">
        <v>34.980193956351101</v>
      </c>
      <c r="AO94" s="32">
        <v>0</v>
      </c>
      <c r="AP94" s="32">
        <v>0</v>
      </c>
      <c r="AQ94" s="32">
        <v>238.26611228734566</v>
      </c>
      <c r="AR94" s="32">
        <v>0.521830000699543</v>
      </c>
      <c r="AS94" s="382">
        <v>456.59719059451601</v>
      </c>
      <c r="AT94" s="32">
        <v>203.28591833099458</v>
      </c>
      <c r="AU94" s="32">
        <v>41.406130795905469</v>
      </c>
      <c r="AV94" s="32">
        <v>0</v>
      </c>
      <c r="AW94" s="32">
        <v>0</v>
      </c>
      <c r="AX94" s="32">
        <v>244.69204912690003</v>
      </c>
      <c r="AY94" s="32">
        <v>1.2085836327369586</v>
      </c>
      <c r="AZ94" s="382">
        <v>202.46182597456695</v>
      </c>
      <c r="BA94" s="32">
        <v>203.28591833099458</v>
      </c>
      <c r="BB94" s="32">
        <v>76.38632475225657</v>
      </c>
      <c r="BC94" s="32">
        <v>0</v>
      </c>
      <c r="BD94" s="32">
        <v>0</v>
      </c>
      <c r="BE94" s="32">
        <v>279.67224308325115</v>
      </c>
      <c r="BF94" s="32">
        <v>1.7304136334365015</v>
      </c>
      <c r="BG94" s="32">
        <v>-12.952202725261527</v>
      </c>
      <c r="BH94" s="382">
        <v>161.62161328319993</v>
      </c>
      <c r="BI94" s="32">
        <v>9.0533326241597531E-2</v>
      </c>
      <c r="BJ94" s="32">
        <v>0.20967958179129273</v>
      </c>
      <c r="BK94" s="32">
        <v>0</v>
      </c>
      <c r="BL94" s="32">
        <v>-131.6970757493786</v>
      </c>
      <c r="BM94" s="32">
        <v>-131.39686284134572</v>
      </c>
      <c r="BN94" s="32">
        <v>203.28591833099458</v>
      </c>
      <c r="BO94" s="32">
        <v>0</v>
      </c>
      <c r="BP94" s="32">
        <v>76.38632475225657</v>
      </c>
      <c r="BQ94" s="32">
        <v>0</v>
      </c>
      <c r="BR94" s="32">
        <v>0</v>
      </c>
      <c r="BS94" s="32">
        <v>0</v>
      </c>
      <c r="BT94" s="32">
        <v>0</v>
      </c>
      <c r="BU94" s="32">
        <v>0</v>
      </c>
      <c r="BV94" s="32">
        <v>0</v>
      </c>
      <c r="BW94" s="32">
        <v>0</v>
      </c>
      <c r="BX94" s="32">
        <v>3.2903810892908796</v>
      </c>
      <c r="BY94" s="32">
        <v>0.40231544259134466</v>
      </c>
      <c r="BZ94" s="32">
        <v>-761.05827531819057</v>
      </c>
      <c r="CA94" s="32">
        <v>0</v>
      </c>
      <c r="CB94" s="32">
        <v>279.67224308325115</v>
      </c>
      <c r="CC94" s="32">
        <v>-757.36557878630833</v>
      </c>
      <c r="CD94" s="382">
        <v>281.83483517151228</v>
      </c>
      <c r="CE94" s="32">
        <v>-144.64927847464017</v>
      </c>
      <c r="CF94" s="32">
        <v>4.0291685661275602</v>
      </c>
      <c r="CG94" s="32">
        <v>0</v>
      </c>
      <c r="CH94" s="32">
        <v>4.0291685661275602</v>
      </c>
      <c r="CI94" s="32">
        <v>0.20145789455943236</v>
      </c>
      <c r="CJ94" s="32">
        <v>0</v>
      </c>
      <c r="CK94" s="32">
        <v>0.20145789455943236</v>
      </c>
      <c r="CL94" s="32"/>
      <c r="CM94" s="32">
        <v>0</v>
      </c>
      <c r="CN94" s="32"/>
      <c r="CO94" s="32">
        <v>0</v>
      </c>
      <c r="CP94" s="32">
        <v>0</v>
      </c>
      <c r="CQ94" s="32">
        <v>0</v>
      </c>
      <c r="CR94" s="32">
        <v>0</v>
      </c>
      <c r="CS94" s="32">
        <v>0</v>
      </c>
      <c r="CT94" s="32">
        <v>0</v>
      </c>
      <c r="CU94" s="32">
        <v>0</v>
      </c>
      <c r="CV94" s="32">
        <v>9999</v>
      </c>
      <c r="CW94" s="382">
        <v>9999</v>
      </c>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row>
    <row r="95" spans="1:131">
      <c r="A95" s="11" t="s">
        <v>837</v>
      </c>
      <c r="B95" s="11"/>
      <c r="C95" s="32">
        <v>11.627906976744185</v>
      </c>
      <c r="D95" s="32">
        <v>666.5</v>
      </c>
      <c r="E95" s="32">
        <v>0</v>
      </c>
      <c r="F95" s="32">
        <v>2.0115772129567233</v>
      </c>
      <c r="G95" s="32">
        <v>0</v>
      </c>
      <c r="H95" s="32">
        <v>-154.68188626437851</v>
      </c>
      <c r="I95" s="32"/>
      <c r="J95" s="32"/>
      <c r="K95" s="32"/>
      <c r="L95" s="32">
        <v>714.55317292247162</v>
      </c>
      <c r="M95" s="32">
        <v>0.16678725092483371</v>
      </c>
      <c r="N95" s="32">
        <v>0.16558345534232982</v>
      </c>
      <c r="O95" s="32">
        <v>0</v>
      </c>
      <c r="P95" s="32">
        <v>0</v>
      </c>
      <c r="Q95" s="32">
        <v>0</v>
      </c>
      <c r="R95" s="32">
        <v>0.40113536792213955</v>
      </c>
      <c r="S95" s="32">
        <v>0.92696282292301724</v>
      </c>
      <c r="T95" s="32">
        <v>0</v>
      </c>
      <c r="U95" s="32">
        <v>1.962282898445723</v>
      </c>
      <c r="V95" s="32">
        <v>0.1206946327774034</v>
      </c>
      <c r="W95" s="32">
        <v>0.28162080981394128</v>
      </c>
      <c r="X95" s="32">
        <v>0</v>
      </c>
      <c r="Y95" s="32">
        <v>0</v>
      </c>
      <c r="Z95" s="32">
        <v>0</v>
      </c>
      <c r="AA95" s="32">
        <v>0</v>
      </c>
      <c r="AB95" s="32">
        <v>0</v>
      </c>
      <c r="AC95" s="32">
        <v>0</v>
      </c>
      <c r="AD95" s="32">
        <v>0</v>
      </c>
      <c r="AE95" s="32">
        <v>0</v>
      </c>
      <c r="AF95" s="32">
        <v>0</v>
      </c>
      <c r="AG95" s="32">
        <v>-154.68188626437851</v>
      </c>
      <c r="AH95" s="32">
        <v>0.521830000699543</v>
      </c>
      <c r="AI95" s="32">
        <v>1.2085836327369586</v>
      </c>
      <c r="AJ95" s="32">
        <v>0</v>
      </c>
      <c r="AK95" s="32">
        <v>-152.71960336593278</v>
      </c>
      <c r="AL95" s="32">
        <v>-150.98918973249627</v>
      </c>
      <c r="AM95" s="32">
        <v>342.49257979678458</v>
      </c>
      <c r="AN95" s="32">
        <v>58.93402242646107</v>
      </c>
      <c r="AO95" s="32">
        <v>0</v>
      </c>
      <c r="AP95" s="32">
        <v>0</v>
      </c>
      <c r="AQ95" s="32">
        <v>401.42660222324565</v>
      </c>
      <c r="AR95" s="32">
        <v>0.521830000699543</v>
      </c>
      <c r="AS95" s="382">
        <v>769.26700589293512</v>
      </c>
      <c r="AT95" s="32">
        <v>342.49257979678458</v>
      </c>
      <c r="AU95" s="32">
        <v>69.760329058318973</v>
      </c>
      <c r="AV95" s="32">
        <v>0</v>
      </c>
      <c r="AW95" s="32">
        <v>0</v>
      </c>
      <c r="AX95" s="32">
        <v>412.25290885510356</v>
      </c>
      <c r="AY95" s="32">
        <v>1.2085836327369586</v>
      </c>
      <c r="AZ95" s="382">
        <v>341.10416332671622</v>
      </c>
      <c r="BA95" s="32">
        <v>342.49257979678458</v>
      </c>
      <c r="BB95" s="32">
        <v>128.69435148478004</v>
      </c>
      <c r="BC95" s="32">
        <v>0</v>
      </c>
      <c r="BD95" s="32">
        <v>0</v>
      </c>
      <c r="BE95" s="32">
        <v>471.18693128156463</v>
      </c>
      <c r="BF95" s="32">
        <v>1.7304136334365015</v>
      </c>
      <c r="BG95" s="32">
        <v>-13.074224745945859</v>
      </c>
      <c r="BH95" s="382">
        <v>272.29728324886958</v>
      </c>
      <c r="BI95" s="32">
        <v>5.373590976920628E-2</v>
      </c>
      <c r="BJ95" s="32">
        <v>0.12445497757934795</v>
      </c>
      <c r="BK95" s="32">
        <v>0</v>
      </c>
      <c r="BL95" s="32">
        <v>-15.72643737512105</v>
      </c>
      <c r="BM95" s="32">
        <v>-15.548246487772493</v>
      </c>
      <c r="BN95" s="32">
        <v>342.49257979678458</v>
      </c>
      <c r="BO95" s="32">
        <v>0</v>
      </c>
      <c r="BP95" s="32">
        <v>128.69435148478004</v>
      </c>
      <c r="BQ95" s="32">
        <v>0</v>
      </c>
      <c r="BR95" s="32">
        <v>0</v>
      </c>
      <c r="BS95" s="32">
        <v>0</v>
      </c>
      <c r="BT95" s="32">
        <v>0</v>
      </c>
      <c r="BU95" s="32">
        <v>0</v>
      </c>
      <c r="BV95" s="32">
        <v>0</v>
      </c>
      <c r="BW95" s="32">
        <v>0</v>
      </c>
      <c r="BX95" s="32">
        <v>3.2903810892908796</v>
      </c>
      <c r="BY95" s="32">
        <v>0.40231544259134466</v>
      </c>
      <c r="BZ95" s="32">
        <v>0</v>
      </c>
      <c r="CA95" s="32">
        <v>-154.68188626437851</v>
      </c>
      <c r="CB95" s="32">
        <v>471.18693128156463</v>
      </c>
      <c r="CC95" s="32">
        <v>-150.98918973249627</v>
      </c>
      <c r="CD95" s="382">
        <v>169.48828915191905</v>
      </c>
      <c r="CE95" s="32">
        <v>-28.800662121066907</v>
      </c>
      <c r="CF95" s="32">
        <v>6.788273127714926</v>
      </c>
      <c r="CG95" s="32">
        <v>0</v>
      </c>
      <c r="CH95" s="32">
        <v>6.788273127714926</v>
      </c>
      <c r="CI95" s="32">
        <v>0.33941275713817404</v>
      </c>
      <c r="CJ95" s="32">
        <v>0</v>
      </c>
      <c r="CK95" s="32">
        <v>0.33941275713817404</v>
      </c>
      <c r="CL95" s="32"/>
      <c r="CM95" s="32">
        <v>0</v>
      </c>
      <c r="CN95" s="32"/>
      <c r="CO95" s="32">
        <v>0</v>
      </c>
      <c r="CP95" s="32">
        <v>0</v>
      </c>
      <c r="CQ95" s="32">
        <v>0</v>
      </c>
      <c r="CR95" s="32">
        <v>0</v>
      </c>
      <c r="CS95" s="32">
        <v>0</v>
      </c>
      <c r="CT95" s="32">
        <v>0</v>
      </c>
      <c r="CU95" s="32">
        <v>0</v>
      </c>
      <c r="CV95" s="32">
        <v>9999</v>
      </c>
      <c r="CW95" s="382">
        <v>9999</v>
      </c>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row>
    <row r="96" spans="1:131">
      <c r="A96" s="11" t="s">
        <v>835</v>
      </c>
      <c r="B96" s="11"/>
      <c r="C96" s="32">
        <v>11.627906976744185</v>
      </c>
      <c r="D96" s="32">
        <v>395.6</v>
      </c>
      <c r="E96" s="32">
        <v>0</v>
      </c>
      <c r="F96" s="32">
        <v>2.0115772129567233</v>
      </c>
      <c r="G96" s="32">
        <v>0</v>
      </c>
      <c r="H96" s="32">
        <v>-154.68188626437851</v>
      </c>
      <c r="I96" s="32"/>
      <c r="J96" s="32"/>
      <c r="K96" s="32"/>
      <c r="L96" s="32">
        <v>424.12188328301545</v>
      </c>
      <c r="M96" s="32">
        <v>9.8996303774740002E-2</v>
      </c>
      <c r="N96" s="32">
        <v>9.8281792848350619E-2</v>
      </c>
      <c r="O96" s="32">
        <v>0</v>
      </c>
      <c r="P96" s="32">
        <v>0</v>
      </c>
      <c r="Q96" s="32">
        <v>0</v>
      </c>
      <c r="R96" s="32">
        <v>0.40113536792213955</v>
      </c>
      <c r="S96" s="32">
        <v>0.92696282292301724</v>
      </c>
      <c r="T96" s="32">
        <v>0</v>
      </c>
      <c r="U96" s="32">
        <v>1.962282898445723</v>
      </c>
      <c r="V96" s="32">
        <v>0.1206946327774034</v>
      </c>
      <c r="W96" s="32">
        <v>0.28162080981394128</v>
      </c>
      <c r="X96" s="32">
        <v>0</v>
      </c>
      <c r="Y96" s="32">
        <v>0</v>
      </c>
      <c r="Z96" s="32">
        <v>0</v>
      </c>
      <c r="AA96" s="32">
        <v>0</v>
      </c>
      <c r="AB96" s="32">
        <v>0</v>
      </c>
      <c r="AC96" s="32">
        <v>0</v>
      </c>
      <c r="AD96" s="32">
        <v>0</v>
      </c>
      <c r="AE96" s="32">
        <v>0</v>
      </c>
      <c r="AF96" s="32">
        <v>0</v>
      </c>
      <c r="AG96" s="32">
        <v>-154.68188626437851</v>
      </c>
      <c r="AH96" s="32">
        <v>0.521830000699543</v>
      </c>
      <c r="AI96" s="32">
        <v>1.2085836327369586</v>
      </c>
      <c r="AJ96" s="32">
        <v>0</v>
      </c>
      <c r="AK96" s="32">
        <v>-152.71960336593278</v>
      </c>
      <c r="AL96" s="32">
        <v>-150.98918973249627</v>
      </c>
      <c r="AM96" s="32">
        <v>203.28591833099458</v>
      </c>
      <c r="AN96" s="32">
        <v>34.980193956351101</v>
      </c>
      <c r="AO96" s="32">
        <v>0</v>
      </c>
      <c r="AP96" s="32">
        <v>0</v>
      </c>
      <c r="AQ96" s="32">
        <v>238.26611228734566</v>
      </c>
      <c r="AR96" s="32">
        <v>0.521830000699543</v>
      </c>
      <c r="AS96" s="382">
        <v>456.59719059451601</v>
      </c>
      <c r="AT96" s="32">
        <v>203.28591833099458</v>
      </c>
      <c r="AU96" s="32">
        <v>41.406130795905469</v>
      </c>
      <c r="AV96" s="32">
        <v>0</v>
      </c>
      <c r="AW96" s="32">
        <v>0</v>
      </c>
      <c r="AX96" s="32">
        <v>244.69204912690003</v>
      </c>
      <c r="AY96" s="32">
        <v>1.2085836327369586</v>
      </c>
      <c r="AZ96" s="382">
        <v>202.46182597456695</v>
      </c>
      <c r="BA96" s="32">
        <v>203.28591833099458</v>
      </c>
      <c r="BB96" s="32">
        <v>76.38632475225657</v>
      </c>
      <c r="BC96" s="32">
        <v>0</v>
      </c>
      <c r="BD96" s="32">
        <v>0</v>
      </c>
      <c r="BE96" s="32">
        <v>279.67224308325115</v>
      </c>
      <c r="BF96" s="32">
        <v>1.7304136334365015</v>
      </c>
      <c r="BG96" s="32">
        <v>-12.952202725261527</v>
      </c>
      <c r="BH96" s="382">
        <v>161.62161328319993</v>
      </c>
      <c r="BI96" s="32">
        <v>9.0533326241597531E-2</v>
      </c>
      <c r="BJ96" s="32">
        <v>0.20967958179129273</v>
      </c>
      <c r="BK96" s="32">
        <v>0</v>
      </c>
      <c r="BL96" s="32">
        <v>-26.495628186345247</v>
      </c>
      <c r="BM96" s="32">
        <v>-26.195415278312353</v>
      </c>
      <c r="BN96" s="32">
        <v>203.28591833099458</v>
      </c>
      <c r="BO96" s="32">
        <v>0</v>
      </c>
      <c r="BP96" s="32">
        <v>76.38632475225657</v>
      </c>
      <c r="BQ96" s="32">
        <v>0</v>
      </c>
      <c r="BR96" s="32">
        <v>0</v>
      </c>
      <c r="BS96" s="32">
        <v>0</v>
      </c>
      <c r="BT96" s="32">
        <v>0</v>
      </c>
      <c r="BU96" s="32">
        <v>0</v>
      </c>
      <c r="BV96" s="32">
        <v>0</v>
      </c>
      <c r="BW96" s="32">
        <v>0</v>
      </c>
      <c r="BX96" s="32">
        <v>3.2903810892908796</v>
      </c>
      <c r="BY96" s="32">
        <v>0.40231544259134466</v>
      </c>
      <c r="BZ96" s="32">
        <v>0</v>
      </c>
      <c r="CA96" s="32">
        <v>-154.68188626437851</v>
      </c>
      <c r="CB96" s="32">
        <v>279.67224308325115</v>
      </c>
      <c r="CC96" s="32">
        <v>-150.98918973249627</v>
      </c>
      <c r="CD96" s="382">
        <v>117.62518950514266</v>
      </c>
      <c r="CE96" s="32">
        <v>-39.447830911606765</v>
      </c>
      <c r="CF96" s="32">
        <v>4.0291685661275602</v>
      </c>
      <c r="CG96" s="32">
        <v>0</v>
      </c>
      <c r="CH96" s="32">
        <v>4.0291685661275602</v>
      </c>
      <c r="CI96" s="32">
        <v>0.20145789455943236</v>
      </c>
      <c r="CJ96" s="32">
        <v>0</v>
      </c>
      <c r="CK96" s="32">
        <v>0.20145789455943236</v>
      </c>
      <c r="CL96" s="32"/>
      <c r="CM96" s="32">
        <v>0</v>
      </c>
      <c r="CN96" s="32"/>
      <c r="CO96" s="32">
        <v>0</v>
      </c>
      <c r="CP96" s="32">
        <v>0</v>
      </c>
      <c r="CQ96" s="32">
        <v>0</v>
      </c>
      <c r="CR96" s="32">
        <v>0</v>
      </c>
      <c r="CS96" s="32">
        <v>0</v>
      </c>
      <c r="CT96" s="32">
        <v>0</v>
      </c>
      <c r="CU96" s="32">
        <v>0</v>
      </c>
      <c r="CV96" s="32">
        <v>9999</v>
      </c>
      <c r="CW96" s="382">
        <v>9999</v>
      </c>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row>
    <row r="97" spans="1:131">
      <c r="A97" s="11" t="s">
        <v>951</v>
      </c>
      <c r="B97" s="11"/>
      <c r="C97" s="32">
        <v>11.627906976744185</v>
      </c>
      <c r="D97" s="32">
        <v>1152.4000000000001</v>
      </c>
      <c r="E97" s="32">
        <v>0</v>
      </c>
      <c r="F97" s="32">
        <v>134.02315442591345</v>
      </c>
      <c r="G97" s="32">
        <v>-56</v>
      </c>
      <c r="H97" s="32">
        <v>0</v>
      </c>
      <c r="I97" s="32"/>
      <c r="J97" s="32"/>
      <c r="K97" s="32"/>
      <c r="L97" s="32">
        <v>1235.4854860853059</v>
      </c>
      <c r="M97" s="32">
        <v>0.28838053708293826</v>
      </c>
      <c r="N97" s="32">
        <v>0.28629913568867355</v>
      </c>
      <c r="O97" s="32">
        <v>0</v>
      </c>
      <c r="P97" s="32">
        <v>0</v>
      </c>
      <c r="Q97" s="32">
        <v>0</v>
      </c>
      <c r="R97" s="32">
        <v>26.726007341126671</v>
      </c>
      <c r="S97" s="32">
        <v>61.759737962574029</v>
      </c>
      <c r="T97" s="32">
        <v>0</v>
      </c>
      <c r="U97" s="32">
        <v>130.73887605793738</v>
      </c>
      <c r="V97" s="32">
        <v>8.0413892655548072</v>
      </c>
      <c r="W97" s="32">
        <v>18.763241619627884</v>
      </c>
      <c r="X97" s="32">
        <v>0</v>
      </c>
      <c r="Y97" s="32">
        <v>0</v>
      </c>
      <c r="Z97" s="32">
        <v>0</v>
      </c>
      <c r="AA97" s="32">
        <v>0</v>
      </c>
      <c r="AB97" s="32">
        <v>0</v>
      </c>
      <c r="AC97" s="32">
        <v>-761.05827531819057</v>
      </c>
      <c r="AD97" s="32">
        <v>0</v>
      </c>
      <c r="AE97" s="32">
        <v>0</v>
      </c>
      <c r="AF97" s="32">
        <v>0</v>
      </c>
      <c r="AG97" s="32">
        <v>0</v>
      </c>
      <c r="AH97" s="32">
        <v>34.76739660668148</v>
      </c>
      <c r="AI97" s="32">
        <v>80.522979582201913</v>
      </c>
      <c r="AJ97" s="32">
        <v>0</v>
      </c>
      <c r="AK97" s="32">
        <v>-630.31939926025325</v>
      </c>
      <c r="AL97" s="32">
        <v>-515.02902307136981</v>
      </c>
      <c r="AM97" s="32">
        <v>592.18071861637611</v>
      </c>
      <c r="AN97" s="32">
        <v>101.89882587284885</v>
      </c>
      <c r="AO97" s="32">
        <v>0</v>
      </c>
      <c r="AP97" s="32">
        <v>0</v>
      </c>
      <c r="AQ97" s="32">
        <v>694.07954448922499</v>
      </c>
      <c r="AR97" s="32">
        <v>34.76739660668148</v>
      </c>
      <c r="AS97" s="382">
        <v>19.963517899865966</v>
      </c>
      <c r="AT97" s="32">
        <v>592.18071861637611</v>
      </c>
      <c r="AU97" s="32">
        <v>120.61785927502898</v>
      </c>
      <c r="AV97" s="32">
        <v>0</v>
      </c>
      <c r="AW97" s="32">
        <v>0</v>
      </c>
      <c r="AX97" s="32">
        <v>712.7985778914051</v>
      </c>
      <c r="AY97" s="32">
        <v>80.522979582201913</v>
      </c>
      <c r="AZ97" s="382">
        <v>8.8521137890053421</v>
      </c>
      <c r="BA97" s="32">
        <v>592.18071861637611</v>
      </c>
      <c r="BB97" s="32">
        <v>222.51668514787781</v>
      </c>
      <c r="BC97" s="32">
        <v>0</v>
      </c>
      <c r="BD97" s="32">
        <v>0</v>
      </c>
      <c r="BE97" s="32">
        <v>814.69740376425398</v>
      </c>
      <c r="BF97" s="32">
        <v>115.29037618888339</v>
      </c>
      <c r="BG97" s="32">
        <v>-6.38607218242658</v>
      </c>
      <c r="BH97" s="382">
        <v>7.0664823092390021</v>
      </c>
      <c r="BI97" s="32">
        <v>2.0706401859848449</v>
      </c>
      <c r="BJ97" s="32">
        <v>4.7957032648829978</v>
      </c>
      <c r="BK97" s="32">
        <v>0</v>
      </c>
      <c r="BL97" s="32">
        <v>-37.539902480454472</v>
      </c>
      <c r="BM97" s="32">
        <v>-30.673559029586627</v>
      </c>
      <c r="BN97" s="32">
        <v>592.18071861637611</v>
      </c>
      <c r="BO97" s="32">
        <v>0</v>
      </c>
      <c r="BP97" s="32">
        <v>222.51668514787781</v>
      </c>
      <c r="BQ97" s="32">
        <v>0</v>
      </c>
      <c r="BR97" s="32">
        <v>0</v>
      </c>
      <c r="BS97" s="32">
        <v>0</v>
      </c>
      <c r="BT97" s="32">
        <v>0</v>
      </c>
      <c r="BU97" s="32">
        <v>0</v>
      </c>
      <c r="BV97" s="32">
        <v>0</v>
      </c>
      <c r="BW97" s="32">
        <v>0</v>
      </c>
      <c r="BX97" s="32">
        <v>219.22462136163807</v>
      </c>
      <c r="BY97" s="32">
        <v>26.804630885182689</v>
      </c>
      <c r="BZ97" s="32">
        <v>-761.05827531819057</v>
      </c>
      <c r="CA97" s="32">
        <v>0</v>
      </c>
      <c r="CB97" s="32">
        <v>814.69740376425398</v>
      </c>
      <c r="CC97" s="32">
        <v>-515.02902307136992</v>
      </c>
      <c r="CD97" s="382">
        <v>6.4047492917696607</v>
      </c>
      <c r="CE97" s="32">
        <v>-43.925974662881053</v>
      </c>
      <c r="CF97" s="32">
        <v>11.737143214371596</v>
      </c>
      <c r="CG97" s="32">
        <v>0</v>
      </c>
      <c r="CH97" s="32">
        <v>11.737143214371596</v>
      </c>
      <c r="CI97" s="32">
        <v>0.58685560589052044</v>
      </c>
      <c r="CJ97" s="32">
        <v>0</v>
      </c>
      <c r="CK97" s="32">
        <v>0.58685560589052044</v>
      </c>
      <c r="CL97" s="32"/>
      <c r="CM97" s="32">
        <v>0</v>
      </c>
      <c r="CN97" s="32"/>
      <c r="CO97" s="32">
        <v>0</v>
      </c>
      <c r="CP97" s="32">
        <v>0</v>
      </c>
      <c r="CQ97" s="32">
        <v>0</v>
      </c>
      <c r="CR97" s="32">
        <v>0</v>
      </c>
      <c r="CS97" s="32">
        <v>0</v>
      </c>
      <c r="CT97" s="32">
        <v>0</v>
      </c>
      <c r="CU97" s="32">
        <v>0</v>
      </c>
      <c r="CV97" s="32">
        <v>9999</v>
      </c>
      <c r="CW97" s="382">
        <v>9999</v>
      </c>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row>
    <row r="98" spans="1:131">
      <c r="A98" s="11" t="s">
        <v>531</v>
      </c>
      <c r="B98" s="11"/>
      <c r="C98" s="32">
        <v>11.627906976744185</v>
      </c>
      <c r="D98" s="32">
        <v>339.69999999999993</v>
      </c>
      <c r="E98" s="32">
        <v>0</v>
      </c>
      <c r="F98" s="32">
        <v>113.40810404906972</v>
      </c>
      <c r="G98" s="32">
        <v>-56</v>
      </c>
      <c r="H98" s="32">
        <v>0</v>
      </c>
      <c r="I98" s="32"/>
      <c r="J98" s="32"/>
      <c r="K98" s="32"/>
      <c r="L98" s="32">
        <v>364.19161716693708</v>
      </c>
      <c r="M98" s="32">
        <v>8.5007695632657157E-2</v>
      </c>
      <c r="N98" s="32">
        <v>8.4394148206735825E-2</v>
      </c>
      <c r="O98" s="32">
        <v>0</v>
      </c>
      <c r="P98" s="32">
        <v>0</v>
      </c>
      <c r="Q98" s="32">
        <v>0</v>
      </c>
      <c r="R98" s="32">
        <v>22.61509090978879</v>
      </c>
      <c r="S98" s="32">
        <v>52.260035356611773</v>
      </c>
      <c r="T98" s="32">
        <v>0</v>
      </c>
      <c r="U98" s="32">
        <v>110.62900379227469</v>
      </c>
      <c r="V98" s="32">
        <v>6.8044862429441837</v>
      </c>
      <c r="W98" s="32">
        <v>15.87713456686976</v>
      </c>
      <c r="X98" s="32">
        <v>0</v>
      </c>
      <c r="Y98" s="32">
        <v>0</v>
      </c>
      <c r="Z98" s="32">
        <v>0</v>
      </c>
      <c r="AA98" s="32">
        <v>0</v>
      </c>
      <c r="AB98" s="32">
        <v>0</v>
      </c>
      <c r="AC98" s="32">
        <v>-761.05827531819057</v>
      </c>
      <c r="AD98" s="32">
        <v>0</v>
      </c>
      <c r="AE98" s="32">
        <v>0</v>
      </c>
      <c r="AF98" s="32">
        <v>0</v>
      </c>
      <c r="AG98" s="32">
        <v>0</v>
      </c>
      <c r="AH98" s="32">
        <v>29.419577152732973</v>
      </c>
      <c r="AI98" s="32">
        <v>68.137169923481537</v>
      </c>
      <c r="AJ98" s="32">
        <v>0</v>
      </c>
      <c r="AK98" s="32">
        <v>-650.42927152591585</v>
      </c>
      <c r="AL98" s="32">
        <v>-552.87252444970136</v>
      </c>
      <c r="AM98" s="32">
        <v>174.56073421900641</v>
      </c>
      <c r="AN98" s="32">
        <v>30.03734046251887</v>
      </c>
      <c r="AO98" s="32">
        <v>0</v>
      </c>
      <c r="AP98" s="32">
        <v>0</v>
      </c>
      <c r="AQ98" s="32">
        <v>204.59807468152528</v>
      </c>
      <c r="AR98" s="32">
        <v>29.419577152732973</v>
      </c>
      <c r="AS98" s="382">
        <v>6.9544872660591199</v>
      </c>
      <c r="AT98" s="32">
        <v>174.56073421900641</v>
      </c>
      <c r="AU98" s="32">
        <v>35.555264487788371</v>
      </c>
      <c r="AV98" s="32">
        <v>0</v>
      </c>
      <c r="AW98" s="32">
        <v>0</v>
      </c>
      <c r="AX98" s="32">
        <v>210.11599870679478</v>
      </c>
      <c r="AY98" s="32">
        <v>68.137169923481537</v>
      </c>
      <c r="AZ98" s="382">
        <v>3.0837206614650468</v>
      </c>
      <c r="BA98" s="32">
        <v>174.56073421900641</v>
      </c>
      <c r="BB98" s="32">
        <v>65.592604950307248</v>
      </c>
      <c r="BC98" s="32">
        <v>0</v>
      </c>
      <c r="BD98" s="32">
        <v>0</v>
      </c>
      <c r="BE98" s="32">
        <v>240.15333916931365</v>
      </c>
      <c r="BF98" s="32">
        <v>97.556747076214521</v>
      </c>
      <c r="BG98" s="32">
        <v>6.4580770520569777</v>
      </c>
      <c r="BH98" s="382">
        <v>2.4616784217056562</v>
      </c>
      <c r="BI98" s="32">
        <v>5.9439698191459529</v>
      </c>
      <c r="BJ98" s="32">
        <v>13.766522866205438</v>
      </c>
      <c r="BK98" s="32">
        <v>0</v>
      </c>
      <c r="BL98" s="32">
        <v>-131.41358012618417</v>
      </c>
      <c r="BM98" s="32">
        <v>-111.70308744083277</v>
      </c>
      <c r="BN98" s="32">
        <v>174.56073421900641</v>
      </c>
      <c r="BO98" s="32">
        <v>0</v>
      </c>
      <c r="BP98" s="32">
        <v>65.592604950307248</v>
      </c>
      <c r="BQ98" s="32">
        <v>0</v>
      </c>
      <c r="BR98" s="32">
        <v>0</v>
      </c>
      <c r="BS98" s="32">
        <v>0</v>
      </c>
      <c r="BT98" s="32">
        <v>0</v>
      </c>
      <c r="BU98" s="32">
        <v>0</v>
      </c>
      <c r="BV98" s="32">
        <v>0</v>
      </c>
      <c r="BW98" s="32">
        <v>0</v>
      </c>
      <c r="BX98" s="32">
        <v>185.50413005867526</v>
      </c>
      <c r="BY98" s="32">
        <v>22.681620809813946</v>
      </c>
      <c r="BZ98" s="32">
        <v>-761.05827531819057</v>
      </c>
      <c r="CA98" s="32">
        <v>0</v>
      </c>
      <c r="CB98" s="32">
        <v>240.15333916931365</v>
      </c>
      <c r="CC98" s="32">
        <v>-552.87252444970136</v>
      </c>
      <c r="CD98" s="382">
        <v>4.8092225827692152</v>
      </c>
      <c r="CE98" s="32">
        <v>-124.95550307412722</v>
      </c>
      <c r="CF98" s="32">
        <v>3.4598295296095349</v>
      </c>
      <c r="CG98" s="32">
        <v>0</v>
      </c>
      <c r="CH98" s="32">
        <v>3.4598295296095349</v>
      </c>
      <c r="CI98" s="32">
        <v>0.17299101815429513</v>
      </c>
      <c r="CJ98" s="32">
        <v>0</v>
      </c>
      <c r="CK98" s="32">
        <v>0.17299101815429513</v>
      </c>
      <c r="CL98" s="32"/>
      <c r="CM98" s="32">
        <v>0</v>
      </c>
      <c r="CN98" s="32"/>
      <c r="CO98" s="32">
        <v>0</v>
      </c>
      <c r="CP98" s="32">
        <v>0</v>
      </c>
      <c r="CQ98" s="32">
        <v>0</v>
      </c>
      <c r="CR98" s="32">
        <v>0</v>
      </c>
      <c r="CS98" s="32">
        <v>0</v>
      </c>
      <c r="CT98" s="32">
        <v>0</v>
      </c>
      <c r="CU98" s="32">
        <v>0</v>
      </c>
      <c r="CV98" s="32">
        <v>9999</v>
      </c>
      <c r="CW98" s="382">
        <v>9999</v>
      </c>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row>
    <row r="99" spans="1:131">
      <c r="A99" s="11" t="s">
        <v>533</v>
      </c>
      <c r="B99" s="11"/>
      <c r="C99" s="32">
        <v>11.627906976744185</v>
      </c>
      <c r="D99" s="32">
        <v>270.89999999999998</v>
      </c>
      <c r="E99" s="32">
        <v>0</v>
      </c>
      <c r="F99" s="32">
        <v>113.40810404906972</v>
      </c>
      <c r="G99" s="32">
        <v>-56</v>
      </c>
      <c r="H99" s="32">
        <v>0</v>
      </c>
      <c r="I99" s="32"/>
      <c r="J99" s="32"/>
      <c r="K99" s="32"/>
      <c r="L99" s="32">
        <v>290.43128963945617</v>
      </c>
      <c r="M99" s="32">
        <v>6.7790947150093692E-2</v>
      </c>
      <c r="N99" s="32">
        <v>6.7301662493979217E-2</v>
      </c>
      <c r="O99" s="32">
        <v>0</v>
      </c>
      <c r="P99" s="32">
        <v>0</v>
      </c>
      <c r="Q99" s="32">
        <v>0</v>
      </c>
      <c r="R99" s="32">
        <v>22.61509090978879</v>
      </c>
      <c r="S99" s="32">
        <v>52.260035356611773</v>
      </c>
      <c r="T99" s="32">
        <v>0</v>
      </c>
      <c r="U99" s="32">
        <v>110.62900379227469</v>
      </c>
      <c r="V99" s="32">
        <v>6.8044862429441837</v>
      </c>
      <c r="W99" s="32">
        <v>15.87713456686976</v>
      </c>
      <c r="X99" s="32">
        <v>0</v>
      </c>
      <c r="Y99" s="32">
        <v>0</v>
      </c>
      <c r="Z99" s="32">
        <v>0</v>
      </c>
      <c r="AA99" s="32">
        <v>0</v>
      </c>
      <c r="AB99" s="32">
        <v>0</v>
      </c>
      <c r="AC99" s="32">
        <v>-761.05827531819057</v>
      </c>
      <c r="AD99" s="32">
        <v>0</v>
      </c>
      <c r="AE99" s="32">
        <v>0</v>
      </c>
      <c r="AF99" s="32">
        <v>0</v>
      </c>
      <c r="AG99" s="32">
        <v>0</v>
      </c>
      <c r="AH99" s="32">
        <v>29.419577152732973</v>
      </c>
      <c r="AI99" s="32">
        <v>68.137169923481537</v>
      </c>
      <c r="AJ99" s="32">
        <v>0</v>
      </c>
      <c r="AK99" s="32">
        <v>-650.42927152591585</v>
      </c>
      <c r="AL99" s="32">
        <v>-552.87252444970136</v>
      </c>
      <c r="AM99" s="32">
        <v>139.20666146578981</v>
      </c>
      <c r="AN99" s="32">
        <v>23.953828470109986</v>
      </c>
      <c r="AO99" s="32">
        <v>0</v>
      </c>
      <c r="AP99" s="32">
        <v>0</v>
      </c>
      <c r="AQ99" s="32">
        <v>163.16048993589979</v>
      </c>
      <c r="AR99" s="32">
        <v>29.419577152732973</v>
      </c>
      <c r="AS99" s="382">
        <v>5.5459835159711925</v>
      </c>
      <c r="AT99" s="32">
        <v>139.20666146578981</v>
      </c>
      <c r="AU99" s="32">
        <v>28.354198262413522</v>
      </c>
      <c r="AV99" s="32">
        <v>0</v>
      </c>
      <c r="AW99" s="32">
        <v>0</v>
      </c>
      <c r="AX99" s="32">
        <v>167.56085972820333</v>
      </c>
      <c r="AY99" s="32">
        <v>68.137169923481537</v>
      </c>
      <c r="AZ99" s="382">
        <v>2.4591696414214916</v>
      </c>
      <c r="BA99" s="32">
        <v>139.20666146578981</v>
      </c>
      <c r="BB99" s="32">
        <v>52.308026732523508</v>
      </c>
      <c r="BC99" s="32">
        <v>0</v>
      </c>
      <c r="BD99" s="32">
        <v>0</v>
      </c>
      <c r="BE99" s="32">
        <v>191.51468819831331</v>
      </c>
      <c r="BF99" s="32">
        <v>97.556747076214521</v>
      </c>
      <c r="BG99" s="32">
        <v>11.463916464209712</v>
      </c>
      <c r="BH99" s="382">
        <v>1.963110640094383</v>
      </c>
      <c r="BI99" s="32">
        <v>7.4535494557544482</v>
      </c>
      <c r="BJ99" s="32">
        <v>17.262782641749677</v>
      </c>
      <c r="BK99" s="32">
        <v>0</v>
      </c>
      <c r="BL99" s="32">
        <v>-164.78845761854839</v>
      </c>
      <c r="BM99" s="32">
        <v>-140.07212552104426</v>
      </c>
      <c r="BN99" s="32">
        <v>139.20666146578981</v>
      </c>
      <c r="BO99" s="32">
        <v>0</v>
      </c>
      <c r="BP99" s="32">
        <v>52.308026732523508</v>
      </c>
      <c r="BQ99" s="32">
        <v>0</v>
      </c>
      <c r="BR99" s="32">
        <v>0</v>
      </c>
      <c r="BS99" s="32">
        <v>0</v>
      </c>
      <c r="BT99" s="32">
        <v>0</v>
      </c>
      <c r="BU99" s="32">
        <v>0</v>
      </c>
      <c r="BV99" s="32">
        <v>0</v>
      </c>
      <c r="BW99" s="32">
        <v>0</v>
      </c>
      <c r="BX99" s="32">
        <v>185.50413005867526</v>
      </c>
      <c r="BY99" s="32">
        <v>22.681620809813946</v>
      </c>
      <c r="BZ99" s="32">
        <v>-761.05827531819057</v>
      </c>
      <c r="CA99" s="32">
        <v>0</v>
      </c>
      <c r="CB99" s="32">
        <v>191.51468819831331</v>
      </c>
      <c r="CC99" s="32">
        <v>-552.87252444970136</v>
      </c>
      <c r="CD99" s="382">
        <v>4.5755915548621946</v>
      </c>
      <c r="CE99" s="32">
        <v>-153.32454115433868</v>
      </c>
      <c r="CF99" s="32">
        <v>2.7591045615873551</v>
      </c>
      <c r="CG99" s="32">
        <v>0</v>
      </c>
      <c r="CH99" s="32">
        <v>2.7591045615873551</v>
      </c>
      <c r="CI99" s="32">
        <v>0.13795486257874173</v>
      </c>
      <c r="CJ99" s="32">
        <v>0</v>
      </c>
      <c r="CK99" s="32">
        <v>0.13795486257874173</v>
      </c>
      <c r="CL99" s="32"/>
      <c r="CM99" s="32">
        <v>0</v>
      </c>
      <c r="CN99" s="32"/>
      <c r="CO99" s="32">
        <v>0</v>
      </c>
      <c r="CP99" s="32">
        <v>0</v>
      </c>
      <c r="CQ99" s="32">
        <v>0</v>
      </c>
      <c r="CR99" s="32">
        <v>0</v>
      </c>
      <c r="CS99" s="32">
        <v>0</v>
      </c>
      <c r="CT99" s="32">
        <v>0</v>
      </c>
      <c r="CU99" s="32">
        <v>0</v>
      </c>
      <c r="CV99" s="32">
        <v>9999</v>
      </c>
      <c r="CW99" s="382">
        <v>9999</v>
      </c>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row>
    <row r="100" spans="1:131">
      <c r="A100" s="11" t="s">
        <v>842</v>
      </c>
      <c r="B100" s="11"/>
      <c r="C100" s="32">
        <v>11.627906976744185</v>
      </c>
      <c r="D100" s="32">
        <v>666.5</v>
      </c>
      <c r="E100" s="32">
        <v>0</v>
      </c>
      <c r="F100" s="32">
        <v>162.01157721295672</v>
      </c>
      <c r="G100" s="32">
        <v>-56</v>
      </c>
      <c r="H100" s="32">
        <v>0</v>
      </c>
      <c r="I100" s="32"/>
      <c r="J100" s="32"/>
      <c r="K100" s="32"/>
      <c r="L100" s="32">
        <v>714.55317292247162</v>
      </c>
      <c r="M100" s="32">
        <v>0.16678725092483371</v>
      </c>
      <c r="N100" s="32">
        <v>0.16558345534232982</v>
      </c>
      <c r="O100" s="32">
        <v>0</v>
      </c>
      <c r="P100" s="32">
        <v>0</v>
      </c>
      <c r="Q100" s="32">
        <v>0</v>
      </c>
      <c r="R100" s="32">
        <v>32.307272728269702</v>
      </c>
      <c r="S100" s="32">
        <v>74.657193366588231</v>
      </c>
      <c r="T100" s="32">
        <v>0</v>
      </c>
      <c r="U100" s="32">
        <v>158.0414339889638</v>
      </c>
      <c r="V100" s="32">
        <v>9.7206946327774038</v>
      </c>
      <c r="W100" s="32">
        <v>22.681620809813943</v>
      </c>
      <c r="X100" s="32">
        <v>0</v>
      </c>
      <c r="Y100" s="32">
        <v>0</v>
      </c>
      <c r="Z100" s="32">
        <v>0</v>
      </c>
      <c r="AA100" s="32">
        <v>0</v>
      </c>
      <c r="AB100" s="32">
        <v>0</v>
      </c>
      <c r="AC100" s="32">
        <v>-761.05827531819057</v>
      </c>
      <c r="AD100" s="32">
        <v>0</v>
      </c>
      <c r="AE100" s="32">
        <v>0</v>
      </c>
      <c r="AF100" s="32">
        <v>0</v>
      </c>
      <c r="AG100" s="32">
        <v>0</v>
      </c>
      <c r="AH100" s="32">
        <v>42.027967361047104</v>
      </c>
      <c r="AI100" s="32">
        <v>97.338814176402167</v>
      </c>
      <c r="AJ100" s="32">
        <v>0</v>
      </c>
      <c r="AK100" s="32">
        <v>-603.01684132922674</v>
      </c>
      <c r="AL100" s="32">
        <v>-463.65005979177749</v>
      </c>
      <c r="AM100" s="32">
        <v>342.49257979678458</v>
      </c>
      <c r="AN100" s="32">
        <v>58.93402242646107</v>
      </c>
      <c r="AO100" s="32">
        <v>0</v>
      </c>
      <c r="AP100" s="32">
        <v>0</v>
      </c>
      <c r="AQ100" s="32">
        <v>401.42660222324565</v>
      </c>
      <c r="AR100" s="32">
        <v>42.027967361047104</v>
      </c>
      <c r="AS100" s="382">
        <v>9.5514160552837239</v>
      </c>
      <c r="AT100" s="32">
        <v>342.49257979678458</v>
      </c>
      <c r="AU100" s="32">
        <v>69.760329058318973</v>
      </c>
      <c r="AV100" s="32">
        <v>0</v>
      </c>
      <c r="AW100" s="32">
        <v>0</v>
      </c>
      <c r="AX100" s="32">
        <v>412.25290885510356</v>
      </c>
      <c r="AY100" s="32">
        <v>97.338814176402167</v>
      </c>
      <c r="AZ100" s="382">
        <v>4.2352366046703489</v>
      </c>
      <c r="BA100" s="32">
        <v>342.49257979678458</v>
      </c>
      <c r="BB100" s="32">
        <v>128.69435148478004</v>
      </c>
      <c r="BC100" s="32">
        <v>0</v>
      </c>
      <c r="BD100" s="32">
        <v>0</v>
      </c>
      <c r="BE100" s="32">
        <v>471.18693128156463</v>
      </c>
      <c r="BF100" s="32">
        <v>139.36678153744927</v>
      </c>
      <c r="BG100" s="32">
        <v>1.0990030039660381</v>
      </c>
      <c r="BH100" s="382">
        <v>3.3809127690514393</v>
      </c>
      <c r="BI100" s="32">
        <v>4.3278674259219372</v>
      </c>
      <c r="BJ100" s="32">
        <v>10.023551211338519</v>
      </c>
      <c r="BK100" s="32">
        <v>0</v>
      </c>
      <c r="BL100" s="32">
        <v>-62.096197097790757</v>
      </c>
      <c r="BM100" s="32">
        <v>-47.744778460530306</v>
      </c>
      <c r="BN100" s="32">
        <v>342.49257979678458</v>
      </c>
      <c r="BO100" s="32">
        <v>0</v>
      </c>
      <c r="BP100" s="32">
        <v>128.69435148478004</v>
      </c>
      <c r="BQ100" s="32">
        <v>0</v>
      </c>
      <c r="BR100" s="32">
        <v>0</v>
      </c>
      <c r="BS100" s="32">
        <v>0</v>
      </c>
      <c r="BT100" s="32">
        <v>0</v>
      </c>
      <c r="BU100" s="32">
        <v>0</v>
      </c>
      <c r="BV100" s="32">
        <v>0</v>
      </c>
      <c r="BW100" s="32">
        <v>0</v>
      </c>
      <c r="BX100" s="32">
        <v>265.00590008382176</v>
      </c>
      <c r="BY100" s="32">
        <v>32.402315442591345</v>
      </c>
      <c r="BZ100" s="32">
        <v>-761.05827531819057</v>
      </c>
      <c r="CA100" s="32">
        <v>0</v>
      </c>
      <c r="CB100" s="32">
        <v>471.18693128156463</v>
      </c>
      <c r="CC100" s="32">
        <v>-463.65005979177749</v>
      </c>
      <c r="CD100" s="382">
        <v>4.1432789757292987</v>
      </c>
      <c r="CE100" s="32">
        <v>-60.997194093824724</v>
      </c>
      <c r="CF100" s="32">
        <v>6.788273127714926</v>
      </c>
      <c r="CG100" s="32">
        <v>0</v>
      </c>
      <c r="CH100" s="32">
        <v>6.788273127714926</v>
      </c>
      <c r="CI100" s="32">
        <v>0.33941275713817404</v>
      </c>
      <c r="CJ100" s="32">
        <v>0</v>
      </c>
      <c r="CK100" s="32">
        <v>0.33941275713817404</v>
      </c>
      <c r="CL100" s="32"/>
      <c r="CM100" s="32">
        <v>0</v>
      </c>
      <c r="CN100" s="32"/>
      <c r="CO100" s="32">
        <v>0</v>
      </c>
      <c r="CP100" s="32">
        <v>0</v>
      </c>
      <c r="CQ100" s="32">
        <v>0</v>
      </c>
      <c r="CR100" s="32">
        <v>0</v>
      </c>
      <c r="CS100" s="32">
        <v>0</v>
      </c>
      <c r="CT100" s="32">
        <v>0</v>
      </c>
      <c r="CU100" s="32">
        <v>0</v>
      </c>
      <c r="CV100" s="32">
        <v>9999</v>
      </c>
      <c r="CW100" s="382">
        <v>9999</v>
      </c>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row>
    <row r="101" spans="1:131">
      <c r="A101" s="11" t="s">
        <v>950</v>
      </c>
      <c r="B101" s="11"/>
      <c r="C101" s="32">
        <v>11.627906976744185</v>
      </c>
      <c r="D101" s="32">
        <v>1152.4000000000001</v>
      </c>
      <c r="E101" s="32">
        <v>0</v>
      </c>
      <c r="F101" s="32">
        <v>134.02315442591345</v>
      </c>
      <c r="G101" s="32">
        <v>0</v>
      </c>
      <c r="H101" s="32">
        <v>-169.14462831976607</v>
      </c>
      <c r="I101" s="32"/>
      <c r="J101" s="32"/>
      <c r="K101" s="32"/>
      <c r="L101" s="32">
        <v>1235.4854860853059</v>
      </c>
      <c r="M101" s="32">
        <v>0.28838053708293826</v>
      </c>
      <c r="N101" s="32">
        <v>0.28629913568867355</v>
      </c>
      <c r="O101" s="32">
        <v>0</v>
      </c>
      <c r="P101" s="32">
        <v>0</v>
      </c>
      <c r="Q101" s="32">
        <v>0</v>
      </c>
      <c r="R101" s="32">
        <v>26.726007341126671</v>
      </c>
      <c r="S101" s="32">
        <v>61.759737962574029</v>
      </c>
      <c r="T101" s="32">
        <v>0</v>
      </c>
      <c r="U101" s="32">
        <v>130.73887605793738</v>
      </c>
      <c r="V101" s="32">
        <v>8.0413892655548072</v>
      </c>
      <c r="W101" s="32">
        <v>18.763241619627884</v>
      </c>
      <c r="X101" s="32">
        <v>0</v>
      </c>
      <c r="Y101" s="32">
        <v>0</v>
      </c>
      <c r="Z101" s="32">
        <v>0</v>
      </c>
      <c r="AA101" s="32">
        <v>0</v>
      </c>
      <c r="AB101" s="32">
        <v>0</v>
      </c>
      <c r="AC101" s="32">
        <v>0</v>
      </c>
      <c r="AD101" s="32">
        <v>0</v>
      </c>
      <c r="AE101" s="32">
        <v>0</v>
      </c>
      <c r="AF101" s="32">
        <v>0</v>
      </c>
      <c r="AG101" s="32">
        <v>-169.14462831976607</v>
      </c>
      <c r="AH101" s="32">
        <v>34.76739660668148</v>
      </c>
      <c r="AI101" s="32">
        <v>80.522979582201913</v>
      </c>
      <c r="AJ101" s="32">
        <v>0</v>
      </c>
      <c r="AK101" s="32">
        <v>-38.405752261828695</v>
      </c>
      <c r="AL101" s="32">
        <v>76.88462392705469</v>
      </c>
      <c r="AM101" s="32">
        <v>592.18071861637611</v>
      </c>
      <c r="AN101" s="32">
        <v>101.89882587284885</v>
      </c>
      <c r="AO101" s="32">
        <v>0</v>
      </c>
      <c r="AP101" s="32">
        <v>0</v>
      </c>
      <c r="AQ101" s="32">
        <v>694.07954448922499</v>
      </c>
      <c r="AR101" s="32">
        <v>34.76739660668148</v>
      </c>
      <c r="AS101" s="382">
        <v>19.963517899865966</v>
      </c>
      <c r="AT101" s="32">
        <v>592.18071861637611</v>
      </c>
      <c r="AU101" s="32">
        <v>120.61785927502898</v>
      </c>
      <c r="AV101" s="32">
        <v>0</v>
      </c>
      <c r="AW101" s="32">
        <v>0</v>
      </c>
      <c r="AX101" s="32">
        <v>712.7985778914051</v>
      </c>
      <c r="AY101" s="32">
        <v>80.522979582201913</v>
      </c>
      <c r="AZ101" s="382">
        <v>8.8521137890053421</v>
      </c>
      <c r="BA101" s="32">
        <v>592.18071861637611</v>
      </c>
      <c r="BB101" s="32">
        <v>222.51668514787781</v>
      </c>
      <c r="BC101" s="32">
        <v>0</v>
      </c>
      <c r="BD101" s="32">
        <v>0</v>
      </c>
      <c r="BE101" s="32">
        <v>814.69740376425398</v>
      </c>
      <c r="BF101" s="32">
        <v>115.29037618888339</v>
      </c>
      <c r="BG101" s="32">
        <v>-6.38607218242658</v>
      </c>
      <c r="BH101" s="382">
        <v>7.0664823092390021</v>
      </c>
      <c r="BI101" s="32">
        <v>2.0706401859848449</v>
      </c>
      <c r="BJ101" s="32">
        <v>4.7957032648829978</v>
      </c>
      <c r="BK101" s="32">
        <v>0</v>
      </c>
      <c r="BL101" s="32">
        <v>-2.287329560679217</v>
      </c>
      <c r="BM101" s="32">
        <v>4.5790138901886257</v>
      </c>
      <c r="BN101" s="32">
        <v>592.18071861637611</v>
      </c>
      <c r="BO101" s="32">
        <v>0</v>
      </c>
      <c r="BP101" s="32">
        <v>222.51668514787781</v>
      </c>
      <c r="BQ101" s="32">
        <v>0</v>
      </c>
      <c r="BR101" s="32">
        <v>0</v>
      </c>
      <c r="BS101" s="32">
        <v>0</v>
      </c>
      <c r="BT101" s="32">
        <v>0</v>
      </c>
      <c r="BU101" s="32">
        <v>0</v>
      </c>
      <c r="BV101" s="32">
        <v>0</v>
      </c>
      <c r="BW101" s="32">
        <v>0</v>
      </c>
      <c r="BX101" s="32">
        <v>219.22462136163807</v>
      </c>
      <c r="BY101" s="32">
        <v>26.804630885182689</v>
      </c>
      <c r="BZ101" s="32">
        <v>0</v>
      </c>
      <c r="CA101" s="32">
        <v>-169.14462831976607</v>
      </c>
      <c r="CB101" s="32">
        <v>814.69740376425398</v>
      </c>
      <c r="CC101" s="32">
        <v>76.88462392705469</v>
      </c>
      <c r="CD101" s="382">
        <v>3.9988823406129481</v>
      </c>
      <c r="CE101" s="32">
        <v>-8.6734017431057939</v>
      </c>
      <c r="CF101" s="32">
        <v>11.737143214371596</v>
      </c>
      <c r="CG101" s="32">
        <v>0</v>
      </c>
      <c r="CH101" s="32">
        <v>11.737143214371596</v>
      </c>
      <c r="CI101" s="32">
        <v>0.58685560589052044</v>
      </c>
      <c r="CJ101" s="32">
        <v>0</v>
      </c>
      <c r="CK101" s="32">
        <v>0.58685560589052044</v>
      </c>
      <c r="CL101" s="32"/>
      <c r="CM101" s="32">
        <v>0</v>
      </c>
      <c r="CN101" s="32"/>
      <c r="CO101" s="32">
        <v>0</v>
      </c>
      <c r="CP101" s="32">
        <v>0</v>
      </c>
      <c r="CQ101" s="32">
        <v>0</v>
      </c>
      <c r="CR101" s="32">
        <v>0</v>
      </c>
      <c r="CS101" s="32">
        <v>0</v>
      </c>
      <c r="CT101" s="32">
        <v>0</v>
      </c>
      <c r="CU101" s="32">
        <v>0</v>
      </c>
      <c r="CV101" s="32">
        <v>9999</v>
      </c>
      <c r="CW101" s="382">
        <v>9999</v>
      </c>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row>
    <row r="102" spans="1:131">
      <c r="A102" s="11" t="s">
        <v>840</v>
      </c>
      <c r="B102" s="11"/>
      <c r="C102" s="32">
        <v>11.627906976744185</v>
      </c>
      <c r="D102" s="32">
        <v>395.6</v>
      </c>
      <c r="E102" s="32">
        <v>0</v>
      </c>
      <c r="F102" s="32">
        <v>162.01157721295672</v>
      </c>
      <c r="G102" s="32">
        <v>-56</v>
      </c>
      <c r="H102" s="32">
        <v>0</v>
      </c>
      <c r="I102" s="32"/>
      <c r="J102" s="32"/>
      <c r="K102" s="32"/>
      <c r="L102" s="32">
        <v>424.12188328301545</v>
      </c>
      <c r="M102" s="32">
        <v>9.8996303774740002E-2</v>
      </c>
      <c r="N102" s="32">
        <v>9.8281792848350619E-2</v>
      </c>
      <c r="O102" s="32">
        <v>0</v>
      </c>
      <c r="P102" s="32">
        <v>0</v>
      </c>
      <c r="Q102" s="32">
        <v>0</v>
      </c>
      <c r="R102" s="32">
        <v>32.307272728269702</v>
      </c>
      <c r="S102" s="32">
        <v>74.657193366588231</v>
      </c>
      <c r="T102" s="32">
        <v>0</v>
      </c>
      <c r="U102" s="32">
        <v>158.0414339889638</v>
      </c>
      <c r="V102" s="32">
        <v>9.7206946327774038</v>
      </c>
      <c r="W102" s="32">
        <v>22.681620809813943</v>
      </c>
      <c r="X102" s="32">
        <v>0</v>
      </c>
      <c r="Y102" s="32">
        <v>0</v>
      </c>
      <c r="Z102" s="32">
        <v>0</v>
      </c>
      <c r="AA102" s="32">
        <v>0</v>
      </c>
      <c r="AB102" s="32">
        <v>0</v>
      </c>
      <c r="AC102" s="32">
        <v>-761.05827531819057</v>
      </c>
      <c r="AD102" s="32">
        <v>0</v>
      </c>
      <c r="AE102" s="32">
        <v>0</v>
      </c>
      <c r="AF102" s="32">
        <v>0</v>
      </c>
      <c r="AG102" s="32">
        <v>0</v>
      </c>
      <c r="AH102" s="32">
        <v>42.027967361047104</v>
      </c>
      <c r="AI102" s="32">
        <v>97.338814176402167</v>
      </c>
      <c r="AJ102" s="32">
        <v>0</v>
      </c>
      <c r="AK102" s="32">
        <v>-603.01684132922674</v>
      </c>
      <c r="AL102" s="32">
        <v>-463.65005979177749</v>
      </c>
      <c r="AM102" s="32">
        <v>203.28591833099458</v>
      </c>
      <c r="AN102" s="32">
        <v>34.980193956351101</v>
      </c>
      <c r="AO102" s="32">
        <v>0</v>
      </c>
      <c r="AP102" s="32">
        <v>0</v>
      </c>
      <c r="AQ102" s="32">
        <v>238.26611228734566</v>
      </c>
      <c r="AR102" s="32">
        <v>42.027967361047104</v>
      </c>
      <c r="AS102" s="382">
        <v>5.6692275941038845</v>
      </c>
      <c r="AT102" s="32">
        <v>203.28591833099458</v>
      </c>
      <c r="AU102" s="32">
        <v>41.406130795905469</v>
      </c>
      <c r="AV102" s="32">
        <v>0</v>
      </c>
      <c r="AW102" s="32">
        <v>0</v>
      </c>
      <c r="AX102" s="32">
        <v>244.69204912690003</v>
      </c>
      <c r="AY102" s="32">
        <v>97.338814176402167</v>
      </c>
      <c r="AZ102" s="382">
        <v>2.5138178556753026</v>
      </c>
      <c r="BA102" s="32">
        <v>203.28591833099458</v>
      </c>
      <c r="BB102" s="32">
        <v>76.38632475225657</v>
      </c>
      <c r="BC102" s="32">
        <v>0</v>
      </c>
      <c r="BD102" s="32">
        <v>0</v>
      </c>
      <c r="BE102" s="32">
        <v>279.67224308325115</v>
      </c>
      <c r="BF102" s="32">
        <v>139.36678153744927</v>
      </c>
      <c r="BG102" s="32">
        <v>10.926604896872652</v>
      </c>
      <c r="BH102" s="382">
        <v>2.0067353209853698</v>
      </c>
      <c r="BI102" s="32">
        <v>7.2915157719336987</v>
      </c>
      <c r="BJ102" s="32">
        <v>16.887504758233373</v>
      </c>
      <c r="BK102" s="32">
        <v>0</v>
      </c>
      <c r="BL102" s="32">
        <v>-104.61859293649529</v>
      </c>
      <c r="BM102" s="32">
        <v>-80.439572406328224</v>
      </c>
      <c r="BN102" s="32">
        <v>203.28591833099458</v>
      </c>
      <c r="BO102" s="32">
        <v>0</v>
      </c>
      <c r="BP102" s="32">
        <v>76.38632475225657</v>
      </c>
      <c r="BQ102" s="32">
        <v>0</v>
      </c>
      <c r="BR102" s="32">
        <v>0</v>
      </c>
      <c r="BS102" s="32">
        <v>0</v>
      </c>
      <c r="BT102" s="32">
        <v>0</v>
      </c>
      <c r="BU102" s="32">
        <v>0</v>
      </c>
      <c r="BV102" s="32">
        <v>0</v>
      </c>
      <c r="BW102" s="32">
        <v>0</v>
      </c>
      <c r="BX102" s="32">
        <v>265.00590008382176</v>
      </c>
      <c r="BY102" s="32">
        <v>32.402315442591345</v>
      </c>
      <c r="BZ102" s="32">
        <v>-761.05827531819057</v>
      </c>
      <c r="CA102" s="32">
        <v>0</v>
      </c>
      <c r="CB102" s="32">
        <v>279.67224308325115</v>
      </c>
      <c r="CC102" s="32">
        <v>-463.65005979177749</v>
      </c>
      <c r="CD102" s="382">
        <v>3.4993334550605701</v>
      </c>
      <c r="CE102" s="32">
        <v>-93.691988039622629</v>
      </c>
      <c r="CF102" s="32">
        <v>4.0291685661275602</v>
      </c>
      <c r="CG102" s="32">
        <v>0</v>
      </c>
      <c r="CH102" s="32">
        <v>4.0291685661275602</v>
      </c>
      <c r="CI102" s="32">
        <v>0.20145789455943236</v>
      </c>
      <c r="CJ102" s="32">
        <v>0</v>
      </c>
      <c r="CK102" s="32">
        <v>0.20145789455943236</v>
      </c>
      <c r="CL102" s="32"/>
      <c r="CM102" s="32">
        <v>0</v>
      </c>
      <c r="CN102" s="32"/>
      <c r="CO102" s="32">
        <v>0</v>
      </c>
      <c r="CP102" s="32">
        <v>0</v>
      </c>
      <c r="CQ102" s="32">
        <v>0</v>
      </c>
      <c r="CR102" s="32">
        <v>0</v>
      </c>
      <c r="CS102" s="32">
        <v>0</v>
      </c>
      <c r="CT102" s="32">
        <v>0</v>
      </c>
      <c r="CU102" s="32">
        <v>0</v>
      </c>
      <c r="CV102" s="32">
        <v>9999</v>
      </c>
      <c r="CW102" s="382">
        <v>9999</v>
      </c>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row>
    <row r="103" spans="1:131">
      <c r="A103" s="11" t="s">
        <v>868</v>
      </c>
      <c r="B103" s="11"/>
      <c r="C103" s="32">
        <v>11.627906976744184</v>
      </c>
      <c r="D103" s="32">
        <v>2919.7</v>
      </c>
      <c r="E103" s="32">
        <v>0</v>
      </c>
      <c r="F103" s="32">
        <v>532.0694632777404</v>
      </c>
      <c r="G103" s="32">
        <v>-56</v>
      </c>
      <c r="H103" s="32">
        <v>0</v>
      </c>
      <c r="I103" s="32"/>
      <c r="J103" s="32"/>
      <c r="K103" s="32"/>
      <c r="L103" s="32">
        <v>3130.2038994474719</v>
      </c>
      <c r="M103" s="32">
        <v>0.73063576372878758</v>
      </c>
      <c r="N103" s="32">
        <v>0.72536236243510932</v>
      </c>
      <c r="O103" s="32">
        <v>0</v>
      </c>
      <c r="P103" s="32">
        <v>0</v>
      </c>
      <c r="Q103" s="32">
        <v>0</v>
      </c>
      <c r="R103" s="32">
        <v>106.10175862866241</v>
      </c>
      <c r="S103" s="32">
        <v>245.18502620445005</v>
      </c>
      <c r="T103" s="32">
        <v>0</v>
      </c>
      <c r="U103" s="32">
        <v>519.03093843485806</v>
      </c>
      <c r="V103" s="32">
        <v>31.924167796664424</v>
      </c>
      <c r="W103" s="32">
        <v>74.489724858883662</v>
      </c>
      <c r="X103" s="32">
        <v>0</v>
      </c>
      <c r="Y103" s="32">
        <v>0</v>
      </c>
      <c r="Z103" s="32">
        <v>0</v>
      </c>
      <c r="AA103" s="32">
        <v>0</v>
      </c>
      <c r="AB103" s="32">
        <v>0</v>
      </c>
      <c r="AC103" s="32">
        <v>-761.05827531819057</v>
      </c>
      <c r="AD103" s="32">
        <v>0</v>
      </c>
      <c r="AE103" s="32">
        <v>0</v>
      </c>
      <c r="AF103" s="32">
        <v>0</v>
      </c>
      <c r="AG103" s="32">
        <v>0</v>
      </c>
      <c r="AH103" s="32">
        <v>138.02592642532684</v>
      </c>
      <c r="AI103" s="32">
        <v>319.6747510633337</v>
      </c>
      <c r="AJ103" s="32">
        <v>0</v>
      </c>
      <c r="AK103" s="32">
        <v>-242.02733688333251</v>
      </c>
      <c r="AL103" s="32">
        <v>215.67334060532795</v>
      </c>
      <c r="AM103" s="32">
        <v>1500.3384624646255</v>
      </c>
      <c r="AN103" s="32">
        <v>258.16904017785203</v>
      </c>
      <c r="AO103" s="32">
        <v>0</v>
      </c>
      <c r="AP103" s="32">
        <v>0</v>
      </c>
      <c r="AQ103" s="32">
        <v>1758.5075026424774</v>
      </c>
      <c r="AR103" s="32">
        <v>138.02592642532684</v>
      </c>
      <c r="AS103" s="382">
        <v>12.740414414779128</v>
      </c>
      <c r="AT103" s="32">
        <v>1500.3384624646255</v>
      </c>
      <c r="AU103" s="32">
        <v>305.59524793934582</v>
      </c>
      <c r="AV103" s="32">
        <v>0</v>
      </c>
      <c r="AW103" s="32">
        <v>0</v>
      </c>
      <c r="AX103" s="32">
        <v>1805.9337104039714</v>
      </c>
      <c r="AY103" s="32">
        <v>319.6747510633337</v>
      </c>
      <c r="AZ103" s="382">
        <v>5.6492847946135765</v>
      </c>
      <c r="BA103" s="32">
        <v>1500.3384624646255</v>
      </c>
      <c r="BB103" s="32">
        <v>563.76428811719779</v>
      </c>
      <c r="BC103" s="32">
        <v>0</v>
      </c>
      <c r="BD103" s="32">
        <v>0</v>
      </c>
      <c r="BE103" s="32">
        <v>2064.1027505818233</v>
      </c>
      <c r="BF103" s="32">
        <v>457.70067748866052</v>
      </c>
      <c r="BG103" s="32">
        <v>-2.4932388965458538</v>
      </c>
      <c r="BH103" s="382">
        <v>4.5097218599440705</v>
      </c>
      <c r="BI103" s="32">
        <v>3.2445775365939626</v>
      </c>
      <c r="BJ103" s="32">
        <v>7.5145992001546054</v>
      </c>
      <c r="BK103" s="32">
        <v>0</v>
      </c>
      <c r="BL103" s="32">
        <v>-5.6893402625930651</v>
      </c>
      <c r="BM103" s="32">
        <v>5.0698364741555011</v>
      </c>
      <c r="BN103" s="32">
        <v>1500.3384624646255</v>
      </c>
      <c r="BO103" s="32">
        <v>0</v>
      </c>
      <c r="BP103" s="32">
        <v>563.76428811719779</v>
      </c>
      <c r="BQ103" s="32">
        <v>0</v>
      </c>
      <c r="BR103" s="32">
        <v>0</v>
      </c>
      <c r="BS103" s="32">
        <v>0</v>
      </c>
      <c r="BT103" s="32">
        <v>0</v>
      </c>
      <c r="BU103" s="32">
        <v>0</v>
      </c>
      <c r="BV103" s="32">
        <v>0</v>
      </c>
      <c r="BW103" s="32">
        <v>0</v>
      </c>
      <c r="BX103" s="32">
        <v>870.31772326797045</v>
      </c>
      <c r="BY103" s="32">
        <v>106.41389265554808</v>
      </c>
      <c r="BZ103" s="32">
        <v>-761.05827531819057</v>
      </c>
      <c r="CA103" s="32">
        <v>0</v>
      </c>
      <c r="CB103" s="32">
        <v>2064.1027505818233</v>
      </c>
      <c r="CC103" s="32">
        <v>215.67334060532795</v>
      </c>
      <c r="CD103" s="382">
        <v>2.8924639889216341</v>
      </c>
      <c r="CE103" s="32">
        <v>-8.1825791591389176</v>
      </c>
      <c r="CF103" s="32">
        <v>29.73701583044155</v>
      </c>
      <c r="CG103" s="32">
        <v>0</v>
      </c>
      <c r="CH103" s="32">
        <v>29.73701583044155</v>
      </c>
      <c r="CI103" s="32">
        <v>1.4868468522375493</v>
      </c>
      <c r="CJ103" s="32">
        <v>0</v>
      </c>
      <c r="CK103" s="32">
        <v>1.4868468522375493</v>
      </c>
      <c r="CL103" s="32"/>
      <c r="CM103" s="32">
        <v>0</v>
      </c>
      <c r="CN103" s="32"/>
      <c r="CO103" s="32">
        <v>0</v>
      </c>
      <c r="CP103" s="32">
        <v>0</v>
      </c>
      <c r="CQ103" s="32">
        <v>0</v>
      </c>
      <c r="CR103" s="32">
        <v>0</v>
      </c>
      <c r="CS103" s="32">
        <v>0</v>
      </c>
      <c r="CT103" s="32">
        <v>0</v>
      </c>
      <c r="CU103" s="32">
        <v>0</v>
      </c>
      <c r="CV103" s="32">
        <v>9999</v>
      </c>
      <c r="CW103" s="382">
        <v>9999</v>
      </c>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row>
    <row r="104" spans="1:131">
      <c r="A104" s="11" t="s">
        <v>953</v>
      </c>
      <c r="B104" s="11"/>
      <c r="C104" s="32">
        <v>11.627906976744185</v>
      </c>
      <c r="D104" s="32">
        <v>1152.4000000000001</v>
      </c>
      <c r="E104" s="32">
        <v>0</v>
      </c>
      <c r="F104" s="32">
        <v>324.02315442591345</v>
      </c>
      <c r="G104" s="32">
        <v>-56</v>
      </c>
      <c r="H104" s="32">
        <v>0</v>
      </c>
      <c r="I104" s="32"/>
      <c r="J104" s="32"/>
      <c r="K104" s="32"/>
      <c r="L104" s="32">
        <v>1235.4854860853059</v>
      </c>
      <c r="M104" s="32">
        <v>0.28838053708293826</v>
      </c>
      <c r="N104" s="32">
        <v>0.28629913568867355</v>
      </c>
      <c r="O104" s="32">
        <v>0</v>
      </c>
      <c r="P104" s="32">
        <v>0</v>
      </c>
      <c r="Q104" s="32">
        <v>0</v>
      </c>
      <c r="R104" s="32">
        <v>64.614545456539403</v>
      </c>
      <c r="S104" s="32">
        <v>149.31438673317646</v>
      </c>
      <c r="T104" s="32">
        <v>0</v>
      </c>
      <c r="U104" s="32">
        <v>316.08286797792761</v>
      </c>
      <c r="V104" s="32">
        <v>19.441389265554808</v>
      </c>
      <c r="W104" s="32">
        <v>45.363241619627885</v>
      </c>
      <c r="X104" s="32">
        <v>0</v>
      </c>
      <c r="Y104" s="32">
        <v>0</v>
      </c>
      <c r="Z104" s="32">
        <v>0</v>
      </c>
      <c r="AA104" s="32">
        <v>0</v>
      </c>
      <c r="AB104" s="32">
        <v>0</v>
      </c>
      <c r="AC104" s="32">
        <v>-761.05827531819057</v>
      </c>
      <c r="AD104" s="32">
        <v>0</v>
      </c>
      <c r="AE104" s="32">
        <v>0</v>
      </c>
      <c r="AF104" s="32">
        <v>0</v>
      </c>
      <c r="AG104" s="32">
        <v>0</v>
      </c>
      <c r="AH104" s="32">
        <v>84.055934722094207</v>
      </c>
      <c r="AI104" s="32">
        <v>194.67762835280433</v>
      </c>
      <c r="AJ104" s="32">
        <v>0</v>
      </c>
      <c r="AK104" s="32">
        <v>-444.97540734026296</v>
      </c>
      <c r="AL104" s="32">
        <v>-166.24184426536436</v>
      </c>
      <c r="AM104" s="32">
        <v>592.18071861637611</v>
      </c>
      <c r="AN104" s="32">
        <v>101.89882587284885</v>
      </c>
      <c r="AO104" s="32">
        <v>0</v>
      </c>
      <c r="AP104" s="32">
        <v>0</v>
      </c>
      <c r="AQ104" s="32">
        <v>694.07954448922499</v>
      </c>
      <c r="AR104" s="32">
        <v>84.055934722094207</v>
      </c>
      <c r="AS104" s="382">
        <v>8.2573532348904486</v>
      </c>
      <c r="AT104" s="32">
        <v>592.18071861637611</v>
      </c>
      <c r="AU104" s="32">
        <v>120.61785927502898</v>
      </c>
      <c r="AV104" s="32">
        <v>0</v>
      </c>
      <c r="AW104" s="32">
        <v>0</v>
      </c>
      <c r="AX104" s="32">
        <v>712.7985778914051</v>
      </c>
      <c r="AY104" s="32">
        <v>194.67762835280433</v>
      </c>
      <c r="AZ104" s="382">
        <v>3.6614303550053351</v>
      </c>
      <c r="BA104" s="32">
        <v>592.18071861637611</v>
      </c>
      <c r="BB104" s="32">
        <v>222.51668514787781</v>
      </c>
      <c r="BC104" s="32">
        <v>0</v>
      </c>
      <c r="BD104" s="32">
        <v>0</v>
      </c>
      <c r="BE104" s="32">
        <v>814.69740376425398</v>
      </c>
      <c r="BF104" s="32">
        <v>278.73356307489854</v>
      </c>
      <c r="BG104" s="32">
        <v>3.3481059247307288</v>
      </c>
      <c r="BH104" s="382">
        <v>2.9228536196960841</v>
      </c>
      <c r="BI104" s="32">
        <v>5.0061153061037329</v>
      </c>
      <c r="BJ104" s="32">
        <v>11.59440625192142</v>
      </c>
      <c r="BK104" s="32">
        <v>0</v>
      </c>
      <c r="BL104" s="32">
        <v>-26.501379169605578</v>
      </c>
      <c r="BM104" s="32">
        <v>-9.9008576115804239</v>
      </c>
      <c r="BN104" s="32">
        <v>592.18071861637611</v>
      </c>
      <c r="BO104" s="32">
        <v>0</v>
      </c>
      <c r="BP104" s="32">
        <v>222.51668514787781</v>
      </c>
      <c r="BQ104" s="32">
        <v>0</v>
      </c>
      <c r="BR104" s="32">
        <v>0</v>
      </c>
      <c r="BS104" s="32">
        <v>0</v>
      </c>
      <c r="BT104" s="32">
        <v>0</v>
      </c>
      <c r="BU104" s="32">
        <v>0</v>
      </c>
      <c r="BV104" s="32">
        <v>0</v>
      </c>
      <c r="BW104" s="32">
        <v>0</v>
      </c>
      <c r="BX104" s="32">
        <v>530.01180016764351</v>
      </c>
      <c r="BY104" s="32">
        <v>64.804630885182689</v>
      </c>
      <c r="BZ104" s="32">
        <v>-761.05827531819057</v>
      </c>
      <c r="CA104" s="32">
        <v>0</v>
      </c>
      <c r="CB104" s="32">
        <v>814.69740376425398</v>
      </c>
      <c r="CC104" s="32">
        <v>-166.24184426536436</v>
      </c>
      <c r="CD104" s="382">
        <v>2.6491461849723184</v>
      </c>
      <c r="CE104" s="32">
        <v>-23.153273244874839</v>
      </c>
      <c r="CF104" s="32">
        <v>11.737143214371596</v>
      </c>
      <c r="CG104" s="32">
        <v>0</v>
      </c>
      <c r="CH104" s="32">
        <v>11.737143214371596</v>
      </c>
      <c r="CI104" s="32">
        <v>0.58685560589052044</v>
      </c>
      <c r="CJ104" s="32">
        <v>0</v>
      </c>
      <c r="CK104" s="32">
        <v>0.58685560589052044</v>
      </c>
      <c r="CL104" s="32"/>
      <c r="CM104" s="32">
        <v>0</v>
      </c>
      <c r="CN104" s="32"/>
      <c r="CO104" s="32">
        <v>0</v>
      </c>
      <c r="CP104" s="32">
        <v>0</v>
      </c>
      <c r="CQ104" s="32">
        <v>0</v>
      </c>
      <c r="CR104" s="32">
        <v>0</v>
      </c>
      <c r="CS104" s="32">
        <v>0</v>
      </c>
      <c r="CT104" s="32">
        <v>0</v>
      </c>
      <c r="CU104" s="32">
        <v>0</v>
      </c>
      <c r="CV104" s="32">
        <v>9999</v>
      </c>
      <c r="CW104" s="382">
        <v>9999</v>
      </c>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row>
    <row r="105" spans="1:131">
      <c r="A105" s="11" t="s">
        <v>867</v>
      </c>
      <c r="B105" s="11"/>
      <c r="C105" s="32">
        <v>11.627906976744184</v>
      </c>
      <c r="D105" s="32">
        <v>2919.7</v>
      </c>
      <c r="E105" s="32">
        <v>0</v>
      </c>
      <c r="F105" s="32">
        <v>532.0694632777404</v>
      </c>
      <c r="G105" s="32">
        <v>0</v>
      </c>
      <c r="H105" s="32">
        <v>-173.22040249614597</v>
      </c>
      <c r="I105" s="32"/>
      <c r="J105" s="32"/>
      <c r="K105" s="32"/>
      <c r="L105" s="32">
        <v>3130.2038994474719</v>
      </c>
      <c r="M105" s="32">
        <v>0.73063576372878758</v>
      </c>
      <c r="N105" s="32">
        <v>0.72536236243510932</v>
      </c>
      <c r="O105" s="32">
        <v>0</v>
      </c>
      <c r="P105" s="32">
        <v>0</v>
      </c>
      <c r="Q105" s="32">
        <v>0</v>
      </c>
      <c r="R105" s="32">
        <v>106.10175862866241</v>
      </c>
      <c r="S105" s="32">
        <v>245.18502620445005</v>
      </c>
      <c r="T105" s="32">
        <v>0</v>
      </c>
      <c r="U105" s="32">
        <v>519.03093843485806</v>
      </c>
      <c r="V105" s="32">
        <v>31.924167796664424</v>
      </c>
      <c r="W105" s="32">
        <v>74.489724858883662</v>
      </c>
      <c r="X105" s="32">
        <v>0</v>
      </c>
      <c r="Y105" s="32">
        <v>0</v>
      </c>
      <c r="Z105" s="32">
        <v>0</v>
      </c>
      <c r="AA105" s="32">
        <v>0</v>
      </c>
      <c r="AB105" s="32">
        <v>0</v>
      </c>
      <c r="AC105" s="32">
        <v>0</v>
      </c>
      <c r="AD105" s="32">
        <v>0</v>
      </c>
      <c r="AE105" s="32">
        <v>0</v>
      </c>
      <c r="AF105" s="32">
        <v>0</v>
      </c>
      <c r="AG105" s="32">
        <v>-173.22040249614597</v>
      </c>
      <c r="AH105" s="32">
        <v>138.02592642532684</v>
      </c>
      <c r="AI105" s="32">
        <v>319.6747510633337</v>
      </c>
      <c r="AJ105" s="32">
        <v>0</v>
      </c>
      <c r="AK105" s="32">
        <v>345.81053593871206</v>
      </c>
      <c r="AL105" s="32">
        <v>803.51121342737258</v>
      </c>
      <c r="AM105" s="32">
        <v>1500.3384624646255</v>
      </c>
      <c r="AN105" s="32">
        <v>258.16904017785203</v>
      </c>
      <c r="AO105" s="32">
        <v>0</v>
      </c>
      <c r="AP105" s="32">
        <v>0</v>
      </c>
      <c r="AQ105" s="32">
        <v>1758.5075026424774</v>
      </c>
      <c r="AR105" s="32">
        <v>138.02592642532684</v>
      </c>
      <c r="AS105" s="382">
        <v>12.740414414779128</v>
      </c>
      <c r="AT105" s="32">
        <v>1500.3384624646255</v>
      </c>
      <c r="AU105" s="32">
        <v>305.59524793934582</v>
      </c>
      <c r="AV105" s="32">
        <v>0</v>
      </c>
      <c r="AW105" s="32">
        <v>0</v>
      </c>
      <c r="AX105" s="32">
        <v>1805.9337104039714</v>
      </c>
      <c r="AY105" s="32">
        <v>319.6747510633337</v>
      </c>
      <c r="AZ105" s="382">
        <v>5.6492847946135765</v>
      </c>
      <c r="BA105" s="32">
        <v>1500.3384624646255</v>
      </c>
      <c r="BB105" s="32">
        <v>563.76428811719779</v>
      </c>
      <c r="BC105" s="32">
        <v>0</v>
      </c>
      <c r="BD105" s="32">
        <v>0</v>
      </c>
      <c r="BE105" s="32">
        <v>2064.1027505818233</v>
      </c>
      <c r="BF105" s="32">
        <v>457.70067748866052</v>
      </c>
      <c r="BG105" s="32">
        <v>-2.4932388965458538</v>
      </c>
      <c r="BH105" s="382">
        <v>4.5097218599440705</v>
      </c>
      <c r="BI105" s="32">
        <v>3.2445775365939626</v>
      </c>
      <c r="BJ105" s="32">
        <v>7.5145992001546054</v>
      </c>
      <c r="BK105" s="32">
        <v>0</v>
      </c>
      <c r="BL105" s="32">
        <v>8.1289734898557668</v>
      </c>
      <c r="BM105" s="32">
        <v>18.888150226604335</v>
      </c>
      <c r="BN105" s="32">
        <v>1500.3384624646255</v>
      </c>
      <c r="BO105" s="32">
        <v>0</v>
      </c>
      <c r="BP105" s="32">
        <v>563.76428811719779</v>
      </c>
      <c r="BQ105" s="32">
        <v>0</v>
      </c>
      <c r="BR105" s="32">
        <v>0</v>
      </c>
      <c r="BS105" s="32">
        <v>0</v>
      </c>
      <c r="BT105" s="32">
        <v>0</v>
      </c>
      <c r="BU105" s="32">
        <v>0</v>
      </c>
      <c r="BV105" s="32">
        <v>0</v>
      </c>
      <c r="BW105" s="32">
        <v>0</v>
      </c>
      <c r="BX105" s="32">
        <v>870.31772326797045</v>
      </c>
      <c r="BY105" s="32">
        <v>106.41389265554808</v>
      </c>
      <c r="BZ105" s="32">
        <v>0</v>
      </c>
      <c r="CA105" s="32">
        <v>-173.22040249614597</v>
      </c>
      <c r="CB105" s="32">
        <v>2064.1027505818233</v>
      </c>
      <c r="CC105" s="32">
        <v>803.51121342737258</v>
      </c>
      <c r="CD105" s="382">
        <v>2.2906222309211701</v>
      </c>
      <c r="CE105" s="32">
        <v>5.6357345933099179</v>
      </c>
      <c r="CF105" s="32">
        <v>29.73701583044155</v>
      </c>
      <c r="CG105" s="32">
        <v>0</v>
      </c>
      <c r="CH105" s="32">
        <v>29.73701583044155</v>
      </c>
      <c r="CI105" s="32">
        <v>1.4868468522375493</v>
      </c>
      <c r="CJ105" s="32">
        <v>0</v>
      </c>
      <c r="CK105" s="32">
        <v>1.4868468522375493</v>
      </c>
      <c r="CL105" s="32"/>
      <c r="CM105" s="32">
        <v>0</v>
      </c>
      <c r="CN105" s="32"/>
      <c r="CO105" s="32">
        <v>0</v>
      </c>
      <c r="CP105" s="32">
        <v>0</v>
      </c>
      <c r="CQ105" s="32">
        <v>0</v>
      </c>
      <c r="CR105" s="32">
        <v>0</v>
      </c>
      <c r="CS105" s="32">
        <v>0</v>
      </c>
      <c r="CT105" s="32">
        <v>0</v>
      </c>
      <c r="CU105" s="32">
        <v>0</v>
      </c>
      <c r="CV105" s="32">
        <v>9999</v>
      </c>
      <c r="CW105" s="382">
        <v>9999</v>
      </c>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row>
    <row r="106" spans="1:131">
      <c r="A106" s="11" t="s">
        <v>841</v>
      </c>
      <c r="B106" s="11"/>
      <c r="C106" s="32">
        <v>11.627906976744185</v>
      </c>
      <c r="D106" s="32">
        <v>666.5</v>
      </c>
      <c r="E106" s="32">
        <v>0</v>
      </c>
      <c r="F106" s="32">
        <v>162.01157721295672</v>
      </c>
      <c r="G106" s="32">
        <v>0</v>
      </c>
      <c r="H106" s="32">
        <v>-154.68188626437851</v>
      </c>
      <c r="I106" s="32"/>
      <c r="J106" s="32"/>
      <c r="K106" s="32"/>
      <c r="L106" s="32">
        <v>714.55317292247162</v>
      </c>
      <c r="M106" s="32">
        <v>0.16678725092483371</v>
      </c>
      <c r="N106" s="32">
        <v>0.16558345534232982</v>
      </c>
      <c r="O106" s="32">
        <v>0</v>
      </c>
      <c r="P106" s="32">
        <v>0</v>
      </c>
      <c r="Q106" s="32">
        <v>0</v>
      </c>
      <c r="R106" s="32">
        <v>32.307272728269702</v>
      </c>
      <c r="S106" s="32">
        <v>74.657193366588231</v>
      </c>
      <c r="T106" s="32">
        <v>0</v>
      </c>
      <c r="U106" s="32">
        <v>158.0414339889638</v>
      </c>
      <c r="V106" s="32">
        <v>9.7206946327774038</v>
      </c>
      <c r="W106" s="32">
        <v>22.681620809813943</v>
      </c>
      <c r="X106" s="32">
        <v>0</v>
      </c>
      <c r="Y106" s="32">
        <v>0</v>
      </c>
      <c r="Z106" s="32">
        <v>0</v>
      </c>
      <c r="AA106" s="32">
        <v>0</v>
      </c>
      <c r="AB106" s="32">
        <v>0</v>
      </c>
      <c r="AC106" s="32">
        <v>0</v>
      </c>
      <c r="AD106" s="32">
        <v>0</v>
      </c>
      <c r="AE106" s="32">
        <v>0</v>
      </c>
      <c r="AF106" s="32">
        <v>0</v>
      </c>
      <c r="AG106" s="32">
        <v>-154.68188626437851</v>
      </c>
      <c r="AH106" s="32">
        <v>42.027967361047104</v>
      </c>
      <c r="AI106" s="32">
        <v>97.338814176402167</v>
      </c>
      <c r="AJ106" s="32">
        <v>0</v>
      </c>
      <c r="AK106" s="32">
        <v>3.3595477245852976</v>
      </c>
      <c r="AL106" s="32">
        <v>142.7263292620346</v>
      </c>
      <c r="AM106" s="32">
        <v>342.49257979678458</v>
      </c>
      <c r="AN106" s="32">
        <v>58.93402242646107</v>
      </c>
      <c r="AO106" s="32">
        <v>0</v>
      </c>
      <c r="AP106" s="32">
        <v>0</v>
      </c>
      <c r="AQ106" s="32">
        <v>401.42660222324565</v>
      </c>
      <c r="AR106" s="32">
        <v>42.027967361047104</v>
      </c>
      <c r="AS106" s="382">
        <v>9.5514160552837239</v>
      </c>
      <c r="AT106" s="32">
        <v>342.49257979678458</v>
      </c>
      <c r="AU106" s="32">
        <v>69.760329058318973</v>
      </c>
      <c r="AV106" s="32">
        <v>0</v>
      </c>
      <c r="AW106" s="32">
        <v>0</v>
      </c>
      <c r="AX106" s="32">
        <v>412.25290885510356</v>
      </c>
      <c r="AY106" s="32">
        <v>97.338814176402167</v>
      </c>
      <c r="AZ106" s="382">
        <v>4.2352366046703489</v>
      </c>
      <c r="BA106" s="32">
        <v>342.49257979678458</v>
      </c>
      <c r="BB106" s="32">
        <v>128.69435148478004</v>
      </c>
      <c r="BC106" s="32">
        <v>0</v>
      </c>
      <c r="BD106" s="32">
        <v>0</v>
      </c>
      <c r="BE106" s="32">
        <v>471.18693128156463</v>
      </c>
      <c r="BF106" s="32">
        <v>139.36678153744927</v>
      </c>
      <c r="BG106" s="32">
        <v>1.0990030039660381</v>
      </c>
      <c r="BH106" s="382">
        <v>3.3809127690514393</v>
      </c>
      <c r="BI106" s="32">
        <v>4.3278674259219372</v>
      </c>
      <c r="BJ106" s="32">
        <v>10.023551211338519</v>
      </c>
      <c r="BK106" s="32">
        <v>0</v>
      </c>
      <c r="BL106" s="32">
        <v>0.34595242349356925</v>
      </c>
      <c r="BM106" s="32">
        <v>14.697371060754026</v>
      </c>
      <c r="BN106" s="32">
        <v>342.49257979678458</v>
      </c>
      <c r="BO106" s="32">
        <v>0</v>
      </c>
      <c r="BP106" s="32">
        <v>128.69435148478004</v>
      </c>
      <c r="BQ106" s="32">
        <v>0</v>
      </c>
      <c r="BR106" s="32">
        <v>0</v>
      </c>
      <c r="BS106" s="32">
        <v>0</v>
      </c>
      <c r="BT106" s="32">
        <v>0</v>
      </c>
      <c r="BU106" s="32">
        <v>0</v>
      </c>
      <c r="BV106" s="32">
        <v>0</v>
      </c>
      <c r="BW106" s="32">
        <v>0</v>
      </c>
      <c r="BX106" s="32">
        <v>265.00590008382176</v>
      </c>
      <c r="BY106" s="32">
        <v>32.402315442591345</v>
      </c>
      <c r="BZ106" s="32">
        <v>0</v>
      </c>
      <c r="CA106" s="32">
        <v>-154.68188626437851</v>
      </c>
      <c r="CB106" s="32">
        <v>471.18693128156463</v>
      </c>
      <c r="CC106" s="32">
        <v>142.7263292620346</v>
      </c>
      <c r="CD106" s="382">
        <v>2.1044099822130136</v>
      </c>
      <c r="CE106" s="32">
        <v>1.4449554274596133</v>
      </c>
      <c r="CF106" s="32">
        <v>6.788273127714926</v>
      </c>
      <c r="CG106" s="32">
        <v>0</v>
      </c>
      <c r="CH106" s="32">
        <v>6.788273127714926</v>
      </c>
      <c r="CI106" s="32">
        <v>0.33941275713817404</v>
      </c>
      <c r="CJ106" s="32">
        <v>0</v>
      </c>
      <c r="CK106" s="32">
        <v>0.33941275713817404</v>
      </c>
      <c r="CL106" s="32"/>
      <c r="CM106" s="32">
        <v>0</v>
      </c>
      <c r="CN106" s="32"/>
      <c r="CO106" s="32">
        <v>0</v>
      </c>
      <c r="CP106" s="32">
        <v>0</v>
      </c>
      <c r="CQ106" s="32">
        <v>0</v>
      </c>
      <c r="CR106" s="32">
        <v>0</v>
      </c>
      <c r="CS106" s="32">
        <v>0</v>
      </c>
      <c r="CT106" s="32">
        <v>0</v>
      </c>
      <c r="CU106" s="32">
        <v>0</v>
      </c>
      <c r="CV106" s="32">
        <v>9999</v>
      </c>
      <c r="CW106" s="382">
        <v>9999</v>
      </c>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row>
    <row r="107" spans="1:131">
      <c r="A107" s="11" t="s">
        <v>530</v>
      </c>
      <c r="B107" s="11"/>
      <c r="C107" s="32">
        <v>11.627906976744185</v>
      </c>
      <c r="D107" s="32">
        <v>339.69999999999993</v>
      </c>
      <c r="E107" s="32">
        <v>0</v>
      </c>
      <c r="F107" s="32">
        <v>113.40810404906972</v>
      </c>
      <c r="G107" s="32">
        <v>0</v>
      </c>
      <c r="H107" s="32">
        <v>-148.8813155294643</v>
      </c>
      <c r="I107" s="32"/>
      <c r="J107" s="32"/>
      <c r="K107" s="32"/>
      <c r="L107" s="32">
        <v>364.19161716693708</v>
      </c>
      <c r="M107" s="32">
        <v>8.5007695632657157E-2</v>
      </c>
      <c r="N107" s="32">
        <v>8.4394148206735825E-2</v>
      </c>
      <c r="O107" s="32">
        <v>0</v>
      </c>
      <c r="P107" s="32">
        <v>0</v>
      </c>
      <c r="Q107" s="32">
        <v>0</v>
      </c>
      <c r="R107" s="32">
        <v>22.61509090978879</v>
      </c>
      <c r="S107" s="32">
        <v>52.260035356611773</v>
      </c>
      <c r="T107" s="32">
        <v>0</v>
      </c>
      <c r="U107" s="32">
        <v>110.62900379227469</v>
      </c>
      <c r="V107" s="32">
        <v>6.8044862429441837</v>
      </c>
      <c r="W107" s="32">
        <v>15.87713456686976</v>
      </c>
      <c r="X107" s="32">
        <v>0</v>
      </c>
      <c r="Y107" s="32">
        <v>0</v>
      </c>
      <c r="Z107" s="32">
        <v>0</v>
      </c>
      <c r="AA107" s="32">
        <v>0</v>
      </c>
      <c r="AB107" s="32">
        <v>0</v>
      </c>
      <c r="AC107" s="32">
        <v>0</v>
      </c>
      <c r="AD107" s="32">
        <v>0</v>
      </c>
      <c r="AE107" s="32">
        <v>0</v>
      </c>
      <c r="AF107" s="32">
        <v>0</v>
      </c>
      <c r="AG107" s="32">
        <v>-148.8813155294643</v>
      </c>
      <c r="AH107" s="32">
        <v>29.419577152732973</v>
      </c>
      <c r="AI107" s="32">
        <v>68.137169923481537</v>
      </c>
      <c r="AJ107" s="32">
        <v>0</v>
      </c>
      <c r="AK107" s="32">
        <v>-38.252311737189615</v>
      </c>
      <c r="AL107" s="32">
        <v>59.304435339024906</v>
      </c>
      <c r="AM107" s="32">
        <v>174.56073421900641</v>
      </c>
      <c r="AN107" s="32">
        <v>30.03734046251887</v>
      </c>
      <c r="AO107" s="32">
        <v>0</v>
      </c>
      <c r="AP107" s="32">
        <v>0</v>
      </c>
      <c r="AQ107" s="32">
        <v>204.59807468152528</v>
      </c>
      <c r="AR107" s="32">
        <v>29.419577152732973</v>
      </c>
      <c r="AS107" s="382">
        <v>6.9544872660591199</v>
      </c>
      <c r="AT107" s="32">
        <v>174.56073421900641</v>
      </c>
      <c r="AU107" s="32">
        <v>35.555264487788371</v>
      </c>
      <c r="AV107" s="32">
        <v>0</v>
      </c>
      <c r="AW107" s="32">
        <v>0</v>
      </c>
      <c r="AX107" s="32">
        <v>210.11599870679478</v>
      </c>
      <c r="AY107" s="32">
        <v>68.137169923481537</v>
      </c>
      <c r="AZ107" s="382">
        <v>3.0837206614650468</v>
      </c>
      <c r="BA107" s="32">
        <v>174.56073421900641</v>
      </c>
      <c r="BB107" s="32">
        <v>65.592604950307248</v>
      </c>
      <c r="BC107" s="32">
        <v>0</v>
      </c>
      <c r="BD107" s="32">
        <v>0</v>
      </c>
      <c r="BE107" s="32">
        <v>240.15333916931365</v>
      </c>
      <c r="BF107" s="32">
        <v>97.556747076214521</v>
      </c>
      <c r="BG107" s="32">
        <v>6.4580770520569777</v>
      </c>
      <c r="BH107" s="382">
        <v>2.4616784217056562</v>
      </c>
      <c r="BI107" s="32">
        <v>5.9439698191459529</v>
      </c>
      <c r="BJ107" s="32">
        <v>13.766522866205438</v>
      </c>
      <c r="BK107" s="32">
        <v>0</v>
      </c>
      <c r="BL107" s="32">
        <v>-7.7285470589197658</v>
      </c>
      <c r="BM107" s="32">
        <v>11.981945626431628</v>
      </c>
      <c r="BN107" s="32">
        <v>174.56073421900641</v>
      </c>
      <c r="BO107" s="32">
        <v>0</v>
      </c>
      <c r="BP107" s="32">
        <v>65.592604950307248</v>
      </c>
      <c r="BQ107" s="32">
        <v>0</v>
      </c>
      <c r="BR107" s="32">
        <v>0</v>
      </c>
      <c r="BS107" s="32">
        <v>0</v>
      </c>
      <c r="BT107" s="32">
        <v>0</v>
      </c>
      <c r="BU107" s="32">
        <v>0</v>
      </c>
      <c r="BV107" s="32">
        <v>0</v>
      </c>
      <c r="BW107" s="32">
        <v>0</v>
      </c>
      <c r="BX107" s="32">
        <v>185.50413005867526</v>
      </c>
      <c r="BY107" s="32">
        <v>22.681620809813946</v>
      </c>
      <c r="BZ107" s="32">
        <v>0</v>
      </c>
      <c r="CA107" s="32">
        <v>-148.8813155294643</v>
      </c>
      <c r="CB107" s="32">
        <v>240.15333916931365</v>
      </c>
      <c r="CC107" s="32">
        <v>59.304435339024906</v>
      </c>
      <c r="CD107" s="382">
        <v>1.868690114841389</v>
      </c>
      <c r="CE107" s="32">
        <v>-1.2704700068627879</v>
      </c>
      <c r="CF107" s="32">
        <v>3.4598295296095349</v>
      </c>
      <c r="CG107" s="32">
        <v>0</v>
      </c>
      <c r="CH107" s="32">
        <v>3.4598295296095349</v>
      </c>
      <c r="CI107" s="32">
        <v>0.17299101815429513</v>
      </c>
      <c r="CJ107" s="32">
        <v>0</v>
      </c>
      <c r="CK107" s="32">
        <v>0.17299101815429513</v>
      </c>
      <c r="CL107" s="32"/>
      <c r="CM107" s="32">
        <v>0</v>
      </c>
      <c r="CN107" s="32"/>
      <c r="CO107" s="32">
        <v>0</v>
      </c>
      <c r="CP107" s="32">
        <v>0</v>
      </c>
      <c r="CQ107" s="32">
        <v>0</v>
      </c>
      <c r="CR107" s="32">
        <v>0</v>
      </c>
      <c r="CS107" s="32">
        <v>0</v>
      </c>
      <c r="CT107" s="32">
        <v>0</v>
      </c>
      <c r="CU107" s="32">
        <v>0</v>
      </c>
      <c r="CV107" s="32">
        <v>9999</v>
      </c>
      <c r="CW107" s="382">
        <v>9999</v>
      </c>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row>
    <row r="108" spans="1:131">
      <c r="A108" s="11" t="s">
        <v>952</v>
      </c>
      <c r="B108" s="11"/>
      <c r="C108" s="32">
        <v>11.627906976744185</v>
      </c>
      <c r="D108" s="32">
        <v>1152.4000000000001</v>
      </c>
      <c r="E108" s="32">
        <v>0</v>
      </c>
      <c r="F108" s="32">
        <v>324.02315442591345</v>
      </c>
      <c r="G108" s="32">
        <v>0</v>
      </c>
      <c r="H108" s="32">
        <v>-169.14462831976607</v>
      </c>
      <c r="I108" s="32"/>
      <c r="J108" s="32"/>
      <c r="K108" s="32"/>
      <c r="L108" s="32">
        <v>1235.4854860853059</v>
      </c>
      <c r="M108" s="32">
        <v>0.28838053708293826</v>
      </c>
      <c r="N108" s="32">
        <v>0.28629913568867355</v>
      </c>
      <c r="O108" s="32">
        <v>0</v>
      </c>
      <c r="P108" s="32">
        <v>0</v>
      </c>
      <c r="Q108" s="32">
        <v>0</v>
      </c>
      <c r="R108" s="32">
        <v>64.614545456539403</v>
      </c>
      <c r="S108" s="32">
        <v>149.31438673317646</v>
      </c>
      <c r="T108" s="32">
        <v>0</v>
      </c>
      <c r="U108" s="32">
        <v>316.08286797792761</v>
      </c>
      <c r="V108" s="32">
        <v>19.441389265554808</v>
      </c>
      <c r="W108" s="32">
        <v>45.363241619627885</v>
      </c>
      <c r="X108" s="32">
        <v>0</v>
      </c>
      <c r="Y108" s="32">
        <v>0</v>
      </c>
      <c r="Z108" s="32">
        <v>0</v>
      </c>
      <c r="AA108" s="32">
        <v>0</v>
      </c>
      <c r="AB108" s="32">
        <v>0</v>
      </c>
      <c r="AC108" s="32">
        <v>0</v>
      </c>
      <c r="AD108" s="32">
        <v>0</v>
      </c>
      <c r="AE108" s="32">
        <v>0</v>
      </c>
      <c r="AF108" s="32">
        <v>0</v>
      </c>
      <c r="AG108" s="32">
        <v>-169.14462831976607</v>
      </c>
      <c r="AH108" s="32">
        <v>84.055934722094207</v>
      </c>
      <c r="AI108" s="32">
        <v>194.67762835280433</v>
      </c>
      <c r="AJ108" s="32">
        <v>0</v>
      </c>
      <c r="AK108" s="32">
        <v>146.93823965816154</v>
      </c>
      <c r="AL108" s="32">
        <v>425.67180273306013</v>
      </c>
      <c r="AM108" s="32">
        <v>592.18071861637611</v>
      </c>
      <c r="AN108" s="32">
        <v>101.89882587284885</v>
      </c>
      <c r="AO108" s="32">
        <v>0</v>
      </c>
      <c r="AP108" s="32">
        <v>0</v>
      </c>
      <c r="AQ108" s="32">
        <v>694.07954448922499</v>
      </c>
      <c r="AR108" s="32">
        <v>84.055934722094207</v>
      </c>
      <c r="AS108" s="382">
        <v>8.2573532348904486</v>
      </c>
      <c r="AT108" s="32">
        <v>592.18071861637611</v>
      </c>
      <c r="AU108" s="32">
        <v>120.61785927502898</v>
      </c>
      <c r="AV108" s="32">
        <v>0</v>
      </c>
      <c r="AW108" s="32">
        <v>0</v>
      </c>
      <c r="AX108" s="32">
        <v>712.7985778914051</v>
      </c>
      <c r="AY108" s="32">
        <v>194.67762835280433</v>
      </c>
      <c r="AZ108" s="382">
        <v>3.6614303550053351</v>
      </c>
      <c r="BA108" s="32">
        <v>592.18071861637611</v>
      </c>
      <c r="BB108" s="32">
        <v>222.51668514787781</v>
      </c>
      <c r="BC108" s="32">
        <v>0</v>
      </c>
      <c r="BD108" s="32">
        <v>0</v>
      </c>
      <c r="BE108" s="32">
        <v>814.69740376425398</v>
      </c>
      <c r="BF108" s="32">
        <v>278.73356307489854</v>
      </c>
      <c r="BG108" s="32">
        <v>3.3481059247307288</v>
      </c>
      <c r="BH108" s="382">
        <v>2.9228536196960841</v>
      </c>
      <c r="BI108" s="32">
        <v>5.0061153061037329</v>
      </c>
      <c r="BJ108" s="32">
        <v>11.59440625192142</v>
      </c>
      <c r="BK108" s="32">
        <v>0</v>
      </c>
      <c r="BL108" s="32">
        <v>8.7511937501696746</v>
      </c>
      <c r="BM108" s="32">
        <v>25.35171530819483</v>
      </c>
      <c r="BN108" s="32">
        <v>592.18071861637611</v>
      </c>
      <c r="BO108" s="32">
        <v>0</v>
      </c>
      <c r="BP108" s="32">
        <v>222.51668514787781</v>
      </c>
      <c r="BQ108" s="32">
        <v>0</v>
      </c>
      <c r="BR108" s="32">
        <v>0</v>
      </c>
      <c r="BS108" s="32">
        <v>0</v>
      </c>
      <c r="BT108" s="32">
        <v>0</v>
      </c>
      <c r="BU108" s="32">
        <v>0</v>
      </c>
      <c r="BV108" s="32">
        <v>0</v>
      </c>
      <c r="BW108" s="32">
        <v>0</v>
      </c>
      <c r="BX108" s="32">
        <v>530.01180016764351</v>
      </c>
      <c r="BY108" s="32">
        <v>64.804630885182689</v>
      </c>
      <c r="BZ108" s="32">
        <v>0</v>
      </c>
      <c r="CA108" s="32">
        <v>-169.14462831976607</v>
      </c>
      <c r="CB108" s="32">
        <v>814.69740376425398</v>
      </c>
      <c r="CC108" s="32">
        <v>425.67180273306013</v>
      </c>
      <c r="CD108" s="382">
        <v>1.654026319250492</v>
      </c>
      <c r="CE108" s="32">
        <v>12.09929967490041</v>
      </c>
      <c r="CF108" s="32">
        <v>11.737143214371596</v>
      </c>
      <c r="CG108" s="32">
        <v>0</v>
      </c>
      <c r="CH108" s="32">
        <v>11.737143214371596</v>
      </c>
      <c r="CI108" s="32">
        <v>0.58685560589052044</v>
      </c>
      <c r="CJ108" s="32">
        <v>0</v>
      </c>
      <c r="CK108" s="32">
        <v>0.58685560589052044</v>
      </c>
      <c r="CL108" s="32"/>
      <c r="CM108" s="32">
        <v>0</v>
      </c>
      <c r="CN108" s="32"/>
      <c r="CO108" s="32">
        <v>0</v>
      </c>
      <c r="CP108" s="32">
        <v>0</v>
      </c>
      <c r="CQ108" s="32">
        <v>0</v>
      </c>
      <c r="CR108" s="32">
        <v>0</v>
      </c>
      <c r="CS108" s="32">
        <v>0</v>
      </c>
      <c r="CT108" s="32">
        <v>0</v>
      </c>
      <c r="CU108" s="32">
        <v>0</v>
      </c>
      <c r="CV108" s="32">
        <v>9999</v>
      </c>
      <c r="CW108" s="382">
        <v>9999</v>
      </c>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row>
    <row r="109" spans="1:131">
      <c r="A109" s="11" t="s">
        <v>532</v>
      </c>
      <c r="B109" s="11"/>
      <c r="C109" s="32">
        <v>11.627906976744185</v>
      </c>
      <c r="D109" s="32">
        <v>270.89999999999998</v>
      </c>
      <c r="E109" s="32">
        <v>0</v>
      </c>
      <c r="F109" s="32">
        <v>113.40810404906972</v>
      </c>
      <c r="G109" s="32">
        <v>0</v>
      </c>
      <c r="H109" s="32">
        <v>-148.8813155294643</v>
      </c>
      <c r="I109" s="32"/>
      <c r="J109" s="32"/>
      <c r="K109" s="32"/>
      <c r="L109" s="32">
        <v>290.43128963945617</v>
      </c>
      <c r="M109" s="32">
        <v>6.7790947150093692E-2</v>
      </c>
      <c r="N109" s="32">
        <v>6.7301662493979217E-2</v>
      </c>
      <c r="O109" s="32">
        <v>0</v>
      </c>
      <c r="P109" s="32">
        <v>0</v>
      </c>
      <c r="Q109" s="32">
        <v>0</v>
      </c>
      <c r="R109" s="32">
        <v>22.61509090978879</v>
      </c>
      <c r="S109" s="32">
        <v>52.260035356611773</v>
      </c>
      <c r="T109" s="32">
        <v>0</v>
      </c>
      <c r="U109" s="32">
        <v>110.62900379227469</v>
      </c>
      <c r="V109" s="32">
        <v>6.8044862429441837</v>
      </c>
      <c r="W109" s="32">
        <v>15.87713456686976</v>
      </c>
      <c r="X109" s="32">
        <v>0</v>
      </c>
      <c r="Y109" s="32">
        <v>0</v>
      </c>
      <c r="Z109" s="32">
        <v>0</v>
      </c>
      <c r="AA109" s="32">
        <v>0</v>
      </c>
      <c r="AB109" s="32">
        <v>0</v>
      </c>
      <c r="AC109" s="32">
        <v>0</v>
      </c>
      <c r="AD109" s="32">
        <v>0</v>
      </c>
      <c r="AE109" s="32">
        <v>0</v>
      </c>
      <c r="AF109" s="32">
        <v>0</v>
      </c>
      <c r="AG109" s="32">
        <v>-148.8813155294643</v>
      </c>
      <c r="AH109" s="32">
        <v>29.419577152732973</v>
      </c>
      <c r="AI109" s="32">
        <v>68.137169923481537</v>
      </c>
      <c r="AJ109" s="32">
        <v>0</v>
      </c>
      <c r="AK109" s="32">
        <v>-38.252311737189615</v>
      </c>
      <c r="AL109" s="32">
        <v>59.304435339024906</v>
      </c>
      <c r="AM109" s="32">
        <v>139.20666146578981</v>
      </c>
      <c r="AN109" s="32">
        <v>23.953828470109986</v>
      </c>
      <c r="AO109" s="32">
        <v>0</v>
      </c>
      <c r="AP109" s="32">
        <v>0</v>
      </c>
      <c r="AQ109" s="32">
        <v>163.16048993589979</v>
      </c>
      <c r="AR109" s="32">
        <v>29.419577152732973</v>
      </c>
      <c r="AS109" s="382">
        <v>5.5459835159711925</v>
      </c>
      <c r="AT109" s="32">
        <v>139.20666146578981</v>
      </c>
      <c r="AU109" s="32">
        <v>28.354198262413522</v>
      </c>
      <c r="AV109" s="32">
        <v>0</v>
      </c>
      <c r="AW109" s="32">
        <v>0</v>
      </c>
      <c r="AX109" s="32">
        <v>167.56085972820333</v>
      </c>
      <c r="AY109" s="32">
        <v>68.137169923481537</v>
      </c>
      <c r="AZ109" s="382">
        <v>2.4591696414214916</v>
      </c>
      <c r="BA109" s="32">
        <v>139.20666146578981</v>
      </c>
      <c r="BB109" s="32">
        <v>52.308026732523508</v>
      </c>
      <c r="BC109" s="32">
        <v>0</v>
      </c>
      <c r="BD109" s="32">
        <v>0</v>
      </c>
      <c r="BE109" s="32">
        <v>191.51468819831331</v>
      </c>
      <c r="BF109" s="32">
        <v>97.556747076214521</v>
      </c>
      <c r="BG109" s="32">
        <v>11.463916464209712</v>
      </c>
      <c r="BH109" s="382">
        <v>1.963110640094383</v>
      </c>
      <c r="BI109" s="32">
        <v>7.4535494557544482</v>
      </c>
      <c r="BJ109" s="32">
        <v>17.262782641749677</v>
      </c>
      <c r="BK109" s="32">
        <v>0</v>
      </c>
      <c r="BL109" s="32">
        <v>-9.6913526611851033</v>
      </c>
      <c r="BM109" s="32">
        <v>15.024979436319025</v>
      </c>
      <c r="BN109" s="32">
        <v>139.20666146578981</v>
      </c>
      <c r="BO109" s="32">
        <v>0</v>
      </c>
      <c r="BP109" s="32">
        <v>52.308026732523508</v>
      </c>
      <c r="BQ109" s="32">
        <v>0</v>
      </c>
      <c r="BR109" s="32">
        <v>0</v>
      </c>
      <c r="BS109" s="32">
        <v>0</v>
      </c>
      <c r="BT109" s="32">
        <v>0</v>
      </c>
      <c r="BU109" s="32">
        <v>0</v>
      </c>
      <c r="BV109" s="32">
        <v>0</v>
      </c>
      <c r="BW109" s="32">
        <v>0</v>
      </c>
      <c r="BX109" s="32">
        <v>185.50413005867526</v>
      </c>
      <c r="BY109" s="32">
        <v>22.681620809813946</v>
      </c>
      <c r="BZ109" s="32">
        <v>0</v>
      </c>
      <c r="CA109" s="32">
        <v>-148.8813155294643</v>
      </c>
      <c r="CB109" s="32">
        <v>191.51468819831331</v>
      </c>
      <c r="CC109" s="32">
        <v>59.304435339024906</v>
      </c>
      <c r="CD109" s="382">
        <v>1.6350590869343675</v>
      </c>
      <c r="CE109" s="32">
        <v>1.7725638030246098</v>
      </c>
      <c r="CF109" s="32">
        <v>2.7591045615873551</v>
      </c>
      <c r="CG109" s="32">
        <v>0</v>
      </c>
      <c r="CH109" s="32">
        <v>2.7591045615873551</v>
      </c>
      <c r="CI109" s="32">
        <v>0.13795486257874173</v>
      </c>
      <c r="CJ109" s="32">
        <v>0</v>
      </c>
      <c r="CK109" s="32">
        <v>0.13795486257874173</v>
      </c>
      <c r="CL109" s="32"/>
      <c r="CM109" s="32">
        <v>0</v>
      </c>
      <c r="CN109" s="32"/>
      <c r="CO109" s="32">
        <v>0</v>
      </c>
      <c r="CP109" s="32">
        <v>0</v>
      </c>
      <c r="CQ109" s="32">
        <v>0</v>
      </c>
      <c r="CR109" s="32">
        <v>0</v>
      </c>
      <c r="CS109" s="32">
        <v>0</v>
      </c>
      <c r="CT109" s="32">
        <v>0</v>
      </c>
      <c r="CU109" s="32">
        <v>0</v>
      </c>
      <c r="CV109" s="32">
        <v>9999</v>
      </c>
      <c r="CW109" s="382">
        <v>9999</v>
      </c>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row>
    <row r="110" spans="1:131">
      <c r="A110" s="11" t="s">
        <v>870</v>
      </c>
      <c r="B110" s="11"/>
      <c r="C110" s="32">
        <v>11.627906976744184</v>
      </c>
      <c r="D110" s="32">
        <v>2919.7</v>
      </c>
      <c r="E110" s="32">
        <v>0</v>
      </c>
      <c r="F110" s="32">
        <v>972.0694632777404</v>
      </c>
      <c r="G110" s="32">
        <v>-56</v>
      </c>
      <c r="H110" s="32">
        <v>0</v>
      </c>
      <c r="I110" s="32"/>
      <c r="J110" s="32"/>
      <c r="K110" s="32"/>
      <c r="L110" s="32">
        <v>3130.2038994474719</v>
      </c>
      <c r="M110" s="32">
        <v>0.73063576372878758</v>
      </c>
      <c r="N110" s="32">
        <v>0.72536236243510932</v>
      </c>
      <c r="O110" s="32">
        <v>0</v>
      </c>
      <c r="P110" s="32">
        <v>0</v>
      </c>
      <c r="Q110" s="32">
        <v>0</v>
      </c>
      <c r="R110" s="32">
        <v>193.8436363696182</v>
      </c>
      <c r="S110" s="32">
        <v>447.94316019952942</v>
      </c>
      <c r="T110" s="32">
        <v>0</v>
      </c>
      <c r="U110" s="32">
        <v>948.24860393378299</v>
      </c>
      <c r="V110" s="32">
        <v>58.324167796664426</v>
      </c>
      <c r="W110" s="32">
        <v>136.08972485888364</v>
      </c>
      <c r="X110" s="32">
        <v>0</v>
      </c>
      <c r="Y110" s="32">
        <v>0</v>
      </c>
      <c r="Z110" s="32">
        <v>0</v>
      </c>
      <c r="AA110" s="32">
        <v>0</v>
      </c>
      <c r="AB110" s="32">
        <v>0</v>
      </c>
      <c r="AC110" s="32">
        <v>-761.05827531819057</v>
      </c>
      <c r="AD110" s="32">
        <v>0</v>
      </c>
      <c r="AE110" s="32">
        <v>0</v>
      </c>
      <c r="AF110" s="32">
        <v>0</v>
      </c>
      <c r="AG110" s="32">
        <v>0</v>
      </c>
      <c r="AH110" s="32">
        <v>252.16780416628262</v>
      </c>
      <c r="AI110" s="32">
        <v>584.03288505841306</v>
      </c>
      <c r="AJ110" s="32">
        <v>0</v>
      </c>
      <c r="AK110" s="32">
        <v>187.19032861559242</v>
      </c>
      <c r="AL110" s="32">
        <v>1023.3910178402881</v>
      </c>
      <c r="AM110" s="32">
        <v>1500.3384624646255</v>
      </c>
      <c r="AN110" s="32">
        <v>258.16904017785203</v>
      </c>
      <c r="AO110" s="32">
        <v>0</v>
      </c>
      <c r="AP110" s="32">
        <v>0</v>
      </c>
      <c r="AQ110" s="32">
        <v>1758.5075026424774</v>
      </c>
      <c r="AR110" s="32">
        <v>252.16780416628262</v>
      </c>
      <c r="AS110" s="382">
        <v>6.9735607543415634</v>
      </c>
      <c r="AT110" s="32">
        <v>1500.3384624646255</v>
      </c>
      <c r="AU110" s="32">
        <v>305.59524793934582</v>
      </c>
      <c r="AV110" s="32">
        <v>0</v>
      </c>
      <c r="AW110" s="32">
        <v>0</v>
      </c>
      <c r="AX110" s="32">
        <v>1805.9337104039714</v>
      </c>
      <c r="AY110" s="32">
        <v>584.03288505841306</v>
      </c>
      <c r="AZ110" s="382">
        <v>3.0921781231948056</v>
      </c>
      <c r="BA110" s="32">
        <v>1500.3384624646255</v>
      </c>
      <c r="BB110" s="32">
        <v>563.76428811719779</v>
      </c>
      <c r="BC110" s="32">
        <v>0</v>
      </c>
      <c r="BD110" s="32">
        <v>0</v>
      </c>
      <c r="BE110" s="32">
        <v>2064.1027505818233</v>
      </c>
      <c r="BF110" s="32">
        <v>836.20068922469568</v>
      </c>
      <c r="BG110" s="32">
        <v>6.4041665944702748</v>
      </c>
      <c r="BH110" s="382">
        <v>2.4684298604149775</v>
      </c>
      <c r="BI110" s="32">
        <v>5.9277123801287219</v>
      </c>
      <c r="BJ110" s="32">
        <v>13.72886984763597</v>
      </c>
      <c r="BK110" s="32">
        <v>0</v>
      </c>
      <c r="BL110" s="32">
        <v>4.4002858812353374</v>
      </c>
      <c r="BM110" s="32">
        <v>24.056868109000032</v>
      </c>
      <c r="BN110" s="32">
        <v>1500.3384624646255</v>
      </c>
      <c r="BO110" s="32">
        <v>0</v>
      </c>
      <c r="BP110" s="32">
        <v>563.76428811719779</v>
      </c>
      <c r="BQ110" s="32">
        <v>0</v>
      </c>
      <c r="BR110" s="32">
        <v>0</v>
      </c>
      <c r="BS110" s="32">
        <v>0</v>
      </c>
      <c r="BT110" s="32">
        <v>0</v>
      </c>
      <c r="BU110" s="32">
        <v>0</v>
      </c>
      <c r="BV110" s="32">
        <v>0</v>
      </c>
      <c r="BW110" s="32">
        <v>0</v>
      </c>
      <c r="BX110" s="32">
        <v>1590.0354005029305</v>
      </c>
      <c r="BY110" s="32">
        <v>194.4138926555481</v>
      </c>
      <c r="BZ110" s="32">
        <v>-761.05827531819057</v>
      </c>
      <c r="CA110" s="32">
        <v>0</v>
      </c>
      <c r="CB110" s="32">
        <v>2064.1027505818233</v>
      </c>
      <c r="CC110" s="32">
        <v>1023.3910178402881</v>
      </c>
      <c r="CD110" s="382">
        <v>1.5832117150829619</v>
      </c>
      <c r="CE110" s="32">
        <v>10.80445247570561</v>
      </c>
      <c r="CF110" s="32">
        <v>29.73701583044155</v>
      </c>
      <c r="CG110" s="32">
        <v>0</v>
      </c>
      <c r="CH110" s="32">
        <v>29.73701583044155</v>
      </c>
      <c r="CI110" s="32">
        <v>1.4868468522375493</v>
      </c>
      <c r="CJ110" s="32">
        <v>0</v>
      </c>
      <c r="CK110" s="32">
        <v>1.4868468522375493</v>
      </c>
      <c r="CL110" s="32"/>
      <c r="CM110" s="32">
        <v>0</v>
      </c>
      <c r="CN110" s="32"/>
      <c r="CO110" s="32">
        <v>0</v>
      </c>
      <c r="CP110" s="32">
        <v>0</v>
      </c>
      <c r="CQ110" s="32">
        <v>0</v>
      </c>
      <c r="CR110" s="32">
        <v>0</v>
      </c>
      <c r="CS110" s="32">
        <v>0</v>
      </c>
      <c r="CT110" s="32">
        <v>0</v>
      </c>
      <c r="CU110" s="32">
        <v>0</v>
      </c>
      <c r="CV110" s="32">
        <v>9999</v>
      </c>
      <c r="CW110" s="382">
        <v>9999</v>
      </c>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row>
    <row r="111" spans="1:131">
      <c r="A111" s="11" t="s">
        <v>839</v>
      </c>
      <c r="B111" s="11"/>
      <c r="C111" s="32">
        <v>11.627906976744185</v>
      </c>
      <c r="D111" s="32">
        <v>395.6</v>
      </c>
      <c r="E111" s="32">
        <v>0</v>
      </c>
      <c r="F111" s="32">
        <v>162.01157721295672</v>
      </c>
      <c r="G111" s="32">
        <v>0</v>
      </c>
      <c r="H111" s="32">
        <v>-154.68188626437851</v>
      </c>
      <c r="I111" s="32"/>
      <c r="J111" s="32"/>
      <c r="K111" s="32"/>
      <c r="L111" s="32">
        <v>424.12188328301545</v>
      </c>
      <c r="M111" s="32">
        <v>9.8996303774740002E-2</v>
      </c>
      <c r="N111" s="32">
        <v>9.8281792848350619E-2</v>
      </c>
      <c r="O111" s="32">
        <v>0</v>
      </c>
      <c r="P111" s="32">
        <v>0</v>
      </c>
      <c r="Q111" s="32">
        <v>0</v>
      </c>
      <c r="R111" s="32">
        <v>32.307272728269702</v>
      </c>
      <c r="S111" s="32">
        <v>74.657193366588231</v>
      </c>
      <c r="T111" s="32">
        <v>0</v>
      </c>
      <c r="U111" s="32">
        <v>158.0414339889638</v>
      </c>
      <c r="V111" s="32">
        <v>9.7206946327774038</v>
      </c>
      <c r="W111" s="32">
        <v>22.681620809813943</v>
      </c>
      <c r="X111" s="32">
        <v>0</v>
      </c>
      <c r="Y111" s="32">
        <v>0</v>
      </c>
      <c r="Z111" s="32">
        <v>0</v>
      </c>
      <c r="AA111" s="32">
        <v>0</v>
      </c>
      <c r="AB111" s="32">
        <v>0</v>
      </c>
      <c r="AC111" s="32">
        <v>0</v>
      </c>
      <c r="AD111" s="32">
        <v>0</v>
      </c>
      <c r="AE111" s="32">
        <v>0</v>
      </c>
      <c r="AF111" s="32">
        <v>0</v>
      </c>
      <c r="AG111" s="32">
        <v>-154.68188626437851</v>
      </c>
      <c r="AH111" s="32">
        <v>42.027967361047104</v>
      </c>
      <c r="AI111" s="32">
        <v>97.338814176402167</v>
      </c>
      <c r="AJ111" s="32">
        <v>0</v>
      </c>
      <c r="AK111" s="32">
        <v>3.3595477245852976</v>
      </c>
      <c r="AL111" s="32">
        <v>142.7263292620346</v>
      </c>
      <c r="AM111" s="32">
        <v>203.28591833099458</v>
      </c>
      <c r="AN111" s="32">
        <v>34.980193956351101</v>
      </c>
      <c r="AO111" s="32">
        <v>0</v>
      </c>
      <c r="AP111" s="32">
        <v>0</v>
      </c>
      <c r="AQ111" s="32">
        <v>238.26611228734566</v>
      </c>
      <c r="AR111" s="32">
        <v>42.027967361047104</v>
      </c>
      <c r="AS111" s="382">
        <v>5.6692275941038845</v>
      </c>
      <c r="AT111" s="32">
        <v>203.28591833099458</v>
      </c>
      <c r="AU111" s="32">
        <v>41.406130795905469</v>
      </c>
      <c r="AV111" s="32">
        <v>0</v>
      </c>
      <c r="AW111" s="32">
        <v>0</v>
      </c>
      <c r="AX111" s="32">
        <v>244.69204912690003</v>
      </c>
      <c r="AY111" s="32">
        <v>97.338814176402167</v>
      </c>
      <c r="AZ111" s="382">
        <v>2.5138178556753026</v>
      </c>
      <c r="BA111" s="32">
        <v>203.28591833099458</v>
      </c>
      <c r="BB111" s="32">
        <v>76.38632475225657</v>
      </c>
      <c r="BC111" s="32">
        <v>0</v>
      </c>
      <c r="BD111" s="32">
        <v>0</v>
      </c>
      <c r="BE111" s="32">
        <v>279.67224308325115</v>
      </c>
      <c r="BF111" s="32">
        <v>139.36678153744927</v>
      </c>
      <c r="BG111" s="32">
        <v>10.926604896872652</v>
      </c>
      <c r="BH111" s="382">
        <v>2.0067353209853698</v>
      </c>
      <c r="BI111" s="32">
        <v>7.2915157719336987</v>
      </c>
      <c r="BJ111" s="32">
        <v>16.887504758233373</v>
      </c>
      <c r="BK111" s="32">
        <v>0</v>
      </c>
      <c r="BL111" s="32">
        <v>0.58285462653807851</v>
      </c>
      <c r="BM111" s="32">
        <v>24.761875156705152</v>
      </c>
      <c r="BN111" s="32">
        <v>203.28591833099458</v>
      </c>
      <c r="BO111" s="32">
        <v>0</v>
      </c>
      <c r="BP111" s="32">
        <v>76.38632475225657</v>
      </c>
      <c r="BQ111" s="32">
        <v>0</v>
      </c>
      <c r="BR111" s="32">
        <v>0</v>
      </c>
      <c r="BS111" s="32">
        <v>0</v>
      </c>
      <c r="BT111" s="32">
        <v>0</v>
      </c>
      <c r="BU111" s="32">
        <v>0</v>
      </c>
      <c r="BV111" s="32">
        <v>0</v>
      </c>
      <c r="BW111" s="32">
        <v>0</v>
      </c>
      <c r="BX111" s="32">
        <v>265.00590008382176</v>
      </c>
      <c r="BY111" s="32">
        <v>32.402315442591345</v>
      </c>
      <c r="BZ111" s="32">
        <v>0</v>
      </c>
      <c r="CA111" s="32">
        <v>-154.68188626437851</v>
      </c>
      <c r="CB111" s="32">
        <v>279.67224308325115</v>
      </c>
      <c r="CC111" s="32">
        <v>142.7263292620346</v>
      </c>
      <c r="CD111" s="382">
        <v>1.4604644615442854</v>
      </c>
      <c r="CE111" s="32">
        <v>11.509459523410735</v>
      </c>
      <c r="CF111" s="32">
        <v>4.0291685661275602</v>
      </c>
      <c r="CG111" s="32">
        <v>0</v>
      </c>
      <c r="CH111" s="32">
        <v>4.0291685661275602</v>
      </c>
      <c r="CI111" s="32">
        <v>0.20145789455943236</v>
      </c>
      <c r="CJ111" s="32">
        <v>0</v>
      </c>
      <c r="CK111" s="32">
        <v>0.20145789455943236</v>
      </c>
      <c r="CL111" s="32"/>
      <c r="CM111" s="32">
        <v>0</v>
      </c>
      <c r="CN111" s="32"/>
      <c r="CO111" s="32">
        <v>0</v>
      </c>
      <c r="CP111" s="32">
        <v>0</v>
      </c>
      <c r="CQ111" s="32">
        <v>0</v>
      </c>
      <c r="CR111" s="32">
        <v>0</v>
      </c>
      <c r="CS111" s="32">
        <v>0</v>
      </c>
      <c r="CT111" s="32">
        <v>0</v>
      </c>
      <c r="CU111" s="32">
        <v>0</v>
      </c>
      <c r="CV111" s="32">
        <v>9999</v>
      </c>
      <c r="CW111" s="382">
        <v>9999</v>
      </c>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row>
    <row r="112" spans="1:131">
      <c r="A112" s="11" t="s">
        <v>869</v>
      </c>
      <c r="B112" s="11"/>
      <c r="C112" s="32">
        <v>11.627906976744184</v>
      </c>
      <c r="D112" s="32">
        <v>2919.7</v>
      </c>
      <c r="E112" s="32">
        <v>0</v>
      </c>
      <c r="F112" s="32">
        <v>972.0694632777404</v>
      </c>
      <c r="G112" s="32">
        <v>0</v>
      </c>
      <c r="H112" s="32">
        <v>-173.22040249614597</v>
      </c>
      <c r="I112" s="32"/>
      <c r="J112" s="32"/>
      <c r="K112" s="32"/>
      <c r="L112" s="32">
        <v>3130.2038994474719</v>
      </c>
      <c r="M112" s="32">
        <v>0.73063576372878758</v>
      </c>
      <c r="N112" s="32">
        <v>0.72536236243510932</v>
      </c>
      <c r="O112" s="32">
        <v>0</v>
      </c>
      <c r="P112" s="32">
        <v>0</v>
      </c>
      <c r="Q112" s="32">
        <v>0</v>
      </c>
      <c r="R112" s="32">
        <v>193.8436363696182</v>
      </c>
      <c r="S112" s="32">
        <v>447.94316019952942</v>
      </c>
      <c r="T112" s="32">
        <v>0</v>
      </c>
      <c r="U112" s="32">
        <v>948.24860393378299</v>
      </c>
      <c r="V112" s="32">
        <v>58.324167796664426</v>
      </c>
      <c r="W112" s="32">
        <v>136.08972485888364</v>
      </c>
      <c r="X112" s="32">
        <v>0</v>
      </c>
      <c r="Y112" s="32">
        <v>0</v>
      </c>
      <c r="Z112" s="32">
        <v>0</v>
      </c>
      <c r="AA112" s="32">
        <v>0</v>
      </c>
      <c r="AB112" s="32">
        <v>0</v>
      </c>
      <c r="AC112" s="32">
        <v>0</v>
      </c>
      <c r="AD112" s="32">
        <v>0</v>
      </c>
      <c r="AE112" s="32">
        <v>0</v>
      </c>
      <c r="AF112" s="32">
        <v>0</v>
      </c>
      <c r="AG112" s="32">
        <v>-173.22040249614597</v>
      </c>
      <c r="AH112" s="32">
        <v>252.16780416628262</v>
      </c>
      <c r="AI112" s="32">
        <v>584.03288505841306</v>
      </c>
      <c r="AJ112" s="32">
        <v>0</v>
      </c>
      <c r="AK112" s="32">
        <v>775.02820143763699</v>
      </c>
      <c r="AL112" s="32">
        <v>1611.2288906623326</v>
      </c>
      <c r="AM112" s="32">
        <v>1500.3384624646255</v>
      </c>
      <c r="AN112" s="32">
        <v>258.16904017785203</v>
      </c>
      <c r="AO112" s="32">
        <v>0</v>
      </c>
      <c r="AP112" s="32">
        <v>0</v>
      </c>
      <c r="AQ112" s="32">
        <v>1758.5075026424774</v>
      </c>
      <c r="AR112" s="32">
        <v>252.16780416628262</v>
      </c>
      <c r="AS112" s="382">
        <v>6.9735607543415634</v>
      </c>
      <c r="AT112" s="32">
        <v>1500.3384624646255</v>
      </c>
      <c r="AU112" s="32">
        <v>305.59524793934582</v>
      </c>
      <c r="AV112" s="32">
        <v>0</v>
      </c>
      <c r="AW112" s="32">
        <v>0</v>
      </c>
      <c r="AX112" s="32">
        <v>1805.9337104039714</v>
      </c>
      <c r="AY112" s="32">
        <v>584.03288505841306</v>
      </c>
      <c r="AZ112" s="382">
        <v>3.0921781231948056</v>
      </c>
      <c r="BA112" s="32">
        <v>1500.3384624646255</v>
      </c>
      <c r="BB112" s="32">
        <v>563.76428811719779</v>
      </c>
      <c r="BC112" s="32">
        <v>0</v>
      </c>
      <c r="BD112" s="32">
        <v>0</v>
      </c>
      <c r="BE112" s="32">
        <v>2064.1027505818233</v>
      </c>
      <c r="BF112" s="32">
        <v>836.20068922469568</v>
      </c>
      <c r="BG112" s="32">
        <v>6.4041665944702748</v>
      </c>
      <c r="BH112" s="382">
        <v>2.4684298604149775</v>
      </c>
      <c r="BI112" s="32">
        <v>5.9277123801287219</v>
      </c>
      <c r="BJ112" s="32">
        <v>13.72886984763597</v>
      </c>
      <c r="BK112" s="32">
        <v>0</v>
      </c>
      <c r="BL112" s="32">
        <v>18.218599633684168</v>
      </c>
      <c r="BM112" s="32">
        <v>37.875181861448858</v>
      </c>
      <c r="BN112" s="32">
        <v>1500.3384624646255</v>
      </c>
      <c r="BO112" s="32">
        <v>0</v>
      </c>
      <c r="BP112" s="32">
        <v>563.76428811719779</v>
      </c>
      <c r="BQ112" s="32">
        <v>0</v>
      </c>
      <c r="BR112" s="32">
        <v>0</v>
      </c>
      <c r="BS112" s="32">
        <v>0</v>
      </c>
      <c r="BT112" s="32">
        <v>0</v>
      </c>
      <c r="BU112" s="32">
        <v>0</v>
      </c>
      <c r="BV112" s="32">
        <v>0</v>
      </c>
      <c r="BW112" s="32">
        <v>0</v>
      </c>
      <c r="BX112" s="32">
        <v>1590.0354005029305</v>
      </c>
      <c r="BY112" s="32">
        <v>194.4138926555481</v>
      </c>
      <c r="BZ112" s="32">
        <v>0</v>
      </c>
      <c r="CA112" s="32">
        <v>-173.22040249614597</v>
      </c>
      <c r="CB112" s="32">
        <v>2064.1027505818233</v>
      </c>
      <c r="CC112" s="32">
        <v>1611.2288906623328</v>
      </c>
      <c r="CD112" s="382">
        <v>1.2537891447270564</v>
      </c>
      <c r="CE112" s="32">
        <v>24.622766228154447</v>
      </c>
      <c r="CF112" s="32">
        <v>29.73701583044155</v>
      </c>
      <c r="CG112" s="32">
        <v>0</v>
      </c>
      <c r="CH112" s="32">
        <v>29.73701583044155</v>
      </c>
      <c r="CI112" s="32">
        <v>1.4868468522375493</v>
      </c>
      <c r="CJ112" s="32">
        <v>0</v>
      </c>
      <c r="CK112" s="32">
        <v>1.4868468522375493</v>
      </c>
      <c r="CL112" s="32"/>
      <c r="CM112" s="32">
        <v>0</v>
      </c>
      <c r="CN112" s="32"/>
      <c r="CO112" s="32">
        <v>0</v>
      </c>
      <c r="CP112" s="32">
        <v>0</v>
      </c>
      <c r="CQ112" s="32">
        <v>0</v>
      </c>
      <c r="CR112" s="32">
        <v>0</v>
      </c>
      <c r="CS112" s="32">
        <v>0</v>
      </c>
      <c r="CT112" s="32">
        <v>0</v>
      </c>
      <c r="CU112" s="32">
        <v>0</v>
      </c>
      <c r="CV112" s="32">
        <v>9999</v>
      </c>
      <c r="CW112" s="382">
        <v>9999</v>
      </c>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row>
    <row r="113" spans="1:131">
      <c r="A113" s="11"/>
      <c r="B113" s="11"/>
      <c r="C113" s="32"/>
      <c r="D113" s="32"/>
      <c r="E113" s="32"/>
      <c r="F113" s="32"/>
      <c r="G113" s="32"/>
      <c r="H113" s="32"/>
      <c r="I113" s="32"/>
      <c r="J113" s="32"/>
      <c r="K113" s="32"/>
      <c r="L113" s="32"/>
      <c r="M113" s="32"/>
      <c r="N113" s="32"/>
      <c r="O113" s="32"/>
      <c r="P113" s="32"/>
      <c r="Q113" s="32"/>
      <c r="R113" s="32"/>
      <c r="S113" s="32"/>
      <c r="T113" s="32"/>
      <c r="U113" s="32"/>
      <c r="V113" s="32"/>
      <c r="W113" s="32"/>
      <c r="X113" s="32"/>
      <c r="Y113" s="32"/>
      <c r="Z113" s="32"/>
      <c r="AA113" s="32"/>
      <c r="AB113" s="32"/>
      <c r="AC113" s="32"/>
      <c r="AD113" s="32"/>
      <c r="AE113" s="32"/>
      <c r="AF113" s="32"/>
      <c r="AG113" s="32"/>
      <c r="AH113" s="32"/>
      <c r="AI113" s="32"/>
      <c r="AJ113" s="32"/>
      <c r="AK113" s="32"/>
      <c r="AL113" s="32"/>
      <c r="AM113" s="32"/>
      <c r="AN113" s="32"/>
      <c r="AO113" s="32"/>
      <c r="AP113" s="32"/>
      <c r="AQ113" s="32"/>
      <c r="AR113" s="32"/>
      <c r="AS113" s="32"/>
      <c r="AT113" s="32"/>
      <c r="AU113" s="32"/>
      <c r="AV113" s="32"/>
      <c r="AW113" s="32"/>
      <c r="AX113" s="32"/>
      <c r="AY113" s="32"/>
      <c r="AZ113" s="32"/>
      <c r="BA113" s="32"/>
      <c r="BB113" s="32"/>
      <c r="BC113" s="32"/>
      <c r="BD113" s="32"/>
      <c r="BE113" s="32"/>
      <c r="BF113" s="32"/>
      <c r="BG113" s="32"/>
      <c r="BH113" s="32"/>
      <c r="BI113" s="32"/>
      <c r="BJ113" s="32"/>
      <c r="BK113" s="32"/>
      <c r="BL113" s="32"/>
      <c r="BM113" s="32"/>
      <c r="BN113" s="32"/>
      <c r="BO113" s="32"/>
      <c r="BP113" s="32"/>
      <c r="BQ113" s="32"/>
      <c r="BR113" s="32"/>
      <c r="BS113" s="32"/>
      <c r="BT113" s="32"/>
      <c r="BU113" s="32"/>
      <c r="BV113" s="32"/>
      <c r="BW113" s="32"/>
      <c r="BX113" s="32"/>
      <c r="BY113" s="32"/>
      <c r="BZ113" s="32"/>
      <c r="CA113" s="32"/>
      <c r="CB113" s="32"/>
      <c r="CC113" s="32"/>
      <c r="CD113" s="32"/>
      <c r="CE113" s="32"/>
      <c r="CF113" s="32"/>
      <c r="CG113" s="32"/>
      <c r="CH113" s="32"/>
      <c r="CI113" s="32"/>
      <c r="CJ113" s="32"/>
      <c r="CK113" s="32"/>
      <c r="CL113" s="32"/>
      <c r="CM113" s="32"/>
      <c r="CN113" s="32"/>
      <c r="CO113" s="32"/>
      <c r="CP113" s="32"/>
      <c r="CQ113" s="32"/>
      <c r="CR113" s="32"/>
      <c r="CS113" s="32"/>
      <c r="CT113" s="32"/>
      <c r="CU113" s="32"/>
      <c r="CV113" s="32"/>
      <c r="CW113" s="32"/>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row>
    <row r="114" spans="1:131">
      <c r="A114" s="11"/>
      <c r="B114" s="11"/>
      <c r="C114" s="32"/>
      <c r="D114" s="32"/>
      <c r="E114" s="32"/>
      <c r="F114" s="32"/>
      <c r="G114" s="32"/>
      <c r="H114" s="32"/>
      <c r="I114" s="32"/>
      <c r="J114" s="32"/>
      <c r="K114" s="32"/>
      <c r="L114" s="32"/>
      <c r="M114" s="32"/>
      <c r="N114" s="32"/>
      <c r="O114" s="32"/>
      <c r="P114" s="32"/>
      <c r="Q114" s="32"/>
      <c r="R114" s="32"/>
      <c r="S114" s="32"/>
      <c r="T114" s="32"/>
      <c r="U114" s="32"/>
      <c r="V114" s="32"/>
      <c r="W114" s="32"/>
      <c r="X114" s="32"/>
      <c r="Y114" s="32"/>
      <c r="Z114" s="32"/>
      <c r="AA114" s="32"/>
      <c r="AB114" s="32"/>
      <c r="AC114" s="32"/>
      <c r="AD114" s="32"/>
      <c r="AE114" s="32"/>
      <c r="AF114" s="32"/>
      <c r="AG114" s="32"/>
      <c r="AH114" s="32"/>
      <c r="AI114" s="32"/>
      <c r="AJ114" s="32"/>
      <c r="AK114" s="32"/>
      <c r="AL114" s="32"/>
      <c r="AM114" s="32"/>
      <c r="AN114" s="32"/>
      <c r="AO114" s="32"/>
      <c r="AP114" s="32"/>
      <c r="AQ114" s="32"/>
      <c r="AR114" s="32"/>
      <c r="AS114" s="32"/>
      <c r="AT114" s="32"/>
      <c r="AU114" s="32"/>
      <c r="AV114" s="32"/>
      <c r="AW114" s="32"/>
      <c r="AX114" s="32"/>
      <c r="AY114" s="32"/>
      <c r="AZ114" s="32"/>
      <c r="BA114" s="32"/>
      <c r="BB114" s="32"/>
      <c r="BC114" s="32"/>
      <c r="BD114" s="32"/>
      <c r="BE114" s="32"/>
      <c r="BF114" s="32"/>
      <c r="BG114" s="32"/>
      <c r="BH114" s="32"/>
      <c r="BI114" s="32"/>
      <c r="BJ114" s="32"/>
      <c r="BK114" s="32"/>
      <c r="BL114" s="32"/>
      <c r="BM114" s="32"/>
      <c r="BN114" s="32"/>
      <c r="BO114" s="32"/>
      <c r="BP114" s="32"/>
      <c r="BQ114" s="32"/>
      <c r="BR114" s="32"/>
      <c r="BS114" s="32"/>
      <c r="BT114" s="32"/>
      <c r="BU114" s="32"/>
      <c r="BV114" s="32"/>
      <c r="BW114" s="32"/>
      <c r="BX114" s="32"/>
      <c r="BY114" s="32"/>
      <c r="BZ114" s="32"/>
      <c r="CA114" s="32"/>
      <c r="CB114" s="32"/>
      <c r="CC114" s="32"/>
      <c r="CD114" s="32"/>
      <c r="CE114" s="32"/>
      <c r="CF114" s="32"/>
      <c r="CG114" s="32"/>
      <c r="CH114" s="32"/>
      <c r="CI114" s="32"/>
      <c r="CJ114" s="32"/>
      <c r="CK114" s="32"/>
      <c r="CL114" s="32"/>
      <c r="CM114" s="32"/>
      <c r="CN114" s="32"/>
      <c r="CO114" s="32"/>
      <c r="CP114" s="32"/>
      <c r="CQ114" s="32"/>
      <c r="CR114" s="32"/>
      <c r="CS114" s="32"/>
      <c r="CT114" s="32"/>
      <c r="CU114" s="32"/>
      <c r="CV114" s="32"/>
      <c r="CW114" s="32"/>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row>
    <row r="115" spans="1:131" ht="13.5" thickBot="1">
      <c r="A115" s="367" t="s">
        <v>612</v>
      </c>
      <c r="B115" s="369"/>
      <c r="C115" s="32"/>
      <c r="D115" s="32"/>
      <c r="E115" s="32"/>
      <c r="F115" s="32"/>
      <c r="G115" s="32"/>
      <c r="H115" s="32"/>
      <c r="I115" s="32"/>
      <c r="J115" s="32"/>
      <c r="K115" s="32"/>
      <c r="L115" s="32"/>
      <c r="M115" s="32"/>
      <c r="N115" s="32"/>
      <c r="O115" s="32"/>
      <c r="P115" s="32"/>
      <c r="Q115" s="32"/>
      <c r="R115" s="32"/>
      <c r="S115" s="32"/>
      <c r="T115" s="32"/>
      <c r="U115" s="32"/>
      <c r="V115" s="32"/>
      <c r="W115" s="32"/>
      <c r="X115" s="32"/>
      <c r="Y115" s="32"/>
      <c r="Z115" s="32"/>
      <c r="AA115" s="32"/>
      <c r="AB115" s="32"/>
      <c r="AC115" s="32"/>
      <c r="AD115" s="32"/>
      <c r="AE115" s="32"/>
      <c r="AF115" s="32"/>
      <c r="AG115" s="32"/>
      <c r="AH115" s="32"/>
      <c r="AI115" s="32"/>
      <c r="AJ115" s="32"/>
      <c r="AK115" s="32"/>
      <c r="AL115" s="32"/>
      <c r="AM115" s="32"/>
      <c r="AN115" s="32"/>
      <c r="AO115" s="32"/>
      <c r="AP115" s="32"/>
      <c r="AQ115" s="32"/>
      <c r="AR115" s="32"/>
      <c r="AS115" s="32"/>
      <c r="AT115" s="32"/>
      <c r="AU115" s="32"/>
      <c r="AV115" s="32"/>
      <c r="AW115" s="32"/>
      <c r="AX115" s="32"/>
      <c r="AY115" s="32"/>
      <c r="AZ115" s="32"/>
      <c r="BA115" s="32"/>
      <c r="BB115" s="32"/>
      <c r="BC115" s="32"/>
      <c r="BD115" s="32"/>
      <c r="BE115" s="32"/>
      <c r="BF115" s="32"/>
      <c r="BG115" s="32"/>
      <c r="BH115" s="32"/>
      <c r="BI115" s="32"/>
      <c r="BJ115" s="32"/>
      <c r="BK115" s="32"/>
      <c r="BL115" s="32"/>
      <c r="BM115" s="32"/>
      <c r="BN115" s="32"/>
      <c r="BO115" s="32"/>
      <c r="BP115" s="32"/>
      <c r="BQ115" s="32"/>
      <c r="BR115" s="32"/>
      <c r="BS115" s="32"/>
      <c r="BT115" s="32"/>
      <c r="BU115" s="32"/>
      <c r="BV115" s="32"/>
      <c r="BW115" s="32"/>
      <c r="BX115" s="32"/>
      <c r="BY115" s="32"/>
      <c r="BZ115" s="32"/>
      <c r="CA115" s="32"/>
      <c r="CB115" s="32"/>
      <c r="CC115" s="32"/>
      <c r="CD115" s="32"/>
      <c r="CE115" s="32"/>
      <c r="CF115" s="32"/>
      <c r="CG115" s="32"/>
      <c r="CH115" s="32"/>
      <c r="CI115" s="32"/>
      <c r="CJ115" s="32"/>
      <c r="CK115" s="32"/>
      <c r="CL115" s="32"/>
      <c r="CM115" s="32"/>
      <c r="CN115" s="32"/>
      <c r="CO115" s="32"/>
      <c r="CP115" s="32"/>
      <c r="CQ115" s="32"/>
      <c r="CR115" s="32"/>
      <c r="CS115" s="32"/>
      <c r="CT115" s="32"/>
      <c r="CU115" s="32"/>
      <c r="CV115" s="32"/>
      <c r="CW115" s="32"/>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row>
    <row r="116" spans="1:131" ht="13.5" thickBot="1">
      <c r="A116" s="384" t="s">
        <v>613</v>
      </c>
      <c r="B116" s="385"/>
      <c r="C116" s="386"/>
      <c r="D116" s="386"/>
      <c r="E116" s="386"/>
      <c r="F116" s="386"/>
      <c r="G116" s="386"/>
      <c r="H116" s="386"/>
      <c r="I116" s="386"/>
      <c r="J116" s="386"/>
      <c r="K116" s="386"/>
      <c r="L116" s="387"/>
      <c r="M116" s="388"/>
      <c r="N116" s="389" t="s">
        <v>954</v>
      </c>
      <c r="O116" s="386"/>
      <c r="P116" s="386"/>
      <c r="Q116" s="386"/>
      <c r="R116" s="386"/>
      <c r="S116" s="386"/>
      <c r="T116" s="386"/>
      <c r="U116" s="386"/>
      <c r="V116" s="386"/>
      <c r="W116" s="386"/>
      <c r="X116" s="386"/>
      <c r="Y116" s="387"/>
      <c r="Z116" s="388"/>
      <c r="AA116" s="389" t="s">
        <v>955</v>
      </c>
      <c r="AB116" s="386"/>
      <c r="AC116" s="386"/>
      <c r="AD116" s="386"/>
      <c r="AE116" s="386"/>
      <c r="AF116" s="386"/>
      <c r="AG116" s="386"/>
      <c r="AH116" s="386"/>
      <c r="AI116" s="386"/>
      <c r="AJ116" s="386"/>
      <c r="AK116" s="386"/>
      <c r="AL116" s="387"/>
      <c r="AM116" s="32"/>
      <c r="AN116" s="32"/>
      <c r="AO116" s="32"/>
      <c r="AP116" s="32"/>
      <c r="AQ116" s="32"/>
      <c r="AR116" s="32"/>
      <c r="AS116" s="32"/>
      <c r="AT116" s="32"/>
      <c r="AU116" s="32"/>
      <c r="AV116" s="32"/>
      <c r="AW116" s="32"/>
      <c r="AX116" s="32"/>
      <c r="AY116" s="32"/>
      <c r="AZ116" s="32"/>
      <c r="BA116" s="32"/>
      <c r="BB116" s="32"/>
      <c r="BC116" s="32"/>
      <c r="BD116" s="32"/>
      <c r="BE116" s="32"/>
      <c r="BF116" s="32"/>
      <c r="BG116" s="32"/>
      <c r="BH116" s="32"/>
      <c r="BI116" s="32"/>
      <c r="BJ116" s="32"/>
      <c r="BK116" s="32"/>
      <c r="BL116" s="32"/>
      <c r="BM116" s="32"/>
      <c r="BN116" s="32"/>
      <c r="BO116" s="32"/>
      <c r="BP116" s="32"/>
      <c r="BQ116" s="32"/>
      <c r="BR116" s="32"/>
      <c r="BS116" s="32"/>
      <c r="BT116" s="32"/>
      <c r="BU116" s="32"/>
      <c r="BV116" s="32"/>
      <c r="BW116" s="32"/>
      <c r="BX116" s="32"/>
      <c r="BY116" s="32"/>
      <c r="BZ116" s="32"/>
      <c r="CA116" s="32"/>
      <c r="CB116" s="32"/>
      <c r="CC116" s="32"/>
      <c r="CD116" s="32"/>
      <c r="CE116" s="32"/>
      <c r="CF116" s="32"/>
      <c r="CG116" s="32"/>
      <c r="CH116" s="32"/>
      <c r="CI116" s="32"/>
      <c r="CJ116" s="32"/>
      <c r="CK116" s="32"/>
      <c r="CL116" s="32"/>
      <c r="CM116" s="32"/>
      <c r="CN116" s="32"/>
      <c r="CO116" s="32"/>
      <c r="CP116" s="32"/>
      <c r="CQ116" s="32"/>
      <c r="CR116" s="32"/>
      <c r="CS116" s="32"/>
      <c r="CT116" s="32"/>
      <c r="CU116" s="32"/>
      <c r="CV116" s="32"/>
      <c r="CW116" s="32"/>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row>
    <row r="117" spans="1:131" ht="102">
      <c r="A117" s="378"/>
      <c r="B117" s="379" t="s">
        <v>614</v>
      </c>
      <c r="C117" s="380" t="s">
        <v>615</v>
      </c>
      <c r="D117" s="380" t="s">
        <v>616</v>
      </c>
      <c r="E117" s="380" t="s">
        <v>617</v>
      </c>
      <c r="F117" s="380" t="s">
        <v>618</v>
      </c>
      <c r="G117" s="380" t="s">
        <v>619</v>
      </c>
      <c r="H117" s="380" t="s">
        <v>620</v>
      </c>
      <c r="I117" s="380" t="s">
        <v>621</v>
      </c>
      <c r="J117" s="380" t="s">
        <v>622</v>
      </c>
      <c r="K117" s="380" t="s">
        <v>372</v>
      </c>
      <c r="L117" s="380" t="s">
        <v>371</v>
      </c>
      <c r="M117" s="380" t="s">
        <v>623</v>
      </c>
      <c r="N117" s="380" t="s">
        <v>624</v>
      </c>
      <c r="O117" s="380" t="s">
        <v>625</v>
      </c>
      <c r="P117" s="380" t="s">
        <v>626</v>
      </c>
      <c r="Q117" s="380" t="s">
        <v>627</v>
      </c>
      <c r="R117" s="380" t="s">
        <v>628</v>
      </c>
      <c r="S117" s="380" t="s">
        <v>629</v>
      </c>
      <c r="T117" s="380" t="s">
        <v>630</v>
      </c>
      <c r="U117" s="380" t="s">
        <v>631</v>
      </c>
      <c r="V117" s="380" t="s">
        <v>632</v>
      </c>
      <c r="W117" s="380" t="s">
        <v>633</v>
      </c>
      <c r="X117" s="380" t="s">
        <v>634</v>
      </c>
      <c r="Y117" s="380" t="s">
        <v>635</v>
      </c>
      <c r="Z117" s="380"/>
      <c r="AA117" s="380" t="s">
        <v>624</v>
      </c>
      <c r="AB117" s="380" t="s">
        <v>625</v>
      </c>
      <c r="AC117" s="380" t="s">
        <v>626</v>
      </c>
      <c r="AD117" s="380" t="s">
        <v>627</v>
      </c>
      <c r="AE117" s="380" t="s">
        <v>628</v>
      </c>
      <c r="AF117" s="380" t="s">
        <v>629</v>
      </c>
      <c r="AG117" s="380" t="s">
        <v>630</v>
      </c>
      <c r="AH117" s="380" t="s">
        <v>631</v>
      </c>
      <c r="AI117" s="380" t="s">
        <v>632</v>
      </c>
      <c r="AJ117" s="380" t="s">
        <v>633</v>
      </c>
      <c r="AK117" s="380" t="s">
        <v>634</v>
      </c>
      <c r="AL117" s="380" t="s">
        <v>635</v>
      </c>
      <c r="AM117" s="32"/>
      <c r="AN117" s="32"/>
      <c r="AO117" s="32"/>
      <c r="AP117" s="32"/>
      <c r="AQ117" s="32"/>
      <c r="AR117" s="32"/>
      <c r="AS117" s="32"/>
      <c r="AT117" s="32"/>
      <c r="AU117" s="32"/>
      <c r="AV117" s="32"/>
      <c r="AW117" s="32"/>
      <c r="AX117" s="32"/>
      <c r="AY117" s="32"/>
      <c r="AZ117" s="32"/>
      <c r="BA117" s="32"/>
      <c r="BB117" s="32"/>
      <c r="BC117" s="32"/>
      <c r="BD117" s="32"/>
      <c r="BE117" s="32"/>
      <c r="BF117" s="32"/>
      <c r="BG117" s="32"/>
      <c r="BH117" s="32"/>
      <c r="BI117" s="32"/>
      <c r="BJ117" s="32"/>
      <c r="BK117" s="32"/>
      <c r="BL117" s="32"/>
      <c r="BM117" s="32"/>
      <c r="BN117" s="32"/>
      <c r="BO117" s="32"/>
      <c r="BP117" s="32"/>
      <c r="BQ117" s="32"/>
      <c r="BR117" s="32"/>
      <c r="BS117" s="32"/>
      <c r="BT117" s="32"/>
      <c r="BU117" s="32"/>
      <c r="BV117" s="32"/>
      <c r="BW117" s="32"/>
      <c r="BX117" s="32"/>
      <c r="BY117" s="32"/>
      <c r="BZ117" s="32"/>
      <c r="CA117" s="32"/>
      <c r="CB117" s="32"/>
      <c r="CC117" s="32"/>
      <c r="CD117" s="32"/>
      <c r="CE117" s="32"/>
      <c r="CF117" s="32"/>
      <c r="CG117" s="32"/>
      <c r="CH117" s="32"/>
      <c r="CI117" s="32"/>
      <c r="CJ117" s="32"/>
      <c r="CK117" s="32"/>
      <c r="CL117" s="32"/>
      <c r="CM117" s="32"/>
      <c r="CN117" s="32"/>
      <c r="CO117" s="32"/>
      <c r="CP117" s="32"/>
      <c r="CQ117" s="32"/>
      <c r="CR117" s="32"/>
      <c r="CS117" s="32"/>
      <c r="CT117" s="32"/>
      <c r="CU117" s="32"/>
      <c r="CV117" s="32"/>
      <c r="CW117" s="32"/>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row>
    <row r="118" spans="1:131">
      <c r="A118" s="11"/>
      <c r="B118" s="390" t="s">
        <v>636</v>
      </c>
      <c r="C118" s="391">
        <v>24635.949394178628</v>
      </c>
      <c r="D118" s="391">
        <v>4999.7279209108274</v>
      </c>
      <c r="E118" s="391">
        <v>0</v>
      </c>
      <c r="F118" s="391">
        <v>4999.7279209108274</v>
      </c>
      <c r="G118" s="391">
        <v>-2853.5172497965827</v>
      </c>
      <c r="H118" s="391">
        <v>16245.30942431408</v>
      </c>
      <c r="I118" s="391">
        <v>1777.7929271736548</v>
      </c>
      <c r="J118" s="391">
        <v>-3.3932387105997739</v>
      </c>
      <c r="K118" s="391">
        <v>-21.775196325585593</v>
      </c>
      <c r="L118" s="382">
        <v>557.9443974409445</v>
      </c>
      <c r="M118" s="32">
        <v>234.0421393194101</v>
      </c>
      <c r="N118" s="166">
        <v>1009.026062433783</v>
      </c>
      <c r="O118" s="166">
        <v>745.93511692551965</v>
      </c>
      <c r="P118" s="166">
        <v>694.87296596143642</v>
      </c>
      <c r="Q118" s="166">
        <v>398.90822464814289</v>
      </c>
      <c r="R118" s="166">
        <v>320.43855816333343</v>
      </c>
      <c r="S118" s="166">
        <v>248.56659093133626</v>
      </c>
      <c r="T118" s="166">
        <v>259.37729705864331</v>
      </c>
      <c r="U118" s="166">
        <v>377.53221975633522</v>
      </c>
      <c r="V118" s="166">
        <v>476.98232561523025</v>
      </c>
      <c r="W118" s="166">
        <v>778.1428131180578</v>
      </c>
      <c r="X118" s="166">
        <v>901.11029154952746</v>
      </c>
      <c r="Y118" s="166">
        <v>1061.489752798424</v>
      </c>
      <c r="Z118" s="166"/>
      <c r="AA118" s="166">
        <v>1672.3020426270921</v>
      </c>
      <c r="AB118" s="166">
        <v>1450.581894099211</v>
      </c>
      <c r="AC118" s="166">
        <v>1462.3435023390628</v>
      </c>
      <c r="AD118" s="166">
        <v>1392.5165787039434</v>
      </c>
      <c r="AE118" s="166">
        <v>1282.5786521859143</v>
      </c>
      <c r="AF118" s="166">
        <v>1165.3418282410003</v>
      </c>
      <c r="AG118" s="166">
        <v>1272.5232092208098</v>
      </c>
      <c r="AH118" s="166">
        <v>1374.0750517699369</v>
      </c>
      <c r="AI118" s="166">
        <v>1481.111243795184</v>
      </c>
      <c r="AJ118" s="166">
        <v>1528.5907104088412</v>
      </c>
      <c r="AK118" s="166">
        <v>1602.389956402784</v>
      </c>
      <c r="AL118" s="166">
        <v>1679.2125054250901</v>
      </c>
      <c r="AM118" s="32"/>
      <c r="AN118" s="32"/>
      <c r="AO118" s="32"/>
      <c r="AP118" s="32"/>
      <c r="AQ118" s="32"/>
      <c r="AR118" s="32"/>
      <c r="AS118" s="32"/>
      <c r="AT118" s="32"/>
      <c r="AU118" s="32"/>
      <c r="AV118" s="32"/>
      <c r="AW118" s="32"/>
      <c r="AX118" s="32"/>
      <c r="AY118" s="32"/>
      <c r="AZ118" s="32"/>
      <c r="BA118" s="32"/>
      <c r="BB118" s="32"/>
      <c r="BC118" s="32"/>
      <c r="BD118" s="32"/>
      <c r="BE118" s="32"/>
      <c r="BF118" s="32"/>
      <c r="BG118" s="32"/>
      <c r="BH118" s="32"/>
      <c r="BI118" s="32"/>
      <c r="BJ118" s="32"/>
      <c r="BK118" s="32"/>
      <c r="BL118" s="32"/>
      <c r="BM118" s="32"/>
      <c r="BN118" s="32"/>
      <c r="BO118" s="32"/>
      <c r="BP118" s="32"/>
      <c r="BQ118" s="32"/>
      <c r="BR118" s="32"/>
      <c r="BS118" s="32"/>
      <c r="BT118" s="32"/>
      <c r="BU118" s="32"/>
      <c r="BV118" s="32"/>
      <c r="BW118" s="32"/>
      <c r="BX118" s="32"/>
      <c r="BY118" s="32"/>
      <c r="BZ118" s="32"/>
      <c r="CA118" s="32"/>
      <c r="CB118" s="32"/>
      <c r="CC118" s="32"/>
      <c r="CD118" s="32"/>
      <c r="CE118" s="32"/>
      <c r="CF118" s="32"/>
      <c r="CG118" s="32"/>
      <c r="CH118" s="32"/>
      <c r="CI118" s="32"/>
      <c r="CJ118" s="32"/>
      <c r="CK118" s="32"/>
      <c r="CL118" s="32"/>
      <c r="CM118" s="32"/>
      <c r="CN118" s="32"/>
      <c r="CO118" s="32"/>
      <c r="CP118" s="32"/>
      <c r="CQ118" s="32"/>
      <c r="CR118" s="32"/>
      <c r="CS118" s="32"/>
      <c r="CT118" s="32"/>
      <c r="CU118" s="32"/>
      <c r="CV118" s="32"/>
      <c r="CW118" s="32"/>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row>
    <row r="119" spans="1:131">
      <c r="A119" s="11"/>
      <c r="B119" s="390" t="s">
        <v>637</v>
      </c>
      <c r="C119" s="391">
        <v>24635.949394178628</v>
      </c>
      <c r="D119" s="391">
        <v>4999.7279209108274</v>
      </c>
      <c r="E119" s="391">
        <v>999.94558418216525</v>
      </c>
      <c r="F119" s="391">
        <v>5999.6735050929929</v>
      </c>
      <c r="G119" s="391">
        <v>-1853.5716656144191</v>
      </c>
      <c r="H119" s="391">
        <v>16245.30942431408</v>
      </c>
      <c r="I119" s="391">
        <v>2133.3515126083857</v>
      </c>
      <c r="J119" s="391">
        <v>-0.40663790458849414</v>
      </c>
      <c r="K119" s="391">
        <v>-18.788595519574304</v>
      </c>
      <c r="L119" s="382">
        <v>555.05066783527002</v>
      </c>
      <c r="M119" s="32">
        <v>234.0421393194101</v>
      </c>
      <c r="N119" s="166">
        <v>143.12158595149839</v>
      </c>
      <c r="O119" s="166">
        <v>105.804419653732</v>
      </c>
      <c r="P119" s="166">
        <v>98.561696893482164</v>
      </c>
      <c r="Q119" s="166">
        <v>56.581668091933444</v>
      </c>
      <c r="R119" s="166">
        <v>45.451427224514724</v>
      </c>
      <c r="S119" s="166">
        <v>35.257012710694781</v>
      </c>
      <c r="T119" s="166">
        <v>36.790417509440793</v>
      </c>
      <c r="U119" s="166">
        <v>53.549667398073012</v>
      </c>
      <c r="V119" s="166">
        <v>67.655801425214165</v>
      </c>
      <c r="W119" s="166">
        <v>110.37280171098203</v>
      </c>
      <c r="X119" s="166">
        <v>127.81467084478702</v>
      </c>
      <c r="Y119" s="166">
        <v>150.56310490666269</v>
      </c>
      <c r="Z119" s="166"/>
      <c r="AA119" s="166">
        <v>237.20152475885774</v>
      </c>
      <c r="AB119" s="166">
        <v>205.75244680523988</v>
      </c>
      <c r="AC119" s="166">
        <v>207.42072881231465</v>
      </c>
      <c r="AD119" s="166">
        <v>197.51638597634533</v>
      </c>
      <c r="AE119" s="166">
        <v>181.9226456506218</v>
      </c>
      <c r="AF119" s="166">
        <v>165.29362009855504</v>
      </c>
      <c r="AG119" s="166">
        <v>180.49636837376008</v>
      </c>
      <c r="AH119" s="166">
        <v>194.90061550179868</v>
      </c>
      <c r="AI119" s="166">
        <v>210.08276998442165</v>
      </c>
      <c r="AJ119" s="166">
        <v>216.81732007670308</v>
      </c>
      <c r="AK119" s="166">
        <v>227.28510234904752</v>
      </c>
      <c r="AL119" s="166">
        <v>238.18171390572945</v>
      </c>
      <c r="AM119" s="32"/>
      <c r="AN119" s="32"/>
      <c r="AO119" s="32"/>
      <c r="AP119" s="32"/>
      <c r="AQ119" s="32"/>
      <c r="AR119" s="32"/>
      <c r="AS119" s="32"/>
      <c r="AT119" s="32"/>
      <c r="AU119" s="32"/>
      <c r="AV119" s="32"/>
      <c r="AW119" s="32"/>
      <c r="AX119" s="32"/>
      <c r="AY119" s="32"/>
      <c r="AZ119" s="32"/>
      <c r="BA119" s="32"/>
      <c r="BB119" s="32"/>
      <c r="BC119" s="32"/>
      <c r="BD119" s="32"/>
      <c r="BE119" s="32"/>
      <c r="BF119" s="32"/>
      <c r="BG119" s="32"/>
      <c r="BH119" s="32"/>
      <c r="BI119" s="32"/>
      <c r="BJ119" s="32"/>
      <c r="BK119" s="32"/>
      <c r="BL119" s="32"/>
      <c r="BM119" s="32"/>
      <c r="BN119" s="32"/>
      <c r="BO119" s="32"/>
      <c r="BP119" s="32"/>
      <c r="BQ119" s="32"/>
      <c r="BR119" s="32"/>
      <c r="BS119" s="32"/>
      <c r="BT119" s="32"/>
      <c r="BU119" s="32"/>
      <c r="BV119" s="32"/>
      <c r="BW119" s="32"/>
      <c r="BX119" s="32"/>
      <c r="BY119" s="32"/>
      <c r="BZ119" s="32"/>
      <c r="CA119" s="32"/>
      <c r="CB119" s="32"/>
      <c r="CC119" s="32"/>
      <c r="CD119" s="32"/>
      <c r="CE119" s="32"/>
      <c r="CF119" s="32"/>
      <c r="CG119" s="32"/>
      <c r="CH119" s="32"/>
      <c r="CI119" s="32"/>
      <c r="CJ119" s="32"/>
      <c r="CK119" s="32"/>
      <c r="CL119" s="32"/>
      <c r="CM119" s="32"/>
      <c r="CN119" s="32"/>
      <c r="CO119" s="32"/>
      <c r="CP119" s="32"/>
      <c r="CQ119" s="32"/>
      <c r="CR119" s="32"/>
      <c r="CS119" s="32"/>
      <c r="CT119" s="32"/>
      <c r="CU119" s="32"/>
      <c r="CV119" s="32"/>
      <c r="CW119" s="32"/>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row>
    <row r="120" spans="1:131">
      <c r="A120" s="11"/>
      <c r="B120" s="390" t="s">
        <v>638</v>
      </c>
      <c r="C120" s="392"/>
      <c r="D120" s="392"/>
      <c r="E120" s="392"/>
      <c r="F120" s="392"/>
      <c r="G120" s="392"/>
      <c r="H120" s="392"/>
      <c r="I120" s="392"/>
      <c r="J120" s="392"/>
      <c r="K120" s="392"/>
      <c r="L120" s="383"/>
      <c r="M120" s="393"/>
      <c r="N120" s="393"/>
      <c r="O120" s="393"/>
      <c r="P120" s="393"/>
      <c r="Q120" s="393"/>
      <c r="R120" s="393"/>
      <c r="S120" s="393"/>
      <c r="T120" s="393"/>
      <c r="U120" s="393"/>
      <c r="V120" s="393"/>
      <c r="W120" s="393"/>
      <c r="X120" s="393"/>
      <c r="Y120" s="393"/>
      <c r="Z120" s="393"/>
      <c r="AA120" s="393"/>
      <c r="AB120" s="393"/>
      <c r="AC120" s="393"/>
      <c r="AD120" s="393"/>
      <c r="AE120" s="393"/>
      <c r="AF120" s="393"/>
      <c r="AG120" s="393"/>
      <c r="AH120" s="393"/>
      <c r="AI120" s="393"/>
      <c r="AJ120" s="393"/>
      <c r="AK120" s="393"/>
      <c r="AL120" s="393"/>
      <c r="AM120" s="32"/>
      <c r="AN120" s="32"/>
      <c r="AO120" s="32"/>
      <c r="AP120" s="32"/>
      <c r="AQ120" s="32"/>
      <c r="AR120" s="32"/>
      <c r="AS120" s="32"/>
      <c r="AT120" s="32"/>
      <c r="AU120" s="32"/>
      <c r="AV120" s="32"/>
      <c r="AW120" s="32"/>
      <c r="AX120" s="32"/>
      <c r="AY120" s="32"/>
      <c r="AZ120" s="32"/>
      <c r="BA120" s="32"/>
      <c r="BB120" s="32"/>
      <c r="BC120" s="32"/>
      <c r="BD120" s="32"/>
      <c r="BE120" s="32"/>
      <c r="BF120" s="32"/>
      <c r="BG120" s="32"/>
      <c r="BH120" s="32"/>
      <c r="BI120" s="32"/>
      <c r="BJ120" s="32"/>
      <c r="BK120" s="32"/>
      <c r="BL120" s="32"/>
      <c r="BM120" s="32"/>
      <c r="BN120" s="32"/>
      <c r="BO120" s="32"/>
      <c r="BP120" s="32"/>
      <c r="BQ120" s="32"/>
      <c r="BR120" s="32"/>
      <c r="BS120" s="32"/>
      <c r="BT120" s="32"/>
      <c r="BU120" s="32"/>
      <c r="BV120" s="32"/>
      <c r="BW120" s="32"/>
      <c r="BX120" s="32"/>
      <c r="BY120" s="32"/>
      <c r="BZ120" s="32"/>
      <c r="CA120" s="32"/>
      <c r="CB120" s="32"/>
      <c r="CC120" s="32"/>
      <c r="CD120" s="32"/>
      <c r="CE120" s="32"/>
      <c r="CF120" s="32"/>
      <c r="CG120" s="32"/>
      <c r="CH120" s="32"/>
      <c r="CI120" s="32"/>
      <c r="CJ120" s="32"/>
      <c r="CK120" s="32"/>
      <c r="CL120" s="32"/>
      <c r="CM120" s="32"/>
      <c r="CN120" s="32"/>
      <c r="CO120" s="32"/>
      <c r="CP120" s="32"/>
      <c r="CQ120" s="32"/>
      <c r="CR120" s="32"/>
      <c r="CS120" s="32"/>
      <c r="CT120" s="32"/>
      <c r="CU120" s="32"/>
      <c r="CV120" s="32"/>
      <c r="CW120" s="32"/>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row>
    <row r="121" spans="1:131">
      <c r="A121" s="11"/>
      <c r="B121" s="11" t="s">
        <v>639</v>
      </c>
      <c r="C121" s="32">
        <v>12580.745863905968</v>
      </c>
      <c r="D121" s="32">
        <v>1762.0651181767091</v>
      </c>
      <c r="E121" s="32">
        <v>352.41302363534186</v>
      </c>
      <c r="F121" s="32">
        <v>2114.478141812051</v>
      </c>
      <c r="G121" s="32">
        <v>-6062.1316841405669</v>
      </c>
      <c r="H121" s="32">
        <v>8295.9299062412283</v>
      </c>
      <c r="I121" s="32">
        <v>1472.3156101114303</v>
      </c>
      <c r="J121" s="32">
        <v>-4.387004114275185</v>
      </c>
      <c r="K121" s="32">
        <v>-48.708362750185906</v>
      </c>
      <c r="L121" s="382">
        <v>1085.2701644482725</v>
      </c>
      <c r="M121" s="32">
        <v>119.51740235828402</v>
      </c>
      <c r="N121" s="166">
        <v>515.27547237683268</v>
      </c>
      <c r="O121" s="166">
        <v>380.9238274868531</v>
      </c>
      <c r="P121" s="166">
        <v>354.84811454130988</v>
      </c>
      <c r="Q121" s="166">
        <v>203.70893433098468</v>
      </c>
      <c r="R121" s="166">
        <v>163.63713046926213</v>
      </c>
      <c r="S121" s="166">
        <v>126.93454840037738</v>
      </c>
      <c r="T121" s="166">
        <v>132.45521026815823</v>
      </c>
      <c r="U121" s="166">
        <v>192.79293183290397</v>
      </c>
      <c r="V121" s="166">
        <v>243.57873626571165</v>
      </c>
      <c r="W121" s="166">
        <v>397.37120827080469</v>
      </c>
      <c r="X121" s="166">
        <v>460.16653922879129</v>
      </c>
      <c r="Y121" s="166">
        <v>542.06690407688984</v>
      </c>
      <c r="Z121" s="166"/>
      <c r="AA121" s="166">
        <v>853.98807528617783</v>
      </c>
      <c r="AB121" s="166">
        <v>740.76309674340325</v>
      </c>
      <c r="AC121" s="166">
        <v>746.76935214882144</v>
      </c>
      <c r="AD121" s="166">
        <v>711.11110465626166</v>
      </c>
      <c r="AE121" s="166">
        <v>654.96952504029935</v>
      </c>
      <c r="AF121" s="166">
        <v>595.10064544717238</v>
      </c>
      <c r="AG121" s="166">
        <v>649.83455051713895</v>
      </c>
      <c r="AH121" s="166">
        <v>701.69364077098771</v>
      </c>
      <c r="AI121" s="166">
        <v>756.35340275394026</v>
      </c>
      <c r="AJ121" s="166">
        <v>780.59956001229932</v>
      </c>
      <c r="AK121" s="166">
        <v>818.28633814056832</v>
      </c>
      <c r="AL121" s="166">
        <v>857.51701484002069</v>
      </c>
      <c r="AM121" s="32"/>
      <c r="AN121" s="32"/>
      <c r="AO121" s="32"/>
      <c r="AP121" s="32"/>
      <c r="AQ121" s="32"/>
      <c r="AR121" s="32"/>
      <c r="AS121" s="32"/>
      <c r="AT121" s="32"/>
      <c r="AU121" s="32"/>
      <c r="AV121" s="32"/>
      <c r="AW121" s="32"/>
      <c r="AX121" s="32"/>
      <c r="AY121" s="32"/>
      <c r="AZ121" s="32"/>
      <c r="BA121" s="32"/>
      <c r="BB121" s="32"/>
      <c r="BC121" s="32"/>
      <c r="BD121" s="32"/>
      <c r="BE121" s="32"/>
      <c r="BF121" s="32"/>
      <c r="BG121" s="32"/>
      <c r="BH121" s="32"/>
      <c r="BI121" s="32"/>
      <c r="BJ121" s="32"/>
      <c r="BK121" s="32"/>
      <c r="BL121" s="32"/>
      <c r="BM121" s="32"/>
      <c r="BN121" s="32"/>
      <c r="BO121" s="32"/>
      <c r="BP121" s="32"/>
      <c r="BQ121" s="32"/>
      <c r="BR121" s="32"/>
      <c r="BS121" s="32"/>
      <c r="BT121" s="32"/>
      <c r="BU121" s="32"/>
      <c r="BV121" s="32"/>
      <c r="BW121" s="32"/>
      <c r="BX121" s="32"/>
      <c r="BY121" s="32"/>
      <c r="BZ121" s="32"/>
      <c r="CA121" s="32"/>
      <c r="CB121" s="32"/>
      <c r="CC121" s="32"/>
      <c r="CD121" s="32"/>
      <c r="CE121" s="32"/>
      <c r="CF121" s="32"/>
      <c r="CG121" s="32"/>
      <c r="CH121" s="32"/>
      <c r="CI121" s="32"/>
      <c r="CJ121" s="32"/>
      <c r="CK121" s="32"/>
      <c r="CL121" s="32"/>
      <c r="CM121" s="32"/>
      <c r="CN121" s="32"/>
      <c r="CO121" s="32"/>
      <c r="CP121" s="32"/>
      <c r="CQ121" s="32"/>
      <c r="CR121" s="32"/>
      <c r="CS121" s="32"/>
      <c r="CT121" s="32"/>
      <c r="CU121" s="32"/>
      <c r="CV121" s="32"/>
      <c r="CW121" s="32"/>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row>
    <row r="122" spans="1:131">
      <c r="A122" s="11"/>
      <c r="B122" s="11" t="s">
        <v>640</v>
      </c>
      <c r="C122" s="32">
        <v>4135.1883620093995</v>
      </c>
      <c r="D122" s="32">
        <v>807.48914453976681</v>
      </c>
      <c r="E122" s="32">
        <v>161.49782890795336</v>
      </c>
      <c r="F122" s="32">
        <v>968.98697344772017</v>
      </c>
      <c r="G122" s="32">
        <v>1005.5419780284321</v>
      </c>
      <c r="H122" s="32">
        <v>2726.8043700617013</v>
      </c>
      <c r="I122" s="32">
        <v>2052.7059820020681</v>
      </c>
      <c r="J122" s="32">
        <v>-0.89223746699519169</v>
      </c>
      <c r="K122" s="32">
        <v>4.6402490520671398</v>
      </c>
      <c r="L122" s="382">
        <v>2.2124021900951583</v>
      </c>
      <c r="M122" s="32">
        <v>39.28439351974383</v>
      </c>
      <c r="N122" s="166">
        <v>169.36683720117949</v>
      </c>
      <c r="O122" s="166">
        <v>125.20654937915251</v>
      </c>
      <c r="P122" s="166">
        <v>116.63567561141622</v>
      </c>
      <c r="Q122" s="166">
        <v>66.957462108791958</v>
      </c>
      <c r="R122" s="166">
        <v>53.786187625843944</v>
      </c>
      <c r="S122" s="166">
        <v>41.722348814634856</v>
      </c>
      <c r="T122" s="166">
        <v>43.5369452585335</v>
      </c>
      <c r="U122" s="166">
        <v>63.369461287693262</v>
      </c>
      <c r="V122" s="166">
        <v>80.062340208993533</v>
      </c>
      <c r="W122" s="166">
        <v>130.61266904320695</v>
      </c>
      <c r="X122" s="166">
        <v>151.25298119759097</v>
      </c>
      <c r="Y122" s="166">
        <v>178.17296187503487</v>
      </c>
      <c r="Z122" s="166"/>
      <c r="AA122" s="166">
        <v>280.69890199036331</v>
      </c>
      <c r="AB122" s="166">
        <v>243.48277676029048</v>
      </c>
      <c r="AC122" s="166">
        <v>245.45698383198712</v>
      </c>
      <c r="AD122" s="166">
        <v>233.73640926224508</v>
      </c>
      <c r="AE122" s="166">
        <v>215.28313080291261</v>
      </c>
      <c r="AF122" s="166">
        <v>195.60471929868586</v>
      </c>
      <c r="AG122" s="166">
        <v>213.59530663754987</v>
      </c>
      <c r="AH122" s="166">
        <v>230.64096583788051</v>
      </c>
      <c r="AI122" s="166">
        <v>248.60718294990266</v>
      </c>
      <c r="AJ122" s="166">
        <v>256.57669671346002</v>
      </c>
      <c r="AK122" s="166">
        <v>268.96403272703907</v>
      </c>
      <c r="AL122" s="166">
        <v>281.85883558501234</v>
      </c>
      <c r="AM122" s="32"/>
      <c r="AN122" s="32"/>
      <c r="AO122" s="32"/>
      <c r="AP122" s="32"/>
      <c r="AQ122" s="32"/>
      <c r="AR122" s="32"/>
      <c r="AS122" s="32"/>
      <c r="AT122" s="32"/>
      <c r="AU122" s="32"/>
      <c r="AV122" s="32"/>
      <c r="AW122" s="32"/>
      <c r="AX122" s="32"/>
      <c r="AY122" s="32"/>
      <c r="AZ122" s="32"/>
      <c r="BA122" s="32"/>
      <c r="BB122" s="32"/>
      <c r="BC122" s="32"/>
      <c r="BD122" s="32"/>
      <c r="BE122" s="32"/>
      <c r="BF122" s="32"/>
      <c r="BG122" s="32"/>
      <c r="BH122" s="32"/>
      <c r="BI122" s="32"/>
      <c r="BJ122" s="32"/>
      <c r="BK122" s="32"/>
      <c r="BL122" s="32"/>
      <c r="BM122" s="32"/>
      <c r="BN122" s="32"/>
      <c r="BO122" s="32"/>
      <c r="BP122" s="32"/>
      <c r="BQ122" s="32"/>
      <c r="BR122" s="32"/>
      <c r="BS122" s="32"/>
      <c r="BT122" s="32"/>
      <c r="BU122" s="32"/>
      <c r="BV122" s="32"/>
      <c r="BW122" s="32"/>
      <c r="BX122" s="32"/>
      <c r="BY122" s="32"/>
      <c r="BZ122" s="32"/>
      <c r="CA122" s="32"/>
      <c r="CB122" s="32"/>
      <c r="CC122" s="32"/>
      <c r="CD122" s="32"/>
      <c r="CE122" s="32"/>
      <c r="CF122" s="32"/>
      <c r="CG122" s="32"/>
      <c r="CH122" s="32"/>
      <c r="CI122" s="32"/>
      <c r="CJ122" s="32"/>
      <c r="CK122" s="32"/>
      <c r="CL122" s="32"/>
      <c r="CM122" s="32"/>
      <c r="CN122" s="32"/>
      <c r="CO122" s="32"/>
      <c r="CP122" s="32"/>
      <c r="CQ122" s="32"/>
      <c r="CR122" s="32"/>
      <c r="CS122" s="32"/>
      <c r="CT122" s="32"/>
      <c r="CU122" s="32"/>
      <c r="CV122" s="32"/>
      <c r="CW122" s="32"/>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row>
    <row r="123" spans="1:131">
      <c r="A123" s="11"/>
      <c r="B123" s="11" t="s">
        <v>641</v>
      </c>
      <c r="C123" s="32">
        <v>4789.8112688157935</v>
      </c>
      <c r="D123" s="32">
        <v>1458.1041949166106</v>
      </c>
      <c r="E123" s="32">
        <v>291.62083898332213</v>
      </c>
      <c r="F123" s="32">
        <v>1749.7250338999327</v>
      </c>
      <c r="G123" s="32">
        <v>1591.7891498353829</v>
      </c>
      <c r="H123" s="32">
        <v>3158.4723974293283</v>
      </c>
      <c r="I123" s="32">
        <v>3200.0407608446167</v>
      </c>
      <c r="J123" s="32">
        <v>6.0163322001784749</v>
      </c>
      <c r="K123" s="32">
        <v>11.200871819086821</v>
      </c>
      <c r="L123" s="382">
        <v>1.5906087955366093</v>
      </c>
      <c r="M123" s="32">
        <v>45.503327610940701</v>
      </c>
      <c r="N123" s="166">
        <v>196.17853272243644</v>
      </c>
      <c r="O123" s="166">
        <v>145.02743010584109</v>
      </c>
      <c r="P123" s="166">
        <v>135.09974020096038</v>
      </c>
      <c r="Q123" s="166">
        <v>77.557194126014309</v>
      </c>
      <c r="R123" s="166">
        <v>62.300834942309763</v>
      </c>
      <c r="S123" s="166">
        <v>48.327224546717517</v>
      </c>
      <c r="T123" s="166">
        <v>50.429081520196554</v>
      </c>
      <c r="U123" s="166">
        <v>73.401193174931223</v>
      </c>
      <c r="V123" s="166">
        <v>92.73664601688327</v>
      </c>
      <c r="W123" s="166">
        <v>151.28936804447272</v>
      </c>
      <c r="X123" s="166">
        <v>175.19715436376481</v>
      </c>
      <c r="Y123" s="166">
        <v>206.37871503696906</v>
      </c>
      <c r="Z123" s="166"/>
      <c r="AA123" s="166">
        <v>325.13507153621799</v>
      </c>
      <c r="AB123" s="166">
        <v>282.02743038343567</v>
      </c>
      <c r="AC123" s="166">
        <v>284.31416521899069</v>
      </c>
      <c r="AD123" s="166">
        <v>270.73815966942323</v>
      </c>
      <c r="AE123" s="166">
        <v>249.36362642611618</v>
      </c>
      <c r="AF123" s="166">
        <v>226.570014884431</v>
      </c>
      <c r="AG123" s="166">
        <v>247.40861047537828</v>
      </c>
      <c r="AH123" s="166">
        <v>267.15269064164755</v>
      </c>
      <c r="AI123" s="166">
        <v>287.9630580657178</v>
      </c>
      <c r="AJ123" s="166">
        <v>297.19418939273686</v>
      </c>
      <c r="AK123" s="166">
        <v>311.54250836498733</v>
      </c>
      <c r="AL123" s="166">
        <v>326.47862895521496</v>
      </c>
      <c r="AM123" s="32"/>
      <c r="AN123" s="32"/>
      <c r="AO123" s="32"/>
      <c r="AP123" s="32"/>
      <c r="AQ123" s="32"/>
      <c r="AR123" s="32"/>
      <c r="AS123" s="32"/>
      <c r="AT123" s="32"/>
      <c r="AU123" s="32"/>
      <c r="AV123" s="32"/>
      <c r="AW123" s="32"/>
      <c r="AX123" s="32"/>
      <c r="AY123" s="32"/>
      <c r="AZ123" s="32"/>
      <c r="BA123" s="32"/>
      <c r="BB123" s="32"/>
      <c r="BC123" s="32"/>
      <c r="BD123" s="32"/>
      <c r="BE123" s="32"/>
      <c r="BF123" s="32"/>
      <c r="BG123" s="32"/>
      <c r="BH123" s="32"/>
      <c r="BI123" s="32"/>
      <c r="BJ123" s="32"/>
      <c r="BK123" s="32"/>
      <c r="BL123" s="32"/>
      <c r="BM123" s="32"/>
      <c r="BN123" s="32"/>
      <c r="BO123" s="32"/>
      <c r="BP123" s="32"/>
      <c r="BQ123" s="32"/>
      <c r="BR123" s="32"/>
      <c r="BS123" s="32"/>
      <c r="BT123" s="32"/>
      <c r="BU123" s="32"/>
      <c r="BV123" s="32"/>
      <c r="BW123" s="32"/>
      <c r="BX123" s="32"/>
      <c r="BY123" s="32"/>
      <c r="BZ123" s="32"/>
      <c r="CA123" s="32"/>
      <c r="CB123" s="32"/>
      <c r="CC123" s="32"/>
      <c r="CD123" s="32"/>
      <c r="CE123" s="32"/>
      <c r="CF123" s="32"/>
      <c r="CG123" s="32"/>
      <c r="CH123" s="32"/>
      <c r="CI123" s="32"/>
      <c r="CJ123" s="32"/>
      <c r="CK123" s="32"/>
      <c r="CL123" s="32"/>
      <c r="CM123" s="32"/>
      <c r="CN123" s="32"/>
      <c r="CO123" s="32"/>
      <c r="CP123" s="32"/>
      <c r="CQ123" s="32"/>
      <c r="CR123" s="32"/>
      <c r="CS123" s="32"/>
      <c r="CT123" s="32"/>
      <c r="CU123" s="32"/>
      <c r="CV123" s="32"/>
      <c r="CW123" s="32"/>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row>
    <row r="124" spans="1:131">
      <c r="A124" s="11"/>
      <c r="B124" s="11" t="s">
        <v>642</v>
      </c>
      <c r="C124" s="32">
        <v>3130.2038994474719</v>
      </c>
      <c r="D124" s="32">
        <v>972.0694632777404</v>
      </c>
      <c r="E124" s="32">
        <v>194.4138926555481</v>
      </c>
      <c r="F124" s="32">
        <v>1166.4833559332885</v>
      </c>
      <c r="G124" s="32">
        <v>1611.2288906623328</v>
      </c>
      <c r="H124" s="32">
        <v>2064.1027505818233</v>
      </c>
      <c r="I124" s="32">
        <v>3264.4500250540573</v>
      </c>
      <c r="J124" s="32">
        <v>6.4041665944702748</v>
      </c>
      <c r="K124" s="32">
        <v>24.622766228154447</v>
      </c>
      <c r="L124" s="382">
        <v>1.2537891447270564</v>
      </c>
      <c r="M124" s="32">
        <v>29.73701583044155</v>
      </c>
      <c r="N124" s="166">
        <v>128.20522013333431</v>
      </c>
      <c r="O124" s="166">
        <v>94.777309953672855</v>
      </c>
      <c r="P124" s="166">
        <v>88.289435607749851</v>
      </c>
      <c r="Q124" s="166">
        <v>50.684634082351991</v>
      </c>
      <c r="R124" s="166">
        <v>40.714405125917544</v>
      </c>
      <c r="S124" s="166">
        <v>31.582469169606536</v>
      </c>
      <c r="T124" s="166">
        <v>32.956060011755014</v>
      </c>
      <c r="U124" s="166">
        <v>47.968633460806828</v>
      </c>
      <c r="V124" s="166">
        <v>60.604603123641709</v>
      </c>
      <c r="W124" s="166">
        <v>98.869567759573613</v>
      </c>
      <c r="X124" s="166">
        <v>114.49361675938046</v>
      </c>
      <c r="Y124" s="166">
        <v>134.8711718095303</v>
      </c>
      <c r="Z124" s="166"/>
      <c r="AA124" s="166">
        <v>212.479993814333</v>
      </c>
      <c r="AB124" s="166">
        <v>184.30859021208164</v>
      </c>
      <c r="AC124" s="166">
        <v>185.80300113926339</v>
      </c>
      <c r="AD124" s="166">
        <v>176.93090511601383</v>
      </c>
      <c r="AE124" s="166">
        <v>162.96236991658603</v>
      </c>
      <c r="AF124" s="166">
        <v>148.06644861071092</v>
      </c>
      <c r="AG124" s="166">
        <v>161.68474159074287</v>
      </c>
      <c r="AH124" s="166">
        <v>174.58775451942125</v>
      </c>
      <c r="AI124" s="166">
        <v>188.18760002562308</v>
      </c>
      <c r="AJ124" s="166">
        <v>194.22026429034486</v>
      </c>
      <c r="AK124" s="166">
        <v>203.59707717018901</v>
      </c>
      <c r="AL124" s="166">
        <v>213.35802604484209</v>
      </c>
      <c r="AM124" s="32"/>
      <c r="AN124" s="32"/>
      <c r="AO124" s="32"/>
      <c r="AP124" s="32"/>
      <c r="AQ124" s="32"/>
      <c r="AR124" s="32"/>
      <c r="AS124" s="32"/>
      <c r="AT124" s="32"/>
      <c r="AU124" s="32"/>
      <c r="AV124" s="32"/>
      <c r="AW124" s="32"/>
      <c r="AX124" s="32"/>
      <c r="AY124" s="32"/>
      <c r="AZ124" s="32"/>
      <c r="BA124" s="32"/>
      <c r="BB124" s="32"/>
      <c r="BC124" s="32"/>
      <c r="BD124" s="32"/>
      <c r="BE124" s="32"/>
      <c r="BF124" s="32"/>
      <c r="BG124" s="32"/>
      <c r="BH124" s="32"/>
      <c r="BI124" s="32"/>
      <c r="BJ124" s="32"/>
      <c r="BK124" s="32"/>
      <c r="BL124" s="32"/>
      <c r="BM124" s="32"/>
      <c r="BN124" s="32"/>
      <c r="BO124" s="32"/>
      <c r="BP124" s="32"/>
      <c r="BQ124" s="32"/>
      <c r="BR124" s="32"/>
      <c r="BS124" s="32"/>
      <c r="BT124" s="32"/>
      <c r="BU124" s="32"/>
      <c r="BV124" s="32"/>
      <c r="BW124" s="32"/>
      <c r="BX124" s="32"/>
      <c r="BY124" s="32"/>
      <c r="BZ124" s="32"/>
      <c r="CA124" s="32"/>
      <c r="CB124" s="32"/>
      <c r="CC124" s="32"/>
      <c r="CD124" s="32"/>
      <c r="CE124" s="32"/>
      <c r="CF124" s="32"/>
      <c r="CG124" s="32"/>
      <c r="CH124" s="32"/>
      <c r="CI124" s="32"/>
      <c r="CJ124" s="32"/>
      <c r="CK124" s="32"/>
      <c r="CL124" s="32"/>
      <c r="CM124" s="32"/>
      <c r="CN124" s="32"/>
      <c r="CO124" s="32"/>
      <c r="CP124" s="32"/>
      <c r="CQ124" s="32"/>
      <c r="CR124" s="32"/>
      <c r="CS124" s="32"/>
      <c r="CT124" s="32"/>
      <c r="CU124" s="32"/>
      <c r="CV124" s="32"/>
      <c r="CW124" s="32"/>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row>
    <row r="125" spans="1:131">
      <c r="A125" s="11"/>
      <c r="B125" s="11" t="s">
        <v>643</v>
      </c>
      <c r="C125" s="393">
        <v>0</v>
      </c>
      <c r="D125" s="393">
        <v>0</v>
      </c>
      <c r="E125" s="393">
        <v>0</v>
      </c>
      <c r="F125" s="393">
        <v>0</v>
      </c>
      <c r="G125" s="393">
        <v>0</v>
      </c>
      <c r="H125" s="393">
        <v>0</v>
      </c>
      <c r="I125" s="393">
        <v>0</v>
      </c>
      <c r="J125" s="393">
        <v>0</v>
      </c>
      <c r="K125" s="393">
        <v>0</v>
      </c>
      <c r="L125" s="394">
        <v>0</v>
      </c>
      <c r="M125" s="393">
        <v>0</v>
      </c>
      <c r="N125" s="393">
        <v>0</v>
      </c>
      <c r="O125" s="393">
        <v>0</v>
      </c>
      <c r="P125" s="393">
        <v>0</v>
      </c>
      <c r="Q125" s="393">
        <v>0</v>
      </c>
      <c r="R125" s="393">
        <v>0</v>
      </c>
      <c r="S125" s="393">
        <v>0</v>
      </c>
      <c r="T125" s="393">
        <v>0</v>
      </c>
      <c r="U125" s="393">
        <v>0</v>
      </c>
      <c r="V125" s="393">
        <v>0</v>
      </c>
      <c r="W125" s="393">
        <v>0</v>
      </c>
      <c r="X125" s="393">
        <v>0</v>
      </c>
      <c r="Y125" s="393">
        <v>0</v>
      </c>
      <c r="Z125" s="393"/>
      <c r="AA125" s="393">
        <v>0</v>
      </c>
      <c r="AB125" s="393">
        <v>0</v>
      </c>
      <c r="AC125" s="393">
        <v>0</v>
      </c>
      <c r="AD125" s="393">
        <v>0</v>
      </c>
      <c r="AE125" s="393">
        <v>0</v>
      </c>
      <c r="AF125" s="393">
        <v>0</v>
      </c>
      <c r="AG125" s="393">
        <v>0</v>
      </c>
      <c r="AH125" s="393">
        <v>0</v>
      </c>
      <c r="AI125" s="393">
        <v>0</v>
      </c>
      <c r="AJ125" s="393">
        <v>0</v>
      </c>
      <c r="AK125" s="393">
        <v>0</v>
      </c>
      <c r="AL125" s="393">
        <v>0</v>
      </c>
      <c r="AM125" s="32"/>
      <c r="AN125" s="32"/>
      <c r="AO125" s="32"/>
      <c r="AP125" s="32"/>
      <c r="AQ125" s="32"/>
      <c r="AR125" s="32"/>
      <c r="AS125" s="32"/>
      <c r="AT125" s="32"/>
      <c r="AU125" s="32"/>
      <c r="AV125" s="32"/>
      <c r="AW125" s="32"/>
      <c r="AX125" s="32"/>
      <c r="AY125" s="32"/>
      <c r="AZ125" s="32"/>
      <c r="BA125" s="32"/>
      <c r="BB125" s="32"/>
      <c r="BC125" s="32"/>
      <c r="BD125" s="32"/>
      <c r="BE125" s="32"/>
      <c r="BF125" s="32"/>
      <c r="BG125" s="32"/>
      <c r="BH125" s="32"/>
      <c r="BI125" s="32"/>
      <c r="BJ125" s="32"/>
      <c r="BK125" s="32"/>
      <c r="BL125" s="32"/>
      <c r="BM125" s="32"/>
      <c r="BN125" s="32"/>
      <c r="BO125" s="32"/>
      <c r="BP125" s="32"/>
      <c r="BQ125" s="32"/>
      <c r="BR125" s="32"/>
      <c r="BS125" s="32"/>
      <c r="BT125" s="32"/>
      <c r="BU125" s="32"/>
      <c r="BV125" s="32"/>
      <c r="BW125" s="32"/>
      <c r="BX125" s="32"/>
      <c r="BY125" s="32"/>
      <c r="BZ125" s="32"/>
      <c r="CA125" s="32"/>
      <c r="CB125" s="32"/>
      <c r="CC125" s="32"/>
      <c r="CD125" s="32"/>
      <c r="CE125" s="32"/>
      <c r="CF125" s="32"/>
      <c r="CG125" s="32"/>
      <c r="CH125" s="32"/>
      <c r="CI125" s="32"/>
      <c r="CJ125" s="32"/>
      <c r="CK125" s="32"/>
      <c r="CL125" s="32"/>
      <c r="CM125" s="32"/>
      <c r="CN125" s="32"/>
      <c r="CO125" s="32"/>
      <c r="CP125" s="32"/>
      <c r="CQ125" s="32"/>
      <c r="CR125" s="32"/>
      <c r="CS125" s="32"/>
      <c r="CT125" s="32"/>
      <c r="CU125" s="32"/>
      <c r="CV125" s="32"/>
      <c r="CW125" s="32"/>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row>
    <row r="126" spans="1:131">
      <c r="A126" s="11"/>
      <c r="B126" s="11" t="s">
        <v>644</v>
      </c>
      <c r="C126" s="393">
        <v>0</v>
      </c>
      <c r="D126" s="393">
        <v>0</v>
      </c>
      <c r="E126" s="393">
        <v>0</v>
      </c>
      <c r="F126" s="393">
        <v>0</v>
      </c>
      <c r="G126" s="393">
        <v>0</v>
      </c>
      <c r="H126" s="393">
        <v>0</v>
      </c>
      <c r="I126" s="393">
        <v>0</v>
      </c>
      <c r="J126" s="393">
        <v>0</v>
      </c>
      <c r="K126" s="393">
        <v>0</v>
      </c>
      <c r="L126" s="394">
        <v>0</v>
      </c>
      <c r="M126" s="393">
        <v>0</v>
      </c>
      <c r="N126" s="393">
        <v>0</v>
      </c>
      <c r="O126" s="393">
        <v>0</v>
      </c>
      <c r="P126" s="393">
        <v>0</v>
      </c>
      <c r="Q126" s="393">
        <v>0</v>
      </c>
      <c r="R126" s="393">
        <v>0</v>
      </c>
      <c r="S126" s="393">
        <v>0</v>
      </c>
      <c r="T126" s="393">
        <v>0</v>
      </c>
      <c r="U126" s="393">
        <v>0</v>
      </c>
      <c r="V126" s="393">
        <v>0</v>
      </c>
      <c r="W126" s="393">
        <v>0</v>
      </c>
      <c r="X126" s="393">
        <v>0</v>
      </c>
      <c r="Y126" s="393">
        <v>0</v>
      </c>
      <c r="Z126" s="393"/>
      <c r="AA126" s="393">
        <v>0</v>
      </c>
      <c r="AB126" s="393">
        <v>0</v>
      </c>
      <c r="AC126" s="393">
        <v>0</v>
      </c>
      <c r="AD126" s="393">
        <v>0</v>
      </c>
      <c r="AE126" s="393">
        <v>0</v>
      </c>
      <c r="AF126" s="393">
        <v>0</v>
      </c>
      <c r="AG126" s="393">
        <v>0</v>
      </c>
      <c r="AH126" s="393">
        <v>0</v>
      </c>
      <c r="AI126" s="393">
        <v>0</v>
      </c>
      <c r="AJ126" s="393">
        <v>0</v>
      </c>
      <c r="AK126" s="393">
        <v>0</v>
      </c>
      <c r="AL126" s="393">
        <v>0</v>
      </c>
      <c r="AM126" s="32"/>
      <c r="AN126" s="32"/>
      <c r="AO126" s="32"/>
      <c r="AP126" s="32"/>
      <c r="AQ126" s="32"/>
      <c r="AR126" s="32"/>
      <c r="AS126" s="32"/>
      <c r="AT126" s="32"/>
      <c r="AU126" s="32"/>
      <c r="AV126" s="32"/>
      <c r="AW126" s="32"/>
      <c r="AX126" s="32"/>
      <c r="AY126" s="32"/>
      <c r="AZ126" s="32"/>
      <c r="BA126" s="32"/>
      <c r="BB126" s="32"/>
      <c r="BC126" s="32"/>
      <c r="BD126" s="32"/>
      <c r="BE126" s="32"/>
      <c r="BF126" s="32"/>
      <c r="BG126" s="32"/>
      <c r="BH126" s="32"/>
      <c r="BI126" s="32"/>
      <c r="BJ126" s="32"/>
      <c r="BK126" s="32"/>
      <c r="BL126" s="32"/>
      <c r="BM126" s="32"/>
      <c r="BN126" s="32"/>
      <c r="BO126" s="32"/>
      <c r="BP126" s="32"/>
      <c r="BQ126" s="32"/>
      <c r="BR126" s="32"/>
      <c r="BS126" s="32"/>
      <c r="BT126" s="32"/>
      <c r="BU126" s="32"/>
      <c r="BV126" s="32"/>
      <c r="BW126" s="32"/>
      <c r="BX126" s="32"/>
      <c r="BY126" s="32"/>
      <c r="BZ126" s="32"/>
      <c r="CA126" s="32"/>
      <c r="CB126" s="32"/>
      <c r="CC126" s="32"/>
      <c r="CD126" s="32"/>
      <c r="CE126" s="32"/>
      <c r="CF126" s="32"/>
      <c r="CG126" s="32"/>
      <c r="CH126" s="32"/>
      <c r="CI126" s="32"/>
      <c r="CJ126" s="32"/>
      <c r="CK126" s="32"/>
      <c r="CL126" s="32"/>
      <c r="CM126" s="32"/>
      <c r="CN126" s="32"/>
      <c r="CO126" s="32"/>
      <c r="CP126" s="32"/>
      <c r="CQ126" s="32"/>
      <c r="CR126" s="32"/>
      <c r="CS126" s="32"/>
      <c r="CT126" s="32"/>
      <c r="CU126" s="32"/>
      <c r="CV126" s="32"/>
      <c r="CW126" s="32"/>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row>
    <row r="127" spans="1:131">
      <c r="A127" s="11"/>
      <c r="B127" s="11" t="s">
        <v>645</v>
      </c>
      <c r="C127" s="393">
        <v>0</v>
      </c>
      <c r="D127" s="393">
        <v>0</v>
      </c>
      <c r="E127" s="393">
        <v>0</v>
      </c>
      <c r="F127" s="393">
        <v>0</v>
      </c>
      <c r="G127" s="393">
        <v>0</v>
      </c>
      <c r="H127" s="393">
        <v>0</v>
      </c>
      <c r="I127" s="393">
        <v>0</v>
      </c>
      <c r="J127" s="393">
        <v>0</v>
      </c>
      <c r="K127" s="393">
        <v>0</v>
      </c>
      <c r="L127" s="394">
        <v>0</v>
      </c>
      <c r="M127" s="393">
        <v>0</v>
      </c>
      <c r="N127" s="393">
        <v>0</v>
      </c>
      <c r="O127" s="393">
        <v>0</v>
      </c>
      <c r="P127" s="393">
        <v>0</v>
      </c>
      <c r="Q127" s="393">
        <v>0</v>
      </c>
      <c r="R127" s="393">
        <v>0</v>
      </c>
      <c r="S127" s="393">
        <v>0</v>
      </c>
      <c r="T127" s="393">
        <v>0</v>
      </c>
      <c r="U127" s="393">
        <v>0</v>
      </c>
      <c r="V127" s="393">
        <v>0</v>
      </c>
      <c r="W127" s="393">
        <v>0</v>
      </c>
      <c r="X127" s="393">
        <v>0</v>
      </c>
      <c r="Y127" s="393">
        <v>0</v>
      </c>
      <c r="Z127" s="393"/>
      <c r="AA127" s="393">
        <v>0</v>
      </c>
      <c r="AB127" s="393">
        <v>0</v>
      </c>
      <c r="AC127" s="393">
        <v>0</v>
      </c>
      <c r="AD127" s="393">
        <v>0</v>
      </c>
      <c r="AE127" s="393">
        <v>0</v>
      </c>
      <c r="AF127" s="393">
        <v>0</v>
      </c>
      <c r="AG127" s="393">
        <v>0</v>
      </c>
      <c r="AH127" s="393">
        <v>0</v>
      </c>
      <c r="AI127" s="393">
        <v>0</v>
      </c>
      <c r="AJ127" s="393">
        <v>0</v>
      </c>
      <c r="AK127" s="393">
        <v>0</v>
      </c>
      <c r="AL127" s="393">
        <v>0</v>
      </c>
      <c r="AM127" s="32"/>
      <c r="AN127" s="32"/>
      <c r="AO127" s="32"/>
      <c r="AP127" s="32"/>
      <c r="AQ127" s="32"/>
      <c r="AR127" s="32"/>
      <c r="AS127" s="32"/>
      <c r="AT127" s="32"/>
      <c r="AU127" s="32"/>
      <c r="AV127" s="32"/>
      <c r="AW127" s="32"/>
      <c r="AX127" s="32"/>
      <c r="AY127" s="32"/>
      <c r="AZ127" s="32"/>
      <c r="BA127" s="32"/>
      <c r="BB127" s="32"/>
      <c r="BC127" s="32"/>
      <c r="BD127" s="32"/>
      <c r="BE127" s="32"/>
      <c r="BF127" s="32"/>
      <c r="BG127" s="32"/>
      <c r="BH127" s="32"/>
      <c r="BI127" s="32"/>
      <c r="BJ127" s="32"/>
      <c r="BK127" s="32"/>
      <c r="BL127" s="32"/>
      <c r="BM127" s="32"/>
      <c r="BN127" s="32"/>
      <c r="BO127" s="32"/>
      <c r="BP127" s="32"/>
      <c r="BQ127" s="32"/>
      <c r="BR127" s="32"/>
      <c r="BS127" s="32"/>
      <c r="BT127" s="32"/>
      <c r="BU127" s="32"/>
      <c r="BV127" s="32"/>
      <c r="BW127" s="32"/>
      <c r="BX127" s="32"/>
      <c r="BY127" s="32"/>
      <c r="BZ127" s="32"/>
      <c r="CA127" s="32"/>
      <c r="CB127" s="32"/>
      <c r="CC127" s="32"/>
      <c r="CD127" s="32"/>
      <c r="CE127" s="32"/>
      <c r="CF127" s="32"/>
      <c r="CG127" s="32"/>
      <c r="CH127" s="32"/>
      <c r="CI127" s="32"/>
      <c r="CJ127" s="32"/>
      <c r="CK127" s="32"/>
      <c r="CL127" s="32"/>
      <c r="CM127" s="32"/>
      <c r="CN127" s="32"/>
      <c r="CO127" s="32"/>
      <c r="CP127" s="32"/>
      <c r="CQ127" s="32"/>
      <c r="CR127" s="32"/>
      <c r="CS127" s="32"/>
      <c r="CT127" s="32"/>
      <c r="CU127" s="32"/>
      <c r="CV127" s="32"/>
      <c r="CW127" s="32"/>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row>
    <row r="128" spans="1:131">
      <c r="A128" s="11"/>
      <c r="B128" s="11" t="s">
        <v>646</v>
      </c>
      <c r="C128" s="393">
        <v>0</v>
      </c>
      <c r="D128" s="393">
        <v>0</v>
      </c>
      <c r="E128" s="393">
        <v>0</v>
      </c>
      <c r="F128" s="393">
        <v>0</v>
      </c>
      <c r="G128" s="393">
        <v>0</v>
      </c>
      <c r="H128" s="393">
        <v>0</v>
      </c>
      <c r="I128" s="393">
        <v>0</v>
      </c>
      <c r="J128" s="393">
        <v>0</v>
      </c>
      <c r="K128" s="393">
        <v>0</v>
      </c>
      <c r="L128" s="394">
        <v>0</v>
      </c>
      <c r="M128" s="393">
        <v>0</v>
      </c>
      <c r="N128" s="393">
        <v>0</v>
      </c>
      <c r="O128" s="393">
        <v>0</v>
      </c>
      <c r="P128" s="393">
        <v>0</v>
      </c>
      <c r="Q128" s="393">
        <v>0</v>
      </c>
      <c r="R128" s="393">
        <v>0</v>
      </c>
      <c r="S128" s="393">
        <v>0</v>
      </c>
      <c r="T128" s="393">
        <v>0</v>
      </c>
      <c r="U128" s="393">
        <v>0</v>
      </c>
      <c r="V128" s="393">
        <v>0</v>
      </c>
      <c r="W128" s="393">
        <v>0</v>
      </c>
      <c r="X128" s="393">
        <v>0</v>
      </c>
      <c r="Y128" s="393">
        <v>0</v>
      </c>
      <c r="Z128" s="393"/>
      <c r="AA128" s="393">
        <v>0</v>
      </c>
      <c r="AB128" s="393">
        <v>0</v>
      </c>
      <c r="AC128" s="393">
        <v>0</v>
      </c>
      <c r="AD128" s="393">
        <v>0</v>
      </c>
      <c r="AE128" s="393">
        <v>0</v>
      </c>
      <c r="AF128" s="393">
        <v>0</v>
      </c>
      <c r="AG128" s="393">
        <v>0</v>
      </c>
      <c r="AH128" s="393">
        <v>0</v>
      </c>
      <c r="AI128" s="393">
        <v>0</v>
      </c>
      <c r="AJ128" s="393">
        <v>0</v>
      </c>
      <c r="AK128" s="393">
        <v>0</v>
      </c>
      <c r="AL128" s="393">
        <v>0</v>
      </c>
      <c r="AM128" s="32"/>
      <c r="AN128" s="32"/>
      <c r="AO128" s="32"/>
      <c r="AP128" s="32"/>
      <c r="AQ128" s="32"/>
      <c r="AR128" s="32"/>
      <c r="AS128" s="32"/>
      <c r="AT128" s="32"/>
      <c r="AU128" s="32"/>
      <c r="AV128" s="32"/>
      <c r="AW128" s="32"/>
      <c r="AX128" s="32"/>
      <c r="AY128" s="32"/>
      <c r="AZ128" s="32"/>
      <c r="BA128" s="32"/>
      <c r="BB128" s="32"/>
      <c r="BC128" s="32"/>
      <c r="BD128" s="32"/>
      <c r="BE128" s="32"/>
      <c r="BF128" s="32"/>
      <c r="BG128" s="32"/>
      <c r="BH128" s="32"/>
      <c r="BI128" s="32"/>
      <c r="BJ128" s="32"/>
      <c r="BK128" s="32"/>
      <c r="BL128" s="32"/>
      <c r="BM128" s="32"/>
      <c r="BN128" s="32"/>
      <c r="BO128" s="32"/>
      <c r="BP128" s="32"/>
      <c r="BQ128" s="32"/>
      <c r="BR128" s="32"/>
      <c r="BS128" s="32"/>
      <c r="BT128" s="32"/>
      <c r="BU128" s="32"/>
      <c r="BV128" s="32"/>
      <c r="BW128" s="32"/>
      <c r="BX128" s="32"/>
      <c r="BY128" s="32"/>
      <c r="BZ128" s="32"/>
      <c r="CA128" s="32"/>
      <c r="CB128" s="32"/>
      <c r="CC128" s="32"/>
      <c r="CD128" s="32"/>
      <c r="CE128" s="32"/>
      <c r="CF128" s="32"/>
      <c r="CG128" s="32"/>
      <c r="CH128" s="32"/>
      <c r="CI128" s="32"/>
      <c r="CJ128" s="32"/>
      <c r="CK128" s="32"/>
      <c r="CL128" s="32"/>
      <c r="CM128" s="32"/>
      <c r="CN128" s="32"/>
      <c r="CO128" s="32"/>
      <c r="CP128" s="32"/>
      <c r="CQ128" s="32"/>
      <c r="CR128" s="32"/>
      <c r="CS128" s="32"/>
      <c r="CT128" s="32"/>
      <c r="CU128" s="32"/>
      <c r="CV128" s="32"/>
      <c r="CW128" s="32"/>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row>
    <row r="129" spans="1:131">
      <c r="A129" s="11"/>
      <c r="B129" s="11" t="s">
        <v>647</v>
      </c>
      <c r="C129" s="393">
        <v>0</v>
      </c>
      <c r="D129" s="393">
        <v>0</v>
      </c>
      <c r="E129" s="393">
        <v>0</v>
      </c>
      <c r="F129" s="393">
        <v>0</v>
      </c>
      <c r="G129" s="393">
        <v>0</v>
      </c>
      <c r="H129" s="393">
        <v>0</v>
      </c>
      <c r="I129" s="393">
        <v>0</v>
      </c>
      <c r="J129" s="393">
        <v>0</v>
      </c>
      <c r="K129" s="393">
        <v>0</v>
      </c>
      <c r="L129" s="394">
        <v>0</v>
      </c>
      <c r="M129" s="393">
        <v>0</v>
      </c>
      <c r="N129" s="393">
        <v>0</v>
      </c>
      <c r="O129" s="393">
        <v>0</v>
      </c>
      <c r="P129" s="393">
        <v>0</v>
      </c>
      <c r="Q129" s="393">
        <v>0</v>
      </c>
      <c r="R129" s="393">
        <v>0</v>
      </c>
      <c r="S129" s="393">
        <v>0</v>
      </c>
      <c r="T129" s="393">
        <v>0</v>
      </c>
      <c r="U129" s="393">
        <v>0</v>
      </c>
      <c r="V129" s="393">
        <v>0</v>
      </c>
      <c r="W129" s="393">
        <v>0</v>
      </c>
      <c r="X129" s="393">
        <v>0</v>
      </c>
      <c r="Y129" s="393">
        <v>0</v>
      </c>
      <c r="Z129" s="393"/>
      <c r="AA129" s="393">
        <v>0</v>
      </c>
      <c r="AB129" s="393">
        <v>0</v>
      </c>
      <c r="AC129" s="393">
        <v>0</v>
      </c>
      <c r="AD129" s="393">
        <v>0</v>
      </c>
      <c r="AE129" s="393">
        <v>0</v>
      </c>
      <c r="AF129" s="393">
        <v>0</v>
      </c>
      <c r="AG129" s="393">
        <v>0</v>
      </c>
      <c r="AH129" s="393">
        <v>0</v>
      </c>
      <c r="AI129" s="393">
        <v>0</v>
      </c>
      <c r="AJ129" s="393">
        <v>0</v>
      </c>
      <c r="AK129" s="393">
        <v>0</v>
      </c>
      <c r="AL129" s="393">
        <v>0</v>
      </c>
      <c r="AM129" s="32"/>
      <c r="AN129" s="32"/>
      <c r="AO129" s="32"/>
      <c r="AP129" s="32"/>
      <c r="AQ129" s="32"/>
      <c r="AR129" s="32"/>
      <c r="AS129" s="32"/>
      <c r="AT129" s="32"/>
      <c r="AU129" s="32"/>
      <c r="AV129" s="32"/>
      <c r="AW129" s="32"/>
      <c r="AX129" s="32"/>
      <c r="AY129" s="32"/>
      <c r="AZ129" s="32"/>
      <c r="BA129" s="32"/>
      <c r="BB129" s="32"/>
      <c r="BC129" s="32"/>
      <c r="BD129" s="32"/>
      <c r="BE129" s="32"/>
      <c r="BF129" s="32"/>
      <c r="BG129" s="32"/>
      <c r="BH129" s="32"/>
      <c r="BI129" s="32"/>
      <c r="BJ129" s="32"/>
      <c r="BK129" s="32"/>
      <c r="BL129" s="32"/>
      <c r="BM129" s="32"/>
      <c r="BN129" s="32"/>
      <c r="BO129" s="32"/>
      <c r="BP129" s="32"/>
      <c r="BQ129" s="32"/>
      <c r="BR129" s="32"/>
      <c r="BS129" s="32"/>
      <c r="BT129" s="32"/>
      <c r="BU129" s="32"/>
      <c r="BV129" s="32"/>
      <c r="BW129" s="32"/>
      <c r="BX129" s="32"/>
      <c r="BY129" s="32"/>
      <c r="BZ129" s="32"/>
      <c r="CA129" s="32"/>
      <c r="CB129" s="32"/>
      <c r="CC129" s="32"/>
      <c r="CD129" s="32"/>
      <c r="CE129" s="32"/>
      <c r="CF129" s="32"/>
      <c r="CG129" s="32"/>
      <c r="CH129" s="32"/>
      <c r="CI129" s="32"/>
      <c r="CJ129" s="32"/>
      <c r="CK129" s="32"/>
      <c r="CL129" s="32"/>
      <c r="CM129" s="32"/>
      <c r="CN129" s="32"/>
      <c r="CO129" s="32"/>
      <c r="CP129" s="32"/>
      <c r="CQ129" s="32"/>
      <c r="CR129" s="32"/>
      <c r="CS129" s="32"/>
      <c r="CT129" s="32"/>
      <c r="CU129" s="32"/>
      <c r="CV129" s="32"/>
      <c r="CW129" s="32"/>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row>
    <row r="130" spans="1:131">
      <c r="A130" s="11"/>
      <c r="B130" s="11" t="s">
        <v>648</v>
      </c>
      <c r="C130" s="393">
        <v>0</v>
      </c>
      <c r="D130" s="393">
        <v>0</v>
      </c>
      <c r="E130" s="393">
        <v>0</v>
      </c>
      <c r="F130" s="393">
        <v>0</v>
      </c>
      <c r="G130" s="393">
        <v>0</v>
      </c>
      <c r="H130" s="393">
        <v>0</v>
      </c>
      <c r="I130" s="393">
        <v>0</v>
      </c>
      <c r="J130" s="393">
        <v>0</v>
      </c>
      <c r="K130" s="393">
        <v>0</v>
      </c>
      <c r="L130" s="394">
        <v>0</v>
      </c>
      <c r="M130" s="393">
        <v>0</v>
      </c>
      <c r="N130" s="393">
        <v>0</v>
      </c>
      <c r="O130" s="393">
        <v>0</v>
      </c>
      <c r="P130" s="393">
        <v>0</v>
      </c>
      <c r="Q130" s="393">
        <v>0</v>
      </c>
      <c r="R130" s="393">
        <v>0</v>
      </c>
      <c r="S130" s="393">
        <v>0</v>
      </c>
      <c r="T130" s="393">
        <v>0</v>
      </c>
      <c r="U130" s="393">
        <v>0</v>
      </c>
      <c r="V130" s="393">
        <v>0</v>
      </c>
      <c r="W130" s="393">
        <v>0</v>
      </c>
      <c r="X130" s="393">
        <v>0</v>
      </c>
      <c r="Y130" s="393">
        <v>0</v>
      </c>
      <c r="Z130" s="393"/>
      <c r="AA130" s="393">
        <v>0</v>
      </c>
      <c r="AB130" s="393">
        <v>0</v>
      </c>
      <c r="AC130" s="393">
        <v>0</v>
      </c>
      <c r="AD130" s="393">
        <v>0</v>
      </c>
      <c r="AE130" s="393">
        <v>0</v>
      </c>
      <c r="AF130" s="393">
        <v>0</v>
      </c>
      <c r="AG130" s="393">
        <v>0</v>
      </c>
      <c r="AH130" s="393">
        <v>0</v>
      </c>
      <c r="AI130" s="393">
        <v>0</v>
      </c>
      <c r="AJ130" s="393">
        <v>0</v>
      </c>
      <c r="AK130" s="393">
        <v>0</v>
      </c>
      <c r="AL130" s="393">
        <v>0</v>
      </c>
      <c r="AM130" s="32"/>
      <c r="AN130" s="32"/>
      <c r="AO130" s="32"/>
      <c r="AP130" s="32"/>
      <c r="AQ130" s="32"/>
      <c r="AR130" s="32"/>
      <c r="AS130" s="32"/>
      <c r="AT130" s="32"/>
      <c r="AU130" s="32"/>
      <c r="AV130" s="32"/>
      <c r="AW130" s="32"/>
      <c r="AX130" s="32"/>
      <c r="AY130" s="32"/>
      <c r="AZ130" s="32"/>
      <c r="BA130" s="32"/>
      <c r="BB130" s="32"/>
      <c r="BC130" s="32"/>
      <c r="BD130" s="32"/>
      <c r="BE130" s="32"/>
      <c r="BF130" s="32"/>
      <c r="BG130" s="32"/>
      <c r="BH130" s="32"/>
      <c r="BI130" s="32"/>
      <c r="BJ130" s="32"/>
      <c r="BK130" s="32"/>
      <c r="BL130" s="32"/>
      <c r="BM130" s="32"/>
      <c r="BN130" s="32"/>
      <c r="BO130" s="32"/>
      <c r="BP130" s="32"/>
      <c r="BQ130" s="32"/>
      <c r="BR130" s="32"/>
      <c r="BS130" s="32"/>
      <c r="BT130" s="32"/>
      <c r="BU130" s="32"/>
      <c r="BV130" s="32"/>
      <c r="BW130" s="32"/>
      <c r="BX130" s="32"/>
      <c r="BY130" s="32"/>
      <c r="BZ130" s="32"/>
      <c r="CA130" s="32"/>
      <c r="CB130" s="32"/>
      <c r="CC130" s="32"/>
      <c r="CD130" s="32"/>
      <c r="CE130" s="32"/>
      <c r="CF130" s="32"/>
      <c r="CG130" s="32"/>
      <c r="CH130" s="32"/>
      <c r="CI130" s="32"/>
      <c r="CJ130" s="32"/>
      <c r="CK130" s="32"/>
      <c r="CL130" s="32"/>
      <c r="CM130" s="32"/>
      <c r="CN130" s="32"/>
      <c r="CO130" s="32"/>
      <c r="CP130" s="32"/>
      <c r="CQ130" s="32"/>
      <c r="CR130" s="32"/>
      <c r="CS130" s="32"/>
      <c r="CT130" s="32"/>
      <c r="CU130" s="32"/>
      <c r="CV130" s="32"/>
      <c r="CW130" s="32"/>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row>
    <row r="131" spans="1:131">
      <c r="A131" s="11"/>
      <c r="B131" s="11" t="s">
        <v>649</v>
      </c>
      <c r="C131" s="393">
        <v>0</v>
      </c>
      <c r="D131" s="393">
        <v>0</v>
      </c>
      <c r="E131" s="393">
        <v>0</v>
      </c>
      <c r="F131" s="393">
        <v>0</v>
      </c>
      <c r="G131" s="393">
        <v>0</v>
      </c>
      <c r="H131" s="393">
        <v>0</v>
      </c>
      <c r="I131" s="393">
        <v>0</v>
      </c>
      <c r="J131" s="393">
        <v>0</v>
      </c>
      <c r="K131" s="393">
        <v>0</v>
      </c>
      <c r="L131" s="394">
        <v>0</v>
      </c>
      <c r="M131" s="393">
        <v>0</v>
      </c>
      <c r="N131" s="393">
        <v>0</v>
      </c>
      <c r="O131" s="393">
        <v>0</v>
      </c>
      <c r="P131" s="393">
        <v>0</v>
      </c>
      <c r="Q131" s="393">
        <v>0</v>
      </c>
      <c r="R131" s="393">
        <v>0</v>
      </c>
      <c r="S131" s="393">
        <v>0</v>
      </c>
      <c r="T131" s="393">
        <v>0</v>
      </c>
      <c r="U131" s="393">
        <v>0</v>
      </c>
      <c r="V131" s="393">
        <v>0</v>
      </c>
      <c r="W131" s="393">
        <v>0</v>
      </c>
      <c r="X131" s="393">
        <v>0</v>
      </c>
      <c r="Y131" s="393">
        <v>0</v>
      </c>
      <c r="Z131" s="393"/>
      <c r="AA131" s="393">
        <v>0</v>
      </c>
      <c r="AB131" s="393">
        <v>0</v>
      </c>
      <c r="AC131" s="393">
        <v>0</v>
      </c>
      <c r="AD131" s="393">
        <v>0</v>
      </c>
      <c r="AE131" s="393">
        <v>0</v>
      </c>
      <c r="AF131" s="393">
        <v>0</v>
      </c>
      <c r="AG131" s="393">
        <v>0</v>
      </c>
      <c r="AH131" s="393">
        <v>0</v>
      </c>
      <c r="AI131" s="393">
        <v>0</v>
      </c>
      <c r="AJ131" s="393">
        <v>0</v>
      </c>
      <c r="AK131" s="393">
        <v>0</v>
      </c>
      <c r="AL131" s="393">
        <v>0</v>
      </c>
      <c r="AM131" s="32"/>
      <c r="AN131" s="32"/>
      <c r="AO131" s="32"/>
      <c r="AP131" s="32"/>
      <c r="AQ131" s="32"/>
      <c r="AR131" s="32"/>
      <c r="AS131" s="32"/>
      <c r="AT131" s="32"/>
      <c r="AU131" s="32"/>
      <c r="AV131" s="32"/>
      <c r="AW131" s="32"/>
      <c r="AX131" s="32"/>
      <c r="AY131" s="32"/>
      <c r="AZ131" s="32"/>
      <c r="BA131" s="32"/>
      <c r="BB131" s="32"/>
      <c r="BC131" s="32"/>
      <c r="BD131" s="32"/>
      <c r="BE131" s="32"/>
      <c r="BF131" s="32"/>
      <c r="BG131" s="32"/>
      <c r="BH131" s="32"/>
      <c r="BI131" s="32"/>
      <c r="BJ131" s="32"/>
      <c r="BK131" s="32"/>
      <c r="BL131" s="32"/>
      <c r="BM131" s="32"/>
      <c r="BN131" s="32"/>
      <c r="BO131" s="32"/>
      <c r="BP131" s="32"/>
      <c r="BQ131" s="32"/>
      <c r="BR131" s="32"/>
      <c r="BS131" s="32"/>
      <c r="BT131" s="32"/>
      <c r="BU131" s="32"/>
      <c r="BV131" s="32"/>
      <c r="BW131" s="32"/>
      <c r="BX131" s="32"/>
      <c r="BY131" s="32"/>
      <c r="BZ131" s="32"/>
      <c r="CA131" s="32"/>
      <c r="CB131" s="32"/>
      <c r="CC131" s="32"/>
      <c r="CD131" s="32"/>
      <c r="CE131" s="32"/>
      <c r="CF131" s="32"/>
      <c r="CG131" s="32"/>
      <c r="CH131" s="32"/>
      <c r="CI131" s="32"/>
      <c r="CJ131" s="32"/>
      <c r="CK131" s="32"/>
      <c r="CL131" s="32"/>
      <c r="CM131" s="32"/>
      <c r="CN131" s="32"/>
      <c r="CO131" s="32"/>
      <c r="CP131" s="32"/>
      <c r="CQ131" s="32"/>
      <c r="CR131" s="32"/>
      <c r="CS131" s="32"/>
      <c r="CT131" s="32"/>
      <c r="CU131" s="32"/>
      <c r="CV131" s="32"/>
      <c r="CW131" s="32"/>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row>
    <row r="132" spans="1:131">
      <c r="A132" s="11"/>
      <c r="B132" s="11" t="s">
        <v>650</v>
      </c>
      <c r="C132" s="393">
        <v>0</v>
      </c>
      <c r="D132" s="393">
        <v>0</v>
      </c>
      <c r="E132" s="393">
        <v>0</v>
      </c>
      <c r="F132" s="393">
        <v>0</v>
      </c>
      <c r="G132" s="393">
        <v>0</v>
      </c>
      <c r="H132" s="393">
        <v>0</v>
      </c>
      <c r="I132" s="393">
        <v>0</v>
      </c>
      <c r="J132" s="393">
        <v>0</v>
      </c>
      <c r="K132" s="393">
        <v>0</v>
      </c>
      <c r="L132" s="394">
        <v>0</v>
      </c>
      <c r="M132" s="393">
        <v>0</v>
      </c>
      <c r="N132" s="393">
        <v>0</v>
      </c>
      <c r="O132" s="393">
        <v>0</v>
      </c>
      <c r="P132" s="393">
        <v>0</v>
      </c>
      <c r="Q132" s="393">
        <v>0</v>
      </c>
      <c r="R132" s="393">
        <v>0</v>
      </c>
      <c r="S132" s="393">
        <v>0</v>
      </c>
      <c r="T132" s="393">
        <v>0</v>
      </c>
      <c r="U132" s="393">
        <v>0</v>
      </c>
      <c r="V132" s="393">
        <v>0</v>
      </c>
      <c r="W132" s="393">
        <v>0</v>
      </c>
      <c r="X132" s="393">
        <v>0</v>
      </c>
      <c r="Y132" s="393">
        <v>0</v>
      </c>
      <c r="Z132" s="393"/>
      <c r="AA132" s="393">
        <v>0</v>
      </c>
      <c r="AB132" s="393">
        <v>0</v>
      </c>
      <c r="AC132" s="393">
        <v>0</v>
      </c>
      <c r="AD132" s="393">
        <v>0</v>
      </c>
      <c r="AE132" s="393">
        <v>0</v>
      </c>
      <c r="AF132" s="393">
        <v>0</v>
      </c>
      <c r="AG132" s="393">
        <v>0</v>
      </c>
      <c r="AH132" s="393">
        <v>0</v>
      </c>
      <c r="AI132" s="393">
        <v>0</v>
      </c>
      <c r="AJ132" s="393">
        <v>0</v>
      </c>
      <c r="AK132" s="393">
        <v>0</v>
      </c>
      <c r="AL132" s="393">
        <v>0</v>
      </c>
      <c r="AM132" s="32"/>
      <c r="AN132" s="32"/>
      <c r="AO132" s="32"/>
      <c r="AP132" s="32"/>
      <c r="AQ132" s="32"/>
      <c r="AR132" s="32"/>
      <c r="AS132" s="32"/>
      <c r="AT132" s="32"/>
      <c r="AU132" s="32"/>
      <c r="AV132" s="32"/>
      <c r="AW132" s="32"/>
      <c r="AX132" s="32"/>
      <c r="AY132" s="32"/>
      <c r="AZ132" s="32"/>
      <c r="BA132" s="32"/>
      <c r="BB132" s="32"/>
      <c r="BC132" s="32"/>
      <c r="BD132" s="32"/>
      <c r="BE132" s="32"/>
      <c r="BF132" s="32"/>
      <c r="BG132" s="32"/>
      <c r="BH132" s="32"/>
      <c r="BI132" s="32"/>
      <c r="BJ132" s="32"/>
      <c r="BK132" s="32"/>
      <c r="BL132" s="32"/>
      <c r="BM132" s="32"/>
      <c r="BN132" s="32"/>
      <c r="BO132" s="32"/>
      <c r="BP132" s="32"/>
      <c r="BQ132" s="32"/>
      <c r="BR132" s="32"/>
      <c r="BS132" s="32"/>
      <c r="BT132" s="32"/>
      <c r="BU132" s="32"/>
      <c r="BV132" s="32"/>
      <c r="BW132" s="32"/>
      <c r="BX132" s="32"/>
      <c r="BY132" s="32"/>
      <c r="BZ132" s="32"/>
      <c r="CA132" s="32"/>
      <c r="CB132" s="32"/>
      <c r="CC132" s="32"/>
      <c r="CD132" s="32"/>
      <c r="CE132" s="32"/>
      <c r="CF132" s="32"/>
      <c r="CG132" s="32"/>
      <c r="CH132" s="32"/>
      <c r="CI132" s="32"/>
      <c r="CJ132" s="32"/>
      <c r="CK132" s="32"/>
      <c r="CL132" s="32"/>
      <c r="CM132" s="32"/>
      <c r="CN132" s="32"/>
      <c r="CO132" s="32"/>
      <c r="CP132" s="32"/>
      <c r="CQ132" s="32"/>
      <c r="CR132" s="32"/>
      <c r="CS132" s="32"/>
      <c r="CT132" s="32"/>
      <c r="CU132" s="32"/>
      <c r="CV132" s="32"/>
      <c r="CW132" s="32"/>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row>
    <row r="133" spans="1:131">
      <c r="A133" s="11"/>
      <c r="B133" s="11" t="s">
        <v>651</v>
      </c>
      <c r="C133" s="393">
        <v>0</v>
      </c>
      <c r="D133" s="393">
        <v>0</v>
      </c>
      <c r="E133" s="393">
        <v>0</v>
      </c>
      <c r="F133" s="393">
        <v>0</v>
      </c>
      <c r="G133" s="393">
        <v>0</v>
      </c>
      <c r="H133" s="393">
        <v>0</v>
      </c>
      <c r="I133" s="393">
        <v>0</v>
      </c>
      <c r="J133" s="393">
        <v>0</v>
      </c>
      <c r="K133" s="393">
        <v>0</v>
      </c>
      <c r="L133" s="394">
        <v>0</v>
      </c>
      <c r="M133" s="393">
        <v>0</v>
      </c>
      <c r="N133" s="393">
        <v>0</v>
      </c>
      <c r="O133" s="393">
        <v>0</v>
      </c>
      <c r="P133" s="393">
        <v>0</v>
      </c>
      <c r="Q133" s="393">
        <v>0</v>
      </c>
      <c r="R133" s="393">
        <v>0</v>
      </c>
      <c r="S133" s="393">
        <v>0</v>
      </c>
      <c r="T133" s="393">
        <v>0</v>
      </c>
      <c r="U133" s="393">
        <v>0</v>
      </c>
      <c r="V133" s="393">
        <v>0</v>
      </c>
      <c r="W133" s="393">
        <v>0</v>
      </c>
      <c r="X133" s="393">
        <v>0</v>
      </c>
      <c r="Y133" s="393">
        <v>0</v>
      </c>
      <c r="Z133" s="393"/>
      <c r="AA133" s="393">
        <v>0</v>
      </c>
      <c r="AB133" s="393">
        <v>0</v>
      </c>
      <c r="AC133" s="393">
        <v>0</v>
      </c>
      <c r="AD133" s="393">
        <v>0</v>
      </c>
      <c r="AE133" s="393">
        <v>0</v>
      </c>
      <c r="AF133" s="393">
        <v>0</v>
      </c>
      <c r="AG133" s="393">
        <v>0</v>
      </c>
      <c r="AH133" s="393">
        <v>0</v>
      </c>
      <c r="AI133" s="393">
        <v>0</v>
      </c>
      <c r="AJ133" s="393">
        <v>0</v>
      </c>
      <c r="AK133" s="393">
        <v>0</v>
      </c>
      <c r="AL133" s="393">
        <v>0</v>
      </c>
      <c r="AM133" s="32"/>
      <c r="AN133" s="32"/>
      <c r="AO133" s="32"/>
      <c r="AP133" s="32"/>
      <c r="AQ133" s="32"/>
      <c r="AR133" s="32"/>
      <c r="AS133" s="32"/>
      <c r="AT133" s="32"/>
      <c r="AU133" s="32"/>
      <c r="AV133" s="32"/>
      <c r="AW133" s="32"/>
      <c r="AX133" s="32"/>
      <c r="AY133" s="32"/>
      <c r="AZ133" s="32"/>
      <c r="BA133" s="32"/>
      <c r="BB133" s="32"/>
      <c r="BC133" s="32"/>
      <c r="BD133" s="32"/>
      <c r="BE133" s="32"/>
      <c r="BF133" s="32"/>
      <c r="BG133" s="32"/>
      <c r="BH133" s="32"/>
      <c r="BI133" s="32"/>
      <c r="BJ133" s="32"/>
      <c r="BK133" s="32"/>
      <c r="BL133" s="32"/>
      <c r="BM133" s="32"/>
      <c r="BN133" s="32"/>
      <c r="BO133" s="32"/>
      <c r="BP133" s="32"/>
      <c r="BQ133" s="32"/>
      <c r="BR133" s="32"/>
      <c r="BS133" s="32"/>
      <c r="BT133" s="32"/>
      <c r="BU133" s="32"/>
      <c r="BV133" s="32"/>
      <c r="BW133" s="32"/>
      <c r="BX133" s="32"/>
      <c r="BY133" s="32"/>
      <c r="BZ133" s="32"/>
      <c r="CA133" s="32"/>
      <c r="CB133" s="32"/>
      <c r="CC133" s="32"/>
      <c r="CD133" s="32"/>
      <c r="CE133" s="32"/>
      <c r="CF133" s="32"/>
      <c r="CG133" s="32"/>
      <c r="CH133" s="32"/>
      <c r="CI133" s="32"/>
      <c r="CJ133" s="32"/>
      <c r="CK133" s="32"/>
      <c r="CL133" s="32"/>
      <c r="CM133" s="32"/>
      <c r="CN133" s="32"/>
      <c r="CO133" s="32"/>
      <c r="CP133" s="32"/>
      <c r="CQ133" s="32"/>
      <c r="CR133" s="32"/>
      <c r="CS133" s="32"/>
      <c r="CT133" s="32"/>
      <c r="CU133" s="32"/>
      <c r="CV133" s="32"/>
      <c r="CW133" s="32"/>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row>
    <row r="134" spans="1:131">
      <c r="A134" s="11"/>
      <c r="B134" s="11" t="s">
        <v>652</v>
      </c>
      <c r="C134" s="393">
        <v>0</v>
      </c>
      <c r="D134" s="393">
        <v>0</v>
      </c>
      <c r="E134" s="393">
        <v>0</v>
      </c>
      <c r="F134" s="393">
        <v>0</v>
      </c>
      <c r="G134" s="393">
        <v>0</v>
      </c>
      <c r="H134" s="393">
        <v>0</v>
      </c>
      <c r="I134" s="393">
        <v>0</v>
      </c>
      <c r="J134" s="393">
        <v>0</v>
      </c>
      <c r="K134" s="393">
        <v>0</v>
      </c>
      <c r="L134" s="394">
        <v>0</v>
      </c>
      <c r="M134" s="393">
        <v>0</v>
      </c>
      <c r="N134" s="393">
        <v>0</v>
      </c>
      <c r="O134" s="393">
        <v>0</v>
      </c>
      <c r="P134" s="393">
        <v>0</v>
      </c>
      <c r="Q134" s="393">
        <v>0</v>
      </c>
      <c r="R134" s="393">
        <v>0</v>
      </c>
      <c r="S134" s="393">
        <v>0</v>
      </c>
      <c r="T134" s="393">
        <v>0</v>
      </c>
      <c r="U134" s="393">
        <v>0</v>
      </c>
      <c r="V134" s="393">
        <v>0</v>
      </c>
      <c r="W134" s="393">
        <v>0</v>
      </c>
      <c r="X134" s="393">
        <v>0</v>
      </c>
      <c r="Y134" s="393">
        <v>0</v>
      </c>
      <c r="Z134" s="393"/>
      <c r="AA134" s="393">
        <v>0</v>
      </c>
      <c r="AB134" s="393">
        <v>0</v>
      </c>
      <c r="AC134" s="393">
        <v>0</v>
      </c>
      <c r="AD134" s="393">
        <v>0</v>
      </c>
      <c r="AE134" s="393">
        <v>0</v>
      </c>
      <c r="AF134" s="393">
        <v>0</v>
      </c>
      <c r="AG134" s="393">
        <v>0</v>
      </c>
      <c r="AH134" s="393">
        <v>0</v>
      </c>
      <c r="AI134" s="393">
        <v>0</v>
      </c>
      <c r="AJ134" s="393">
        <v>0</v>
      </c>
      <c r="AK134" s="393">
        <v>0</v>
      </c>
      <c r="AL134" s="393">
        <v>0</v>
      </c>
      <c r="AM134" s="32"/>
      <c r="AN134" s="32"/>
      <c r="AO134" s="32"/>
      <c r="AP134" s="32"/>
      <c r="AQ134" s="32"/>
      <c r="AR134" s="32"/>
      <c r="AS134" s="32"/>
      <c r="AT134" s="32"/>
      <c r="AU134" s="32"/>
      <c r="AV134" s="32"/>
      <c r="AW134" s="32"/>
      <c r="AX134" s="32"/>
      <c r="AY134" s="32"/>
      <c r="AZ134" s="32"/>
      <c r="BA134" s="32"/>
      <c r="BB134" s="32"/>
      <c r="BC134" s="32"/>
      <c r="BD134" s="32"/>
      <c r="BE134" s="32"/>
      <c r="BF134" s="32"/>
      <c r="BG134" s="32"/>
      <c r="BH134" s="32"/>
      <c r="BI134" s="32"/>
      <c r="BJ134" s="32"/>
      <c r="BK134" s="32"/>
      <c r="BL134" s="32"/>
      <c r="BM134" s="32"/>
      <c r="BN134" s="32"/>
      <c r="BO134" s="32"/>
      <c r="BP134" s="32"/>
      <c r="BQ134" s="32"/>
      <c r="BR134" s="32"/>
      <c r="BS134" s="32"/>
      <c r="BT134" s="32"/>
      <c r="BU134" s="32"/>
      <c r="BV134" s="32"/>
      <c r="BW134" s="32"/>
      <c r="BX134" s="32"/>
      <c r="BY134" s="32"/>
      <c r="BZ134" s="32"/>
      <c r="CA134" s="32"/>
      <c r="CB134" s="32"/>
      <c r="CC134" s="32"/>
      <c r="CD134" s="32"/>
      <c r="CE134" s="32"/>
      <c r="CF134" s="32"/>
      <c r="CG134" s="32"/>
      <c r="CH134" s="32"/>
      <c r="CI134" s="32"/>
      <c r="CJ134" s="32"/>
      <c r="CK134" s="32"/>
      <c r="CL134" s="32"/>
      <c r="CM134" s="32"/>
      <c r="CN134" s="32"/>
      <c r="CO134" s="32"/>
      <c r="CP134" s="32"/>
      <c r="CQ134" s="32"/>
      <c r="CR134" s="32"/>
      <c r="CS134" s="32"/>
      <c r="CT134" s="32"/>
      <c r="CU134" s="32"/>
      <c r="CV134" s="32"/>
      <c r="CW134" s="32"/>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row>
    <row r="135" spans="1:131">
      <c r="A135" s="11"/>
      <c r="B135" s="11" t="s">
        <v>653</v>
      </c>
      <c r="C135" s="393">
        <v>0</v>
      </c>
      <c r="D135" s="393">
        <v>0</v>
      </c>
      <c r="E135" s="393">
        <v>0</v>
      </c>
      <c r="F135" s="393">
        <v>0</v>
      </c>
      <c r="G135" s="393">
        <v>0</v>
      </c>
      <c r="H135" s="393">
        <v>0</v>
      </c>
      <c r="I135" s="393">
        <v>0</v>
      </c>
      <c r="J135" s="393">
        <v>0</v>
      </c>
      <c r="K135" s="393">
        <v>0</v>
      </c>
      <c r="L135" s="394">
        <v>0</v>
      </c>
      <c r="M135" s="393">
        <v>0</v>
      </c>
      <c r="N135" s="393">
        <v>0</v>
      </c>
      <c r="O135" s="393">
        <v>0</v>
      </c>
      <c r="P135" s="393">
        <v>0</v>
      </c>
      <c r="Q135" s="393">
        <v>0</v>
      </c>
      <c r="R135" s="393">
        <v>0</v>
      </c>
      <c r="S135" s="393">
        <v>0</v>
      </c>
      <c r="T135" s="393">
        <v>0</v>
      </c>
      <c r="U135" s="393">
        <v>0</v>
      </c>
      <c r="V135" s="393">
        <v>0</v>
      </c>
      <c r="W135" s="393">
        <v>0</v>
      </c>
      <c r="X135" s="393">
        <v>0</v>
      </c>
      <c r="Y135" s="393">
        <v>0</v>
      </c>
      <c r="Z135" s="393"/>
      <c r="AA135" s="393">
        <v>0</v>
      </c>
      <c r="AB135" s="393">
        <v>0</v>
      </c>
      <c r="AC135" s="393">
        <v>0</v>
      </c>
      <c r="AD135" s="393">
        <v>0</v>
      </c>
      <c r="AE135" s="393">
        <v>0</v>
      </c>
      <c r="AF135" s="393">
        <v>0</v>
      </c>
      <c r="AG135" s="393">
        <v>0</v>
      </c>
      <c r="AH135" s="393">
        <v>0</v>
      </c>
      <c r="AI135" s="393">
        <v>0</v>
      </c>
      <c r="AJ135" s="393">
        <v>0</v>
      </c>
      <c r="AK135" s="393">
        <v>0</v>
      </c>
      <c r="AL135" s="393">
        <v>0</v>
      </c>
      <c r="AM135" s="32"/>
      <c r="AN135" s="32"/>
      <c r="AO135" s="32"/>
      <c r="AP135" s="32"/>
      <c r="AQ135" s="32"/>
      <c r="AR135" s="32"/>
      <c r="AS135" s="32"/>
      <c r="AT135" s="32"/>
      <c r="AU135" s="32"/>
      <c r="AV135" s="32"/>
      <c r="AW135" s="32"/>
      <c r="AX135" s="32"/>
      <c r="AY135" s="32"/>
      <c r="AZ135" s="32"/>
      <c r="BA135" s="32"/>
      <c r="BB135" s="32"/>
      <c r="BC135" s="32"/>
      <c r="BD135" s="32"/>
      <c r="BE135" s="32"/>
      <c r="BF135" s="32"/>
      <c r="BG135" s="32"/>
      <c r="BH135" s="32"/>
      <c r="BI135" s="32"/>
      <c r="BJ135" s="32"/>
      <c r="BK135" s="32"/>
      <c r="BL135" s="32"/>
      <c r="BM135" s="32"/>
      <c r="BN135" s="32"/>
      <c r="BO135" s="32"/>
      <c r="BP135" s="32"/>
      <c r="BQ135" s="32"/>
      <c r="BR135" s="32"/>
      <c r="BS135" s="32"/>
      <c r="BT135" s="32"/>
      <c r="BU135" s="32"/>
      <c r="BV135" s="32"/>
      <c r="BW135" s="32"/>
      <c r="BX135" s="32"/>
      <c r="BY135" s="32"/>
      <c r="BZ135" s="32"/>
      <c r="CA135" s="32"/>
      <c r="CB135" s="32"/>
      <c r="CC135" s="32"/>
      <c r="CD135" s="32"/>
      <c r="CE135" s="32"/>
      <c r="CF135" s="32"/>
      <c r="CG135" s="32"/>
      <c r="CH135" s="32"/>
      <c r="CI135" s="32"/>
      <c r="CJ135" s="32"/>
      <c r="CK135" s="32"/>
      <c r="CL135" s="32"/>
      <c r="CM135" s="32"/>
      <c r="CN135" s="32"/>
      <c r="CO135" s="32"/>
      <c r="CP135" s="32"/>
      <c r="CQ135" s="32"/>
      <c r="CR135" s="32"/>
      <c r="CS135" s="32"/>
      <c r="CT135" s="32"/>
      <c r="CU135" s="32"/>
      <c r="CV135" s="32"/>
      <c r="CW135" s="32"/>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row>
    <row r="136" spans="1:131">
      <c r="A136" s="11"/>
      <c r="B136" s="11" t="s">
        <v>654</v>
      </c>
      <c r="C136" s="393">
        <v>0</v>
      </c>
      <c r="D136" s="393">
        <v>0</v>
      </c>
      <c r="E136" s="393">
        <v>0</v>
      </c>
      <c r="F136" s="393">
        <v>0</v>
      </c>
      <c r="G136" s="393">
        <v>0</v>
      </c>
      <c r="H136" s="393">
        <v>0</v>
      </c>
      <c r="I136" s="393">
        <v>0</v>
      </c>
      <c r="J136" s="393">
        <v>0</v>
      </c>
      <c r="K136" s="393">
        <v>0</v>
      </c>
      <c r="L136" s="394">
        <v>0</v>
      </c>
      <c r="M136" s="393">
        <v>0</v>
      </c>
      <c r="N136" s="393">
        <v>0</v>
      </c>
      <c r="O136" s="393">
        <v>0</v>
      </c>
      <c r="P136" s="393">
        <v>0</v>
      </c>
      <c r="Q136" s="393">
        <v>0</v>
      </c>
      <c r="R136" s="393">
        <v>0</v>
      </c>
      <c r="S136" s="393">
        <v>0</v>
      </c>
      <c r="T136" s="393">
        <v>0</v>
      </c>
      <c r="U136" s="393">
        <v>0</v>
      </c>
      <c r="V136" s="393">
        <v>0</v>
      </c>
      <c r="W136" s="393">
        <v>0</v>
      </c>
      <c r="X136" s="393">
        <v>0</v>
      </c>
      <c r="Y136" s="393">
        <v>0</v>
      </c>
      <c r="Z136" s="393"/>
      <c r="AA136" s="393">
        <v>0</v>
      </c>
      <c r="AB136" s="393">
        <v>0</v>
      </c>
      <c r="AC136" s="393">
        <v>0</v>
      </c>
      <c r="AD136" s="393">
        <v>0</v>
      </c>
      <c r="AE136" s="393">
        <v>0</v>
      </c>
      <c r="AF136" s="393">
        <v>0</v>
      </c>
      <c r="AG136" s="393">
        <v>0</v>
      </c>
      <c r="AH136" s="393">
        <v>0</v>
      </c>
      <c r="AI136" s="393">
        <v>0</v>
      </c>
      <c r="AJ136" s="393">
        <v>0</v>
      </c>
      <c r="AK136" s="393">
        <v>0</v>
      </c>
      <c r="AL136" s="393">
        <v>0</v>
      </c>
      <c r="AM136" s="32"/>
      <c r="AN136" s="32"/>
      <c r="AO136" s="32"/>
      <c r="AP136" s="32"/>
      <c r="AQ136" s="32"/>
      <c r="AR136" s="32"/>
      <c r="AS136" s="32"/>
      <c r="AT136" s="32"/>
      <c r="AU136" s="32"/>
      <c r="AV136" s="32"/>
      <c r="AW136" s="32"/>
      <c r="AX136" s="32"/>
      <c r="AY136" s="32"/>
      <c r="AZ136" s="32"/>
      <c r="BA136" s="32"/>
      <c r="BB136" s="32"/>
      <c r="BC136" s="32"/>
      <c r="BD136" s="32"/>
      <c r="BE136" s="32"/>
      <c r="BF136" s="32"/>
      <c r="BG136" s="32"/>
      <c r="BH136" s="32"/>
      <c r="BI136" s="32"/>
      <c r="BJ136" s="32"/>
      <c r="BK136" s="32"/>
      <c r="BL136" s="32"/>
      <c r="BM136" s="32"/>
      <c r="BN136" s="32"/>
      <c r="BO136" s="32"/>
      <c r="BP136" s="32"/>
      <c r="BQ136" s="32"/>
      <c r="BR136" s="32"/>
      <c r="BS136" s="32"/>
      <c r="BT136" s="32"/>
      <c r="BU136" s="32"/>
      <c r="BV136" s="32"/>
      <c r="BW136" s="32"/>
      <c r="BX136" s="32"/>
      <c r="BY136" s="32"/>
      <c r="BZ136" s="32"/>
      <c r="CA136" s="32"/>
      <c r="CB136" s="32"/>
      <c r="CC136" s="32"/>
      <c r="CD136" s="32"/>
      <c r="CE136" s="32"/>
      <c r="CF136" s="32"/>
      <c r="CG136" s="32"/>
      <c r="CH136" s="32"/>
      <c r="CI136" s="32"/>
      <c r="CJ136" s="32"/>
      <c r="CK136" s="32"/>
      <c r="CL136" s="32"/>
      <c r="CM136" s="32"/>
      <c r="CN136" s="32"/>
      <c r="CO136" s="32"/>
      <c r="CP136" s="32"/>
      <c r="CQ136" s="32"/>
      <c r="CR136" s="32"/>
      <c r="CS136" s="32"/>
      <c r="CT136" s="32"/>
      <c r="CU136" s="32"/>
      <c r="CV136" s="32"/>
      <c r="CW136" s="32"/>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row>
    <row r="137" spans="1:131">
      <c r="A137" s="11"/>
      <c r="B137" s="11" t="s">
        <v>655</v>
      </c>
      <c r="C137" s="393">
        <v>0</v>
      </c>
      <c r="D137" s="393">
        <v>0</v>
      </c>
      <c r="E137" s="393">
        <v>0</v>
      </c>
      <c r="F137" s="393">
        <v>0</v>
      </c>
      <c r="G137" s="393">
        <v>0</v>
      </c>
      <c r="H137" s="393">
        <v>0</v>
      </c>
      <c r="I137" s="393">
        <v>0</v>
      </c>
      <c r="J137" s="393">
        <v>0</v>
      </c>
      <c r="K137" s="393">
        <v>0</v>
      </c>
      <c r="L137" s="394">
        <v>0</v>
      </c>
      <c r="M137" s="393">
        <v>0</v>
      </c>
      <c r="N137" s="393">
        <v>0</v>
      </c>
      <c r="O137" s="393">
        <v>0</v>
      </c>
      <c r="P137" s="393">
        <v>0</v>
      </c>
      <c r="Q137" s="393">
        <v>0</v>
      </c>
      <c r="R137" s="393">
        <v>0</v>
      </c>
      <c r="S137" s="393">
        <v>0</v>
      </c>
      <c r="T137" s="393">
        <v>0</v>
      </c>
      <c r="U137" s="393">
        <v>0</v>
      </c>
      <c r="V137" s="393">
        <v>0</v>
      </c>
      <c r="W137" s="393">
        <v>0</v>
      </c>
      <c r="X137" s="393">
        <v>0</v>
      </c>
      <c r="Y137" s="393">
        <v>0</v>
      </c>
      <c r="Z137" s="393"/>
      <c r="AA137" s="393">
        <v>0</v>
      </c>
      <c r="AB137" s="393">
        <v>0</v>
      </c>
      <c r="AC137" s="393">
        <v>0</v>
      </c>
      <c r="AD137" s="393">
        <v>0</v>
      </c>
      <c r="AE137" s="393">
        <v>0</v>
      </c>
      <c r="AF137" s="393">
        <v>0</v>
      </c>
      <c r="AG137" s="393">
        <v>0</v>
      </c>
      <c r="AH137" s="393">
        <v>0</v>
      </c>
      <c r="AI137" s="393">
        <v>0</v>
      </c>
      <c r="AJ137" s="393">
        <v>0</v>
      </c>
      <c r="AK137" s="393">
        <v>0</v>
      </c>
      <c r="AL137" s="393">
        <v>0</v>
      </c>
      <c r="AM137" s="32"/>
      <c r="AN137" s="32"/>
      <c r="AO137" s="32"/>
      <c r="AP137" s="32"/>
      <c r="AQ137" s="32"/>
      <c r="AR137" s="32"/>
      <c r="AS137" s="32"/>
      <c r="AT137" s="32"/>
      <c r="AU137" s="32"/>
      <c r="AV137" s="32"/>
      <c r="AW137" s="32"/>
      <c r="AX137" s="32"/>
      <c r="AY137" s="32"/>
      <c r="AZ137" s="32"/>
      <c r="BA137" s="32"/>
      <c r="BB137" s="32"/>
      <c r="BC137" s="32"/>
      <c r="BD137" s="32"/>
      <c r="BE137" s="32"/>
      <c r="BF137" s="32"/>
      <c r="BG137" s="32"/>
      <c r="BH137" s="32"/>
      <c r="BI137" s="32"/>
      <c r="BJ137" s="32"/>
      <c r="BK137" s="32"/>
      <c r="BL137" s="32"/>
      <c r="BM137" s="32"/>
      <c r="BN137" s="32"/>
      <c r="BO137" s="32"/>
      <c r="BP137" s="32"/>
      <c r="BQ137" s="32"/>
      <c r="BR137" s="32"/>
      <c r="BS137" s="32"/>
      <c r="BT137" s="32"/>
      <c r="BU137" s="32"/>
      <c r="BV137" s="32"/>
      <c r="BW137" s="32"/>
      <c r="BX137" s="32"/>
      <c r="BY137" s="32"/>
      <c r="BZ137" s="32"/>
      <c r="CA137" s="32"/>
      <c r="CB137" s="32"/>
      <c r="CC137" s="32"/>
      <c r="CD137" s="32"/>
      <c r="CE137" s="32"/>
      <c r="CF137" s="32"/>
      <c r="CG137" s="32"/>
      <c r="CH137" s="32"/>
      <c r="CI137" s="32"/>
      <c r="CJ137" s="32"/>
      <c r="CK137" s="32"/>
      <c r="CL137" s="32"/>
      <c r="CM137" s="32"/>
      <c r="CN137" s="32"/>
      <c r="CO137" s="32"/>
      <c r="CP137" s="32"/>
      <c r="CQ137" s="32"/>
      <c r="CR137" s="32"/>
      <c r="CS137" s="32"/>
      <c r="CT137" s="32"/>
      <c r="CU137" s="32"/>
      <c r="CV137" s="32"/>
      <c r="CW137" s="32"/>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row>
    <row r="138" spans="1:131">
      <c r="A138" s="11"/>
      <c r="B138" s="11" t="s">
        <v>656</v>
      </c>
      <c r="C138" s="393">
        <v>0</v>
      </c>
      <c r="D138" s="393">
        <v>0</v>
      </c>
      <c r="E138" s="393">
        <v>0</v>
      </c>
      <c r="F138" s="393">
        <v>0</v>
      </c>
      <c r="G138" s="393">
        <v>0</v>
      </c>
      <c r="H138" s="393">
        <v>0</v>
      </c>
      <c r="I138" s="393">
        <v>0</v>
      </c>
      <c r="J138" s="393">
        <v>0</v>
      </c>
      <c r="K138" s="393">
        <v>0</v>
      </c>
      <c r="L138" s="394">
        <v>0</v>
      </c>
      <c r="M138" s="393">
        <v>0</v>
      </c>
      <c r="N138" s="393">
        <v>0</v>
      </c>
      <c r="O138" s="393">
        <v>0</v>
      </c>
      <c r="P138" s="393">
        <v>0</v>
      </c>
      <c r="Q138" s="393">
        <v>0</v>
      </c>
      <c r="R138" s="393">
        <v>0</v>
      </c>
      <c r="S138" s="393">
        <v>0</v>
      </c>
      <c r="T138" s="393">
        <v>0</v>
      </c>
      <c r="U138" s="393">
        <v>0</v>
      </c>
      <c r="V138" s="393">
        <v>0</v>
      </c>
      <c r="W138" s="393">
        <v>0</v>
      </c>
      <c r="X138" s="393">
        <v>0</v>
      </c>
      <c r="Y138" s="393">
        <v>0</v>
      </c>
      <c r="Z138" s="393"/>
      <c r="AA138" s="393">
        <v>0</v>
      </c>
      <c r="AB138" s="393">
        <v>0</v>
      </c>
      <c r="AC138" s="393">
        <v>0</v>
      </c>
      <c r="AD138" s="393">
        <v>0</v>
      </c>
      <c r="AE138" s="393">
        <v>0</v>
      </c>
      <c r="AF138" s="393">
        <v>0</v>
      </c>
      <c r="AG138" s="393">
        <v>0</v>
      </c>
      <c r="AH138" s="393">
        <v>0</v>
      </c>
      <c r="AI138" s="393">
        <v>0</v>
      </c>
      <c r="AJ138" s="393">
        <v>0</v>
      </c>
      <c r="AK138" s="393">
        <v>0</v>
      </c>
      <c r="AL138" s="393">
        <v>0</v>
      </c>
      <c r="AM138" s="32"/>
      <c r="AN138" s="32"/>
      <c r="AO138" s="32"/>
      <c r="AP138" s="32"/>
      <c r="AQ138" s="32"/>
      <c r="AR138" s="32"/>
      <c r="AS138" s="32"/>
      <c r="AT138" s="32"/>
      <c r="AU138" s="32"/>
      <c r="AV138" s="32"/>
      <c r="AW138" s="32"/>
      <c r="AX138" s="32"/>
      <c r="AY138" s="32"/>
      <c r="AZ138" s="32"/>
      <c r="BA138" s="32"/>
      <c r="BB138" s="32"/>
      <c r="BC138" s="32"/>
      <c r="BD138" s="32"/>
      <c r="BE138" s="32"/>
      <c r="BF138" s="32"/>
      <c r="BG138" s="32"/>
      <c r="BH138" s="32"/>
      <c r="BI138" s="32"/>
      <c r="BJ138" s="32"/>
      <c r="BK138" s="32"/>
      <c r="BL138" s="32"/>
      <c r="BM138" s="32"/>
      <c r="BN138" s="32"/>
      <c r="BO138" s="32"/>
      <c r="BP138" s="32"/>
      <c r="BQ138" s="32"/>
      <c r="BR138" s="32"/>
      <c r="BS138" s="32"/>
      <c r="BT138" s="32"/>
      <c r="BU138" s="32"/>
      <c r="BV138" s="32"/>
      <c r="BW138" s="32"/>
      <c r="BX138" s="32"/>
      <c r="BY138" s="32"/>
      <c r="BZ138" s="32"/>
      <c r="CA138" s="32"/>
      <c r="CB138" s="32"/>
      <c r="CC138" s="32"/>
      <c r="CD138" s="32"/>
      <c r="CE138" s="32"/>
      <c r="CF138" s="32"/>
      <c r="CG138" s="32"/>
      <c r="CH138" s="32"/>
      <c r="CI138" s="32"/>
      <c r="CJ138" s="32"/>
      <c r="CK138" s="32"/>
      <c r="CL138" s="32"/>
      <c r="CM138" s="32"/>
      <c r="CN138" s="32"/>
      <c r="CO138" s="32"/>
      <c r="CP138" s="32"/>
      <c r="CQ138" s="32"/>
      <c r="CR138" s="32"/>
      <c r="CS138" s="32"/>
      <c r="CT138" s="32"/>
      <c r="CU138" s="32"/>
      <c r="CV138" s="32"/>
      <c r="CW138" s="32"/>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row>
    <row r="139" spans="1:131">
      <c r="A139" s="11"/>
      <c r="B139" s="11" t="s">
        <v>657</v>
      </c>
      <c r="C139" s="393">
        <v>0</v>
      </c>
      <c r="D139" s="393">
        <v>0</v>
      </c>
      <c r="E139" s="393">
        <v>0</v>
      </c>
      <c r="F139" s="393">
        <v>0</v>
      </c>
      <c r="G139" s="393">
        <v>0</v>
      </c>
      <c r="H139" s="393">
        <v>0</v>
      </c>
      <c r="I139" s="393">
        <v>0</v>
      </c>
      <c r="J139" s="393">
        <v>0</v>
      </c>
      <c r="K139" s="393">
        <v>0</v>
      </c>
      <c r="L139" s="394">
        <v>0</v>
      </c>
      <c r="M139" s="393">
        <v>0</v>
      </c>
      <c r="N139" s="393">
        <v>0</v>
      </c>
      <c r="O139" s="393">
        <v>0</v>
      </c>
      <c r="P139" s="393">
        <v>0</v>
      </c>
      <c r="Q139" s="393">
        <v>0</v>
      </c>
      <c r="R139" s="393">
        <v>0</v>
      </c>
      <c r="S139" s="393">
        <v>0</v>
      </c>
      <c r="T139" s="393">
        <v>0</v>
      </c>
      <c r="U139" s="393">
        <v>0</v>
      </c>
      <c r="V139" s="393">
        <v>0</v>
      </c>
      <c r="W139" s="393">
        <v>0</v>
      </c>
      <c r="X139" s="393">
        <v>0</v>
      </c>
      <c r="Y139" s="393">
        <v>0</v>
      </c>
      <c r="Z139" s="393"/>
      <c r="AA139" s="393">
        <v>0</v>
      </c>
      <c r="AB139" s="393">
        <v>0</v>
      </c>
      <c r="AC139" s="393">
        <v>0</v>
      </c>
      <c r="AD139" s="393">
        <v>0</v>
      </c>
      <c r="AE139" s="393">
        <v>0</v>
      </c>
      <c r="AF139" s="393">
        <v>0</v>
      </c>
      <c r="AG139" s="393">
        <v>0</v>
      </c>
      <c r="AH139" s="393">
        <v>0</v>
      </c>
      <c r="AI139" s="393">
        <v>0</v>
      </c>
      <c r="AJ139" s="393">
        <v>0</v>
      </c>
      <c r="AK139" s="393">
        <v>0</v>
      </c>
      <c r="AL139" s="393">
        <v>0</v>
      </c>
      <c r="AM139" s="32"/>
      <c r="AN139" s="32"/>
      <c r="AO139" s="32"/>
      <c r="AP139" s="32"/>
      <c r="AQ139" s="32"/>
      <c r="AR139" s="32"/>
      <c r="AS139" s="32"/>
      <c r="AT139" s="32"/>
      <c r="AU139" s="32"/>
      <c r="AV139" s="32"/>
      <c r="AW139" s="32"/>
      <c r="AX139" s="32"/>
      <c r="AY139" s="32"/>
      <c r="AZ139" s="32"/>
      <c r="BA139" s="32"/>
      <c r="BB139" s="32"/>
      <c r="BC139" s="32"/>
      <c r="BD139" s="32"/>
      <c r="BE139" s="32"/>
      <c r="BF139" s="32"/>
      <c r="BG139" s="32"/>
      <c r="BH139" s="32"/>
      <c r="BI139" s="32"/>
      <c r="BJ139" s="32"/>
      <c r="BK139" s="32"/>
      <c r="BL139" s="32"/>
      <c r="BM139" s="32"/>
      <c r="BN139" s="32"/>
      <c r="BO139" s="32"/>
      <c r="BP139" s="32"/>
      <c r="BQ139" s="32"/>
      <c r="BR139" s="32"/>
      <c r="BS139" s="32"/>
      <c r="BT139" s="32"/>
      <c r="BU139" s="32"/>
      <c r="BV139" s="32"/>
      <c r="BW139" s="32"/>
      <c r="BX139" s="32"/>
      <c r="BY139" s="32"/>
      <c r="BZ139" s="32"/>
      <c r="CA139" s="32"/>
      <c r="CB139" s="32"/>
      <c r="CC139" s="32"/>
      <c r="CD139" s="32"/>
      <c r="CE139" s="32"/>
      <c r="CF139" s="32"/>
      <c r="CG139" s="32"/>
      <c r="CH139" s="32"/>
      <c r="CI139" s="32"/>
      <c r="CJ139" s="32"/>
      <c r="CK139" s="32"/>
      <c r="CL139" s="32"/>
      <c r="CM139" s="32"/>
      <c r="CN139" s="32"/>
      <c r="CO139" s="32"/>
      <c r="CP139" s="32"/>
      <c r="CQ139" s="32"/>
      <c r="CR139" s="32"/>
      <c r="CS139" s="32"/>
      <c r="CT139" s="32"/>
      <c r="CU139" s="32"/>
      <c r="CV139" s="32"/>
      <c r="CW139" s="32"/>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row>
    <row r="140" spans="1:131">
      <c r="A140" s="11"/>
      <c r="B140" s="11" t="s">
        <v>658</v>
      </c>
      <c r="C140" s="393">
        <v>0</v>
      </c>
      <c r="D140" s="393">
        <v>0</v>
      </c>
      <c r="E140" s="393">
        <v>0</v>
      </c>
      <c r="F140" s="393">
        <v>0</v>
      </c>
      <c r="G140" s="393">
        <v>0</v>
      </c>
      <c r="H140" s="393">
        <v>0</v>
      </c>
      <c r="I140" s="393">
        <v>0</v>
      </c>
      <c r="J140" s="393">
        <v>0</v>
      </c>
      <c r="K140" s="393">
        <v>0</v>
      </c>
      <c r="L140" s="394">
        <v>0</v>
      </c>
      <c r="M140" s="393">
        <v>0</v>
      </c>
      <c r="N140" s="393">
        <v>0</v>
      </c>
      <c r="O140" s="393">
        <v>0</v>
      </c>
      <c r="P140" s="393">
        <v>0</v>
      </c>
      <c r="Q140" s="393">
        <v>0</v>
      </c>
      <c r="R140" s="393">
        <v>0</v>
      </c>
      <c r="S140" s="393">
        <v>0</v>
      </c>
      <c r="T140" s="393">
        <v>0</v>
      </c>
      <c r="U140" s="393">
        <v>0</v>
      </c>
      <c r="V140" s="393">
        <v>0</v>
      </c>
      <c r="W140" s="393">
        <v>0</v>
      </c>
      <c r="X140" s="393">
        <v>0</v>
      </c>
      <c r="Y140" s="393">
        <v>0</v>
      </c>
      <c r="Z140" s="393"/>
      <c r="AA140" s="393">
        <v>0</v>
      </c>
      <c r="AB140" s="393">
        <v>0</v>
      </c>
      <c r="AC140" s="393">
        <v>0</v>
      </c>
      <c r="AD140" s="393">
        <v>0</v>
      </c>
      <c r="AE140" s="393">
        <v>0</v>
      </c>
      <c r="AF140" s="393">
        <v>0</v>
      </c>
      <c r="AG140" s="393">
        <v>0</v>
      </c>
      <c r="AH140" s="393">
        <v>0</v>
      </c>
      <c r="AI140" s="393">
        <v>0</v>
      </c>
      <c r="AJ140" s="393">
        <v>0</v>
      </c>
      <c r="AK140" s="393">
        <v>0</v>
      </c>
      <c r="AL140" s="393">
        <v>0</v>
      </c>
      <c r="AM140" s="32"/>
      <c r="AN140" s="32"/>
      <c r="AO140" s="32"/>
      <c r="AP140" s="32"/>
      <c r="AQ140" s="32"/>
      <c r="AR140" s="32"/>
      <c r="AS140" s="32"/>
      <c r="AT140" s="32"/>
      <c r="AU140" s="32"/>
      <c r="AV140" s="32"/>
      <c r="AW140" s="32"/>
      <c r="AX140" s="32"/>
      <c r="AY140" s="32"/>
      <c r="AZ140" s="32"/>
      <c r="BA140" s="32"/>
      <c r="BB140" s="32"/>
      <c r="BC140" s="32"/>
      <c r="BD140" s="32"/>
      <c r="BE140" s="32"/>
      <c r="BF140" s="32"/>
      <c r="BG140" s="32"/>
      <c r="BH140" s="32"/>
      <c r="BI140" s="32"/>
      <c r="BJ140" s="32"/>
      <c r="BK140" s="32"/>
      <c r="BL140" s="32"/>
      <c r="BM140" s="32"/>
      <c r="BN140" s="32"/>
      <c r="BO140" s="32"/>
      <c r="BP140" s="32"/>
      <c r="BQ140" s="32"/>
      <c r="BR140" s="32"/>
      <c r="BS140" s="32"/>
      <c r="BT140" s="32"/>
      <c r="BU140" s="32"/>
      <c r="BV140" s="32"/>
      <c r="BW140" s="32"/>
      <c r="BX140" s="32"/>
      <c r="BY140" s="32"/>
      <c r="BZ140" s="32"/>
      <c r="CA140" s="32"/>
      <c r="CB140" s="32"/>
      <c r="CC140" s="32"/>
      <c r="CD140" s="32"/>
      <c r="CE140" s="32"/>
      <c r="CF140" s="32"/>
      <c r="CG140" s="32"/>
      <c r="CH140" s="32"/>
      <c r="CI140" s="32"/>
      <c r="CJ140" s="32"/>
      <c r="CK140" s="32"/>
      <c r="CL140" s="32"/>
      <c r="CM140" s="32"/>
      <c r="CN140" s="32"/>
      <c r="CO140" s="32"/>
      <c r="CP140" s="32"/>
      <c r="CQ140" s="32"/>
      <c r="CR140" s="32"/>
      <c r="CS140" s="32"/>
      <c r="CT140" s="32"/>
      <c r="CU140" s="32"/>
      <c r="CV140" s="32"/>
      <c r="CW140" s="32"/>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row>
    <row r="141" spans="1:131">
      <c r="A141" s="11"/>
      <c r="B141" s="11" t="s">
        <v>659</v>
      </c>
      <c r="C141" s="393">
        <v>0</v>
      </c>
      <c r="D141" s="393">
        <v>0</v>
      </c>
      <c r="E141" s="393">
        <v>0</v>
      </c>
      <c r="F141" s="393">
        <v>0</v>
      </c>
      <c r="G141" s="393">
        <v>0</v>
      </c>
      <c r="H141" s="393">
        <v>0</v>
      </c>
      <c r="I141" s="393">
        <v>0</v>
      </c>
      <c r="J141" s="393">
        <v>0</v>
      </c>
      <c r="K141" s="393">
        <v>0</v>
      </c>
      <c r="L141" s="394">
        <v>0</v>
      </c>
      <c r="M141" s="393">
        <v>0</v>
      </c>
      <c r="N141" s="393">
        <v>0</v>
      </c>
      <c r="O141" s="393">
        <v>0</v>
      </c>
      <c r="P141" s="393">
        <v>0</v>
      </c>
      <c r="Q141" s="393">
        <v>0</v>
      </c>
      <c r="R141" s="393">
        <v>0</v>
      </c>
      <c r="S141" s="393">
        <v>0</v>
      </c>
      <c r="T141" s="393">
        <v>0</v>
      </c>
      <c r="U141" s="393">
        <v>0</v>
      </c>
      <c r="V141" s="393">
        <v>0</v>
      </c>
      <c r="W141" s="393">
        <v>0</v>
      </c>
      <c r="X141" s="393">
        <v>0</v>
      </c>
      <c r="Y141" s="393">
        <v>0</v>
      </c>
      <c r="Z141" s="393"/>
      <c r="AA141" s="393">
        <v>0</v>
      </c>
      <c r="AB141" s="393">
        <v>0</v>
      </c>
      <c r="AC141" s="393">
        <v>0</v>
      </c>
      <c r="AD141" s="393">
        <v>0</v>
      </c>
      <c r="AE141" s="393">
        <v>0</v>
      </c>
      <c r="AF141" s="393">
        <v>0</v>
      </c>
      <c r="AG141" s="393">
        <v>0</v>
      </c>
      <c r="AH141" s="393">
        <v>0</v>
      </c>
      <c r="AI141" s="393">
        <v>0</v>
      </c>
      <c r="AJ141" s="393">
        <v>0</v>
      </c>
      <c r="AK141" s="393">
        <v>0</v>
      </c>
      <c r="AL141" s="393">
        <v>0</v>
      </c>
      <c r="AM141" s="32"/>
      <c r="AN141" s="32"/>
      <c r="AO141" s="32"/>
      <c r="AP141" s="32"/>
      <c r="AQ141" s="32"/>
      <c r="AR141" s="32"/>
      <c r="AS141" s="32"/>
      <c r="AT141" s="32"/>
      <c r="AU141" s="32"/>
      <c r="AV141" s="32"/>
      <c r="AW141" s="32"/>
      <c r="AX141" s="32"/>
      <c r="AY141" s="32"/>
      <c r="AZ141" s="32"/>
      <c r="BA141" s="32"/>
      <c r="BB141" s="32"/>
      <c r="BC141" s="32"/>
      <c r="BD141" s="32"/>
      <c r="BE141" s="32"/>
      <c r="BF141" s="32"/>
      <c r="BG141" s="32"/>
      <c r="BH141" s="32"/>
      <c r="BI141" s="32"/>
      <c r="BJ141" s="32"/>
      <c r="BK141" s="32"/>
      <c r="BL141" s="32"/>
      <c r="BM141" s="32"/>
      <c r="BN141" s="32"/>
      <c r="BO141" s="32"/>
      <c r="BP141" s="32"/>
      <c r="BQ141" s="32"/>
      <c r="BR141" s="32"/>
      <c r="BS141" s="32"/>
      <c r="BT141" s="32"/>
      <c r="BU141" s="32"/>
      <c r="BV141" s="32"/>
      <c r="BW141" s="32"/>
      <c r="BX141" s="32"/>
      <c r="BY141" s="32"/>
      <c r="BZ141" s="32"/>
      <c r="CA141" s="32"/>
      <c r="CB141" s="32"/>
      <c r="CC141" s="32"/>
      <c r="CD141" s="32"/>
      <c r="CE141" s="32"/>
      <c r="CF141" s="32"/>
      <c r="CG141" s="32"/>
      <c r="CH141" s="32"/>
      <c r="CI141" s="32"/>
      <c r="CJ141" s="32"/>
      <c r="CK141" s="32"/>
      <c r="CL141" s="32"/>
      <c r="CM141" s="32"/>
      <c r="CN141" s="32"/>
      <c r="CO141" s="32"/>
      <c r="CP141" s="32"/>
      <c r="CQ141" s="32"/>
      <c r="CR141" s="32"/>
      <c r="CS141" s="32"/>
      <c r="CT141" s="32"/>
      <c r="CU141" s="32"/>
      <c r="CV141" s="32"/>
      <c r="CW141" s="32"/>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row>
    <row r="142" spans="1:131">
      <c r="A142" s="11"/>
      <c r="B142" s="11" t="s">
        <v>660</v>
      </c>
      <c r="C142" s="393">
        <v>0</v>
      </c>
      <c r="D142" s="393">
        <v>0</v>
      </c>
      <c r="E142" s="393">
        <v>0</v>
      </c>
      <c r="F142" s="393">
        <v>0</v>
      </c>
      <c r="G142" s="393">
        <v>0</v>
      </c>
      <c r="H142" s="393">
        <v>0</v>
      </c>
      <c r="I142" s="393">
        <v>0</v>
      </c>
      <c r="J142" s="393">
        <v>0</v>
      </c>
      <c r="K142" s="393">
        <v>0</v>
      </c>
      <c r="L142" s="394">
        <v>0</v>
      </c>
      <c r="M142" s="393">
        <v>0</v>
      </c>
      <c r="N142" s="393">
        <v>0</v>
      </c>
      <c r="O142" s="393">
        <v>0</v>
      </c>
      <c r="P142" s="393">
        <v>0</v>
      </c>
      <c r="Q142" s="393">
        <v>0</v>
      </c>
      <c r="R142" s="393">
        <v>0</v>
      </c>
      <c r="S142" s="393">
        <v>0</v>
      </c>
      <c r="T142" s="393">
        <v>0</v>
      </c>
      <c r="U142" s="393">
        <v>0</v>
      </c>
      <c r="V142" s="393">
        <v>0</v>
      </c>
      <c r="W142" s="393">
        <v>0</v>
      </c>
      <c r="X142" s="393">
        <v>0</v>
      </c>
      <c r="Y142" s="393">
        <v>0</v>
      </c>
      <c r="Z142" s="393"/>
      <c r="AA142" s="393">
        <v>0</v>
      </c>
      <c r="AB142" s="393">
        <v>0</v>
      </c>
      <c r="AC142" s="393">
        <v>0</v>
      </c>
      <c r="AD142" s="393">
        <v>0</v>
      </c>
      <c r="AE142" s="393">
        <v>0</v>
      </c>
      <c r="AF142" s="393">
        <v>0</v>
      </c>
      <c r="AG142" s="393">
        <v>0</v>
      </c>
      <c r="AH142" s="393">
        <v>0</v>
      </c>
      <c r="AI142" s="393">
        <v>0</v>
      </c>
      <c r="AJ142" s="393">
        <v>0</v>
      </c>
      <c r="AK142" s="393">
        <v>0</v>
      </c>
      <c r="AL142" s="393">
        <v>0</v>
      </c>
      <c r="AM142" s="32"/>
      <c r="AN142" s="32"/>
      <c r="AO142" s="32"/>
      <c r="AP142" s="32"/>
      <c r="AQ142" s="32"/>
      <c r="AR142" s="32"/>
      <c r="AS142" s="32"/>
      <c r="AT142" s="32"/>
      <c r="AU142" s="32"/>
      <c r="AV142" s="32"/>
      <c r="AW142" s="32"/>
      <c r="AX142" s="32"/>
      <c r="AY142" s="32"/>
      <c r="AZ142" s="32"/>
      <c r="BA142" s="32"/>
      <c r="BB142" s="32"/>
      <c r="BC142" s="32"/>
      <c r="BD142" s="32"/>
      <c r="BE142" s="32"/>
      <c r="BF142" s="32"/>
      <c r="BG142" s="32"/>
      <c r="BH142" s="32"/>
      <c r="BI142" s="32"/>
      <c r="BJ142" s="32"/>
      <c r="BK142" s="32"/>
      <c r="BL142" s="32"/>
      <c r="BM142" s="32"/>
      <c r="BN142" s="32"/>
      <c r="BO142" s="32"/>
      <c r="BP142" s="32"/>
      <c r="BQ142" s="32"/>
      <c r="BR142" s="32"/>
      <c r="BS142" s="32"/>
      <c r="BT142" s="32"/>
      <c r="BU142" s="32"/>
      <c r="BV142" s="32"/>
      <c r="BW142" s="32"/>
      <c r="BX142" s="32"/>
      <c r="BY142" s="32"/>
      <c r="BZ142" s="32"/>
      <c r="CA142" s="32"/>
      <c r="CB142" s="32"/>
      <c r="CC142" s="32"/>
      <c r="CD142" s="32"/>
      <c r="CE142" s="32"/>
      <c r="CF142" s="32"/>
      <c r="CG142" s="32"/>
      <c r="CH142" s="32"/>
      <c r="CI142" s="32"/>
      <c r="CJ142" s="32"/>
      <c r="CK142" s="32"/>
      <c r="CL142" s="32"/>
      <c r="CM142" s="32"/>
      <c r="CN142" s="32"/>
      <c r="CO142" s="32"/>
      <c r="CP142" s="32"/>
      <c r="CQ142" s="32"/>
      <c r="CR142" s="32"/>
      <c r="CS142" s="32"/>
      <c r="CT142" s="32"/>
      <c r="CU142" s="32"/>
      <c r="CV142" s="32"/>
      <c r="CW142" s="32"/>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row>
    <row r="143" spans="1:131">
      <c r="A143" s="11"/>
      <c r="B143" s="11"/>
      <c r="C143" s="32"/>
      <c r="D143" s="32"/>
      <c r="E143" s="32"/>
      <c r="F143" s="32"/>
      <c r="G143" s="32"/>
      <c r="H143" s="32"/>
      <c r="I143" s="32"/>
      <c r="J143" s="32"/>
      <c r="K143" s="32"/>
      <c r="L143" s="32"/>
      <c r="M143" s="32"/>
      <c r="N143" s="32"/>
      <c r="O143" s="32"/>
      <c r="P143" s="32"/>
      <c r="Q143" s="32"/>
      <c r="R143" s="32"/>
      <c r="S143" s="32"/>
      <c r="T143" s="32"/>
      <c r="U143" s="32"/>
      <c r="V143" s="32"/>
      <c r="W143" s="32"/>
      <c r="X143" s="32"/>
      <c r="Y143" s="32"/>
      <c r="Z143" s="32"/>
      <c r="AA143" s="32"/>
      <c r="AB143" s="32"/>
      <c r="AC143" s="32"/>
      <c r="AD143" s="32"/>
      <c r="AE143" s="32"/>
      <c r="AF143" s="32"/>
      <c r="AG143" s="32"/>
      <c r="AH143" s="32"/>
      <c r="AI143" s="32"/>
      <c r="AJ143" s="32"/>
      <c r="AK143" s="32"/>
      <c r="AL143" s="32"/>
      <c r="AM143" s="32"/>
      <c r="AN143" s="32"/>
      <c r="AO143" s="32"/>
      <c r="AP143" s="32"/>
      <c r="AQ143" s="32"/>
      <c r="AR143" s="32"/>
      <c r="AS143" s="32"/>
      <c r="AT143" s="32"/>
      <c r="AU143" s="32"/>
      <c r="AV143" s="32"/>
      <c r="AW143" s="32"/>
      <c r="AX143" s="32"/>
      <c r="AY143" s="32"/>
      <c r="AZ143" s="32"/>
      <c r="BA143" s="32"/>
      <c r="BB143" s="32"/>
      <c r="BC143" s="32"/>
      <c r="BD143" s="32"/>
      <c r="BE143" s="32"/>
      <c r="BF143" s="32"/>
      <c r="BG143" s="32"/>
      <c r="BH143" s="32"/>
      <c r="BI143" s="32"/>
      <c r="BJ143" s="32"/>
      <c r="BK143" s="32"/>
      <c r="BL143" s="32"/>
      <c r="BM143" s="32"/>
      <c r="BN143" s="32"/>
      <c r="BO143" s="32"/>
      <c r="BP143" s="32"/>
      <c r="BQ143" s="32"/>
      <c r="BR143" s="32"/>
      <c r="BS143" s="32"/>
      <c r="BT143" s="32"/>
      <c r="BU143" s="32"/>
      <c r="BV143" s="32"/>
      <c r="BW143" s="32"/>
      <c r="BX143" s="32"/>
      <c r="BY143" s="32"/>
      <c r="BZ143" s="32"/>
      <c r="CA143" s="32"/>
      <c r="CB143" s="32"/>
      <c r="CC143" s="32"/>
      <c r="CD143" s="32"/>
      <c r="CE143" s="32"/>
      <c r="CF143" s="32"/>
      <c r="CG143" s="32"/>
      <c r="CH143" s="32"/>
      <c r="CI143" s="32"/>
      <c r="CJ143" s="32"/>
      <c r="CK143" s="32"/>
      <c r="CL143" s="32"/>
      <c r="CM143" s="32"/>
      <c r="CN143" s="32"/>
      <c r="CO143" s="32"/>
      <c r="CP143" s="32"/>
      <c r="CQ143" s="32"/>
      <c r="CR143" s="32"/>
      <c r="CS143" s="32"/>
      <c r="CT143" s="32"/>
      <c r="CU143" s="32"/>
      <c r="CV143" s="32"/>
      <c r="CW143" s="32"/>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row>
    <row r="144" spans="1:131">
      <c r="A144" s="11"/>
      <c r="B144" s="11"/>
      <c r="C144" s="32"/>
      <c r="D144" s="32"/>
      <c r="E144" s="32"/>
      <c r="F144" s="32"/>
      <c r="G144" s="32"/>
      <c r="H144" s="32"/>
      <c r="I144" s="32"/>
      <c r="J144" s="32"/>
      <c r="K144" s="32"/>
      <c r="L144" s="32"/>
      <c r="M144" s="32"/>
      <c r="N144" s="32"/>
      <c r="O144" s="32"/>
      <c r="P144" s="32"/>
      <c r="Q144" s="32"/>
      <c r="R144" s="32"/>
      <c r="S144" s="32"/>
      <c r="T144" s="32"/>
      <c r="U144" s="32"/>
      <c r="V144" s="32"/>
      <c r="W144" s="32"/>
      <c r="X144" s="32"/>
      <c r="Y144" s="32"/>
      <c r="Z144" s="32"/>
      <c r="AA144" s="32"/>
      <c r="AB144" s="32"/>
      <c r="AC144" s="32"/>
      <c r="AD144" s="32"/>
      <c r="AE144" s="32"/>
      <c r="AF144" s="32"/>
      <c r="AG144" s="32"/>
      <c r="AH144" s="32"/>
      <c r="AI144" s="32"/>
      <c r="AJ144" s="32"/>
      <c r="AK144" s="32"/>
      <c r="AL144" s="32"/>
      <c r="AM144" s="32"/>
      <c r="AN144" s="32"/>
      <c r="AO144" s="32"/>
      <c r="AP144" s="32"/>
      <c r="AQ144" s="32"/>
      <c r="AR144" s="32"/>
      <c r="AS144" s="32"/>
      <c r="AT144" s="32"/>
      <c r="AU144" s="32"/>
      <c r="AV144" s="32"/>
      <c r="AW144" s="32"/>
      <c r="AX144" s="32"/>
      <c r="AY144" s="32"/>
      <c r="AZ144" s="32"/>
      <c r="BA144" s="32"/>
      <c r="BB144" s="32"/>
      <c r="BC144" s="32"/>
      <c r="BD144" s="32"/>
      <c r="BE144" s="32"/>
      <c r="BF144" s="32"/>
      <c r="BG144" s="32"/>
      <c r="BH144" s="32"/>
      <c r="BI144" s="32"/>
      <c r="BJ144" s="32"/>
      <c r="BK144" s="32"/>
      <c r="BL144" s="32"/>
      <c r="BM144" s="32"/>
      <c r="BN144" s="32"/>
      <c r="BO144" s="32"/>
      <c r="BP144" s="32"/>
      <c r="BQ144" s="32"/>
      <c r="BR144" s="32"/>
      <c r="BS144" s="32"/>
      <c r="BT144" s="32"/>
      <c r="BU144" s="32"/>
      <c r="BV144" s="32"/>
      <c r="BW144" s="32"/>
      <c r="BX144" s="32"/>
      <c r="BY144" s="32"/>
      <c r="BZ144" s="32"/>
      <c r="CA144" s="32"/>
      <c r="CB144" s="32"/>
      <c r="CC144" s="32"/>
      <c r="CD144" s="32"/>
      <c r="CE144" s="32"/>
      <c r="CF144" s="32"/>
      <c r="CG144" s="32"/>
      <c r="CH144" s="32"/>
      <c r="CI144" s="32"/>
      <c r="CJ144" s="32"/>
      <c r="CK144" s="32"/>
      <c r="CL144" s="32"/>
      <c r="CM144" s="32"/>
      <c r="CN144" s="32"/>
      <c r="CO144" s="32"/>
      <c r="CP144" s="32"/>
      <c r="CQ144" s="32"/>
      <c r="CR144" s="32"/>
      <c r="CS144" s="32"/>
      <c r="CT144" s="32"/>
      <c r="CU144" s="32"/>
      <c r="CV144" s="32"/>
      <c r="CW144" s="32"/>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row>
    <row r="145" spans="1:131" ht="13.5" thickBot="1">
      <c r="A145" s="367" t="s">
        <v>661</v>
      </c>
      <c r="B145" s="369"/>
      <c r="C145" s="32"/>
      <c r="D145" s="32"/>
      <c r="E145" s="32"/>
      <c r="F145" s="32"/>
      <c r="G145" s="32"/>
      <c r="H145" s="32"/>
      <c r="I145" s="32"/>
      <c r="J145" s="32"/>
      <c r="K145" s="32"/>
      <c r="L145" s="32"/>
      <c r="M145" s="32"/>
      <c r="N145" s="32"/>
      <c r="O145" s="32"/>
      <c r="P145" s="32"/>
      <c r="Q145" s="32"/>
      <c r="R145" s="32"/>
      <c r="S145" s="32"/>
      <c r="T145" s="32"/>
      <c r="U145" s="32"/>
      <c r="V145" s="32"/>
      <c r="W145" s="32"/>
      <c r="X145" s="32"/>
      <c r="Y145" s="32"/>
      <c r="Z145" s="32"/>
      <c r="AA145" s="32"/>
      <c r="AB145" s="32"/>
      <c r="AC145" s="32"/>
      <c r="AD145" s="32"/>
      <c r="AE145" s="32"/>
      <c r="AF145" s="32"/>
      <c r="AG145" s="32"/>
      <c r="AH145" s="32"/>
      <c r="AI145" s="32"/>
      <c r="AJ145" s="32"/>
      <c r="AK145" s="32"/>
      <c r="AL145" s="32"/>
      <c r="AM145" s="32"/>
      <c r="AN145" s="32"/>
      <c r="AO145" s="32"/>
      <c r="AP145" s="32"/>
      <c r="AQ145" s="32"/>
      <c r="AR145" s="32"/>
      <c r="AS145" s="32"/>
      <c r="AT145" s="32"/>
      <c r="AU145" s="32"/>
      <c r="AV145" s="32"/>
      <c r="AW145" s="32"/>
      <c r="AX145" s="32"/>
      <c r="AY145" s="32"/>
      <c r="AZ145" s="32"/>
      <c r="BA145" s="32"/>
      <c r="BB145" s="32"/>
      <c r="BC145" s="32"/>
      <c r="BD145" s="32"/>
      <c r="BE145" s="32"/>
      <c r="BF145" s="32"/>
      <c r="BG145" s="32"/>
      <c r="BH145" s="32"/>
      <c r="BI145" s="32"/>
      <c r="BJ145" s="32"/>
      <c r="BK145" s="32"/>
      <c r="BL145" s="32"/>
      <c r="BM145" s="32"/>
      <c r="BN145" s="32"/>
      <c r="BO145" s="32"/>
      <c r="BP145" s="32"/>
      <c r="BQ145" s="32"/>
      <c r="BR145" s="32"/>
      <c r="BS145" s="32"/>
      <c r="BT145" s="32"/>
      <c r="BU145" s="32"/>
      <c r="BV145" s="32"/>
      <c r="BW145" s="32"/>
      <c r="BX145" s="32"/>
      <c r="BY145" s="32"/>
      <c r="BZ145" s="32"/>
      <c r="CA145" s="32"/>
      <c r="CB145" s="32"/>
      <c r="CC145" s="32"/>
      <c r="CD145" s="32"/>
      <c r="CE145" s="32"/>
      <c r="CF145" s="32"/>
      <c r="CG145" s="32"/>
      <c r="CH145" s="32"/>
      <c r="CI145" s="32"/>
      <c r="CJ145" s="32"/>
      <c r="CK145" s="32"/>
      <c r="CL145" s="32"/>
      <c r="CM145" s="32"/>
      <c r="CN145" s="32"/>
      <c r="CO145" s="32"/>
      <c r="CP145" s="32"/>
      <c r="CQ145" s="32"/>
      <c r="CR145" s="32"/>
      <c r="CS145" s="32"/>
      <c r="CT145" s="32"/>
      <c r="CU145" s="32"/>
      <c r="CV145" s="32"/>
      <c r="CW145" s="32"/>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row>
    <row r="146" spans="1:131" ht="13.5" thickBot="1">
      <c r="A146" s="395"/>
      <c r="B146" s="396"/>
      <c r="C146" s="397"/>
      <c r="D146" s="397"/>
      <c r="E146" s="397"/>
      <c r="F146" s="397"/>
      <c r="G146" s="397"/>
      <c r="H146" s="397"/>
      <c r="I146" s="397"/>
      <c r="J146" s="397"/>
      <c r="K146" s="397"/>
      <c r="L146" s="397"/>
      <c r="M146" s="397"/>
      <c r="N146" s="397"/>
      <c r="O146" s="398" t="s">
        <v>956</v>
      </c>
      <c r="P146" s="399"/>
      <c r="Q146" s="399"/>
      <c r="R146" s="399"/>
      <c r="S146" s="399"/>
      <c r="T146" s="399"/>
      <c r="U146" s="399"/>
      <c r="V146" s="399"/>
      <c r="W146" s="399"/>
      <c r="X146" s="399"/>
      <c r="Y146" s="399"/>
      <c r="Z146" s="387"/>
      <c r="AA146" s="397"/>
      <c r="AB146" s="398" t="s">
        <v>957</v>
      </c>
      <c r="AC146" s="399"/>
      <c r="AD146" s="399"/>
      <c r="AE146" s="399"/>
      <c r="AF146" s="399"/>
      <c r="AG146" s="399"/>
      <c r="AH146" s="399"/>
      <c r="AI146" s="399"/>
      <c r="AJ146" s="399"/>
      <c r="AK146" s="399"/>
      <c r="AL146" s="399"/>
      <c r="AM146" s="387"/>
      <c r="AN146" s="32"/>
      <c r="AO146" s="32"/>
      <c r="AP146" s="32"/>
      <c r="AQ146" s="32"/>
      <c r="AR146" s="32"/>
      <c r="AS146" s="32"/>
      <c r="AT146" s="32"/>
      <c r="AU146" s="32"/>
      <c r="AV146" s="32"/>
      <c r="AW146" s="32"/>
      <c r="AX146" s="32"/>
      <c r="AY146" s="32"/>
      <c r="AZ146" s="32"/>
      <c r="BA146" s="32"/>
      <c r="BB146" s="32"/>
      <c r="BC146" s="32"/>
      <c r="BD146" s="32"/>
      <c r="BE146" s="32"/>
      <c r="BF146" s="32"/>
      <c r="BG146" s="32"/>
      <c r="BH146" s="32"/>
      <c r="BI146" s="32"/>
      <c r="BJ146" s="32"/>
      <c r="BK146" s="32"/>
      <c r="BL146" s="32"/>
      <c r="BM146" s="32"/>
      <c r="BN146" s="32"/>
      <c r="BO146" s="32"/>
      <c r="BP146" s="32"/>
      <c r="BQ146" s="32"/>
      <c r="BR146" s="32"/>
      <c r="BS146" s="32"/>
      <c r="BT146" s="32"/>
      <c r="BU146" s="32"/>
      <c r="BV146" s="32"/>
      <c r="BW146" s="32"/>
      <c r="BX146" s="32"/>
      <c r="BY146" s="32"/>
      <c r="BZ146" s="32"/>
      <c r="CA146" s="32"/>
      <c r="CB146" s="32"/>
      <c r="CC146" s="32"/>
      <c r="CD146" s="32"/>
      <c r="CE146" s="32"/>
      <c r="CF146" s="32"/>
      <c r="CG146" s="32"/>
      <c r="CH146" s="32"/>
      <c r="CI146" s="32"/>
      <c r="CJ146" s="32"/>
      <c r="CK146" s="32"/>
      <c r="CL146" s="32"/>
      <c r="CM146" s="32"/>
      <c r="CN146" s="32"/>
      <c r="CO146" s="32"/>
      <c r="CP146" s="32"/>
      <c r="CQ146" s="32"/>
      <c r="CR146" s="32"/>
      <c r="CS146" s="32"/>
      <c r="CT146" s="32"/>
      <c r="CU146" s="32"/>
      <c r="CV146" s="32"/>
      <c r="CW146" s="32"/>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row>
    <row r="147" spans="1:131" ht="102">
      <c r="A147" s="378" t="s">
        <v>308</v>
      </c>
      <c r="B147" s="379" t="s">
        <v>309</v>
      </c>
      <c r="C147" s="380" t="s">
        <v>662</v>
      </c>
      <c r="D147" s="380" t="s">
        <v>616</v>
      </c>
      <c r="E147" s="380" t="s">
        <v>617</v>
      </c>
      <c r="F147" s="380" t="s">
        <v>618</v>
      </c>
      <c r="G147" s="380" t="s">
        <v>619</v>
      </c>
      <c r="H147" s="380" t="s">
        <v>620</v>
      </c>
      <c r="I147" s="380" t="s">
        <v>621</v>
      </c>
      <c r="J147" s="380" t="s">
        <v>622</v>
      </c>
      <c r="K147" s="380" t="s">
        <v>372</v>
      </c>
      <c r="L147" s="380" t="s">
        <v>371</v>
      </c>
      <c r="M147" s="380" t="s">
        <v>623</v>
      </c>
      <c r="N147" s="380" t="s">
        <v>958</v>
      </c>
      <c r="O147" s="380" t="s">
        <v>624</v>
      </c>
      <c r="P147" s="380" t="s">
        <v>625</v>
      </c>
      <c r="Q147" s="380" t="s">
        <v>626</v>
      </c>
      <c r="R147" s="380" t="s">
        <v>627</v>
      </c>
      <c r="S147" s="380" t="s">
        <v>628</v>
      </c>
      <c r="T147" s="380" t="s">
        <v>629</v>
      </c>
      <c r="U147" s="380" t="s">
        <v>630</v>
      </c>
      <c r="V147" s="380" t="s">
        <v>631</v>
      </c>
      <c r="W147" s="380" t="s">
        <v>632</v>
      </c>
      <c r="X147" s="380" t="s">
        <v>633</v>
      </c>
      <c r="Y147" s="380" t="s">
        <v>634</v>
      </c>
      <c r="Z147" s="380" t="s">
        <v>635</v>
      </c>
      <c r="AA147" s="380"/>
      <c r="AB147" s="380" t="s">
        <v>624</v>
      </c>
      <c r="AC147" s="380" t="s">
        <v>625</v>
      </c>
      <c r="AD147" s="380" t="s">
        <v>626</v>
      </c>
      <c r="AE147" s="380" t="s">
        <v>627</v>
      </c>
      <c r="AF147" s="380" t="s">
        <v>628</v>
      </c>
      <c r="AG147" s="380" t="s">
        <v>629</v>
      </c>
      <c r="AH147" s="380" t="s">
        <v>630</v>
      </c>
      <c r="AI147" s="380" t="s">
        <v>631</v>
      </c>
      <c r="AJ147" s="380" t="s">
        <v>632</v>
      </c>
      <c r="AK147" s="380" t="s">
        <v>633</v>
      </c>
      <c r="AL147" s="380" t="s">
        <v>634</v>
      </c>
      <c r="AM147" s="380" t="s">
        <v>635</v>
      </c>
      <c r="AN147" s="32"/>
      <c r="AO147" s="32"/>
      <c r="AP147" s="32"/>
      <c r="AQ147" s="32"/>
      <c r="AR147" s="32"/>
      <c r="AS147" s="32"/>
      <c r="AT147" s="32"/>
      <c r="AU147" s="32"/>
      <c r="AV147" s="32"/>
      <c r="AW147" s="32"/>
      <c r="AX147" s="32"/>
      <c r="AY147" s="32"/>
      <c r="AZ147" s="32"/>
      <c r="BA147" s="32"/>
      <c r="BB147" s="32"/>
      <c r="BC147" s="32"/>
      <c r="BD147" s="32"/>
      <c r="BE147" s="32"/>
      <c r="BF147" s="32"/>
      <c r="BG147" s="32"/>
      <c r="BH147" s="32"/>
      <c r="BI147" s="32"/>
      <c r="BJ147" s="32"/>
      <c r="BK147" s="32"/>
      <c r="BL147" s="32"/>
      <c r="BM147" s="32"/>
      <c r="BN147" s="32"/>
      <c r="BO147" s="32"/>
      <c r="BP147" s="32"/>
      <c r="BQ147" s="32"/>
      <c r="BR147" s="32"/>
      <c r="BS147" s="32"/>
      <c r="BT147" s="32"/>
      <c r="BU147" s="32"/>
      <c r="BV147" s="32"/>
      <c r="BW147" s="32"/>
      <c r="BX147" s="32"/>
      <c r="BY147" s="32"/>
      <c r="BZ147" s="32"/>
      <c r="CA147" s="32"/>
      <c r="CB147" s="32"/>
      <c r="CC147" s="32"/>
      <c r="CD147" s="32"/>
      <c r="CE147" s="32"/>
      <c r="CF147" s="32"/>
      <c r="CG147" s="32"/>
      <c r="CH147" s="32"/>
      <c r="CI147" s="32"/>
      <c r="CJ147" s="32"/>
      <c r="CK147" s="32"/>
      <c r="CL147" s="32"/>
      <c r="CM147" s="32"/>
      <c r="CN147" s="32"/>
      <c r="CO147" s="32"/>
      <c r="CP147" s="32"/>
      <c r="CQ147" s="32"/>
      <c r="CR147" s="32"/>
      <c r="CS147" s="32"/>
      <c r="CT147" s="32"/>
      <c r="CU147" s="32"/>
      <c r="CV147" s="32"/>
      <c r="CW147" s="32"/>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row>
    <row r="148" spans="1:131">
      <c r="A148" s="11" t="s">
        <v>526</v>
      </c>
      <c r="B148" s="11"/>
      <c r="C148" s="166">
        <v>364.19161716693708</v>
      </c>
      <c r="D148" s="166">
        <v>-8.5918959509302795</v>
      </c>
      <c r="E148" s="166">
        <v>-1.7183791901860559</v>
      </c>
      <c r="F148" s="166">
        <v>-10.310275141116335</v>
      </c>
      <c r="G148" s="166">
        <v>-164.6536478943049</v>
      </c>
      <c r="H148" s="166">
        <v>240.15333916931365</v>
      </c>
      <c r="I148" s="166">
        <v>-247.99585157606577</v>
      </c>
      <c r="J148" s="166">
        <v>-14.745699589622935</v>
      </c>
      <c r="K148" s="166">
        <v>-46.519253855172643</v>
      </c>
      <c r="L148" s="382">
        <v>9999</v>
      </c>
      <c r="M148" s="166">
        <v>3.4598295296095349</v>
      </c>
      <c r="N148" s="166">
        <v>8.5007695632657157E-2</v>
      </c>
      <c r="O148" s="166">
        <v>14.916365818164079</v>
      </c>
      <c r="P148" s="166">
        <v>11.027109700059137</v>
      </c>
      <c r="Q148" s="166">
        <v>10.272261285732309</v>
      </c>
      <c r="R148" s="166">
        <v>5.8970340095814526</v>
      </c>
      <c r="S148" s="166">
        <v>4.7370220985971807</v>
      </c>
      <c r="T148" s="166">
        <v>3.6745435410882417</v>
      </c>
      <c r="U148" s="166">
        <v>3.8343574976857817</v>
      </c>
      <c r="V148" s="166">
        <v>5.5810339372661835</v>
      </c>
      <c r="W148" s="166">
        <v>7.0511983015724509</v>
      </c>
      <c r="X148" s="166">
        <v>11.503233951408415</v>
      </c>
      <c r="Y148" s="166">
        <v>13.321054085406562</v>
      </c>
      <c r="Z148" s="166">
        <v>15.69193309713239</v>
      </c>
      <c r="AA148" s="166"/>
      <c r="AB148" s="166">
        <v>24.721530944524748</v>
      </c>
      <c r="AC148" s="166">
        <v>21.443856593158245</v>
      </c>
      <c r="AD148" s="166">
        <v>21.61772767305126</v>
      </c>
      <c r="AE148" s="166">
        <v>20.585480860331501</v>
      </c>
      <c r="AF148" s="166">
        <v>18.960275734035783</v>
      </c>
      <c r="AG148" s="166">
        <v>17.227171487844124</v>
      </c>
      <c r="AH148" s="166">
        <v>18.811626783017211</v>
      </c>
      <c r="AI148" s="166">
        <v>20.312860982377433</v>
      </c>
      <c r="AJ148" s="166">
        <v>21.895169958798558</v>
      </c>
      <c r="AK148" s="166">
        <v>22.597055786358236</v>
      </c>
      <c r="AL148" s="166">
        <v>23.68802517885851</v>
      </c>
      <c r="AM148" s="32">
        <v>24.823687860887368</v>
      </c>
      <c r="AN148" s="32"/>
      <c r="AO148" s="32"/>
      <c r="AP148" s="32"/>
      <c r="AQ148" s="32"/>
      <c r="AR148" s="32"/>
      <c r="AS148" s="32"/>
      <c r="AT148" s="32"/>
      <c r="AU148" s="32"/>
      <c r="AV148" s="32"/>
      <c r="AW148" s="32"/>
      <c r="AX148" s="32"/>
      <c r="AY148" s="32"/>
      <c r="AZ148" s="32"/>
      <c r="BA148" s="32"/>
      <c r="BB148" s="32"/>
      <c r="BC148" s="32"/>
      <c r="BD148" s="32"/>
      <c r="BE148" s="32"/>
      <c r="BF148" s="32"/>
      <c r="BG148" s="32"/>
      <c r="BH148" s="32"/>
      <c r="BI148" s="32"/>
      <c r="BJ148" s="32"/>
      <c r="BK148" s="32"/>
      <c r="BL148" s="32"/>
      <c r="BM148" s="32"/>
      <c r="BN148" s="32"/>
      <c r="BO148" s="32"/>
      <c r="BP148" s="32"/>
      <c r="BQ148" s="32"/>
      <c r="BR148" s="32"/>
      <c r="BS148" s="32"/>
      <c r="BT148" s="32"/>
      <c r="BU148" s="32"/>
      <c r="BV148" s="32"/>
      <c r="BW148" s="32"/>
      <c r="BX148" s="32"/>
      <c r="BY148" s="32"/>
      <c r="BZ148" s="32"/>
      <c r="CA148" s="32"/>
      <c r="CB148" s="32"/>
      <c r="CC148" s="32"/>
      <c r="CD148" s="32"/>
      <c r="CE148" s="32"/>
      <c r="CF148" s="32"/>
      <c r="CG148" s="32"/>
      <c r="CH148" s="32"/>
      <c r="CI148" s="32"/>
      <c r="CJ148" s="32"/>
      <c r="CK148" s="32"/>
      <c r="CL148" s="32"/>
      <c r="CM148" s="32"/>
      <c r="CN148" s="32"/>
      <c r="CO148" s="32"/>
      <c r="CP148" s="32"/>
      <c r="CQ148" s="32"/>
      <c r="CR148" s="32"/>
      <c r="CS148" s="32"/>
      <c r="CT148" s="32"/>
      <c r="CU148" s="32"/>
      <c r="CV148" s="32"/>
      <c r="CW148" s="32"/>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row>
    <row r="149" spans="1:131">
      <c r="A149" s="11" t="s">
        <v>527</v>
      </c>
      <c r="B149" s="11"/>
      <c r="C149" s="166">
        <v>364.19161716693708</v>
      </c>
      <c r="D149" s="166">
        <v>-8.5918959509302795</v>
      </c>
      <c r="E149" s="166">
        <v>-1.7183791901860559</v>
      </c>
      <c r="F149" s="166">
        <v>-10.310275141116335</v>
      </c>
      <c r="G149" s="166">
        <v>-776.83060768303119</v>
      </c>
      <c r="H149" s="166">
        <v>240.15333916931365</v>
      </c>
      <c r="I149" s="166">
        <v>-247.99585157606577</v>
      </c>
      <c r="J149" s="166">
        <v>-14.745699589622935</v>
      </c>
      <c r="K149" s="166">
        <v>-170.20428692243706</v>
      </c>
      <c r="L149" s="382">
        <v>9999</v>
      </c>
      <c r="M149" s="166">
        <v>3.4598295296095349</v>
      </c>
      <c r="N149" s="166">
        <v>8.5007695632657157E-2</v>
      </c>
      <c r="O149" s="166">
        <v>14.916365818164079</v>
      </c>
      <c r="P149" s="166">
        <v>11.027109700059137</v>
      </c>
      <c r="Q149" s="166">
        <v>10.272261285732309</v>
      </c>
      <c r="R149" s="166">
        <v>5.8970340095814526</v>
      </c>
      <c r="S149" s="166">
        <v>4.7370220985971807</v>
      </c>
      <c r="T149" s="166">
        <v>3.6745435410882417</v>
      </c>
      <c r="U149" s="166">
        <v>3.8343574976857817</v>
      </c>
      <c r="V149" s="166">
        <v>5.5810339372661835</v>
      </c>
      <c r="W149" s="166">
        <v>7.0511983015724509</v>
      </c>
      <c r="X149" s="166">
        <v>11.503233951408415</v>
      </c>
      <c r="Y149" s="166">
        <v>13.321054085406562</v>
      </c>
      <c r="Z149" s="166">
        <v>15.69193309713239</v>
      </c>
      <c r="AA149" s="166"/>
      <c r="AB149" s="166">
        <v>24.721530944524748</v>
      </c>
      <c r="AC149" s="166">
        <v>21.443856593158245</v>
      </c>
      <c r="AD149" s="166">
        <v>21.61772767305126</v>
      </c>
      <c r="AE149" s="166">
        <v>20.585480860331501</v>
      </c>
      <c r="AF149" s="166">
        <v>18.960275734035783</v>
      </c>
      <c r="AG149" s="166">
        <v>17.227171487844124</v>
      </c>
      <c r="AH149" s="166">
        <v>18.811626783017211</v>
      </c>
      <c r="AI149" s="166">
        <v>20.312860982377433</v>
      </c>
      <c r="AJ149" s="166">
        <v>21.895169958798558</v>
      </c>
      <c r="AK149" s="166">
        <v>22.597055786358236</v>
      </c>
      <c r="AL149" s="166">
        <v>23.68802517885851</v>
      </c>
      <c r="AM149" s="32">
        <v>24.823687860887368</v>
      </c>
      <c r="AN149" s="32"/>
      <c r="AO149" s="32"/>
      <c r="AP149" s="32"/>
      <c r="AQ149" s="32"/>
      <c r="AR149" s="32"/>
      <c r="AS149" s="32"/>
      <c r="AT149" s="32"/>
      <c r="AU149" s="32"/>
      <c r="AV149" s="32"/>
      <c r="AW149" s="32"/>
      <c r="AX149" s="32"/>
      <c r="AY149" s="32"/>
      <c r="AZ149" s="32"/>
      <c r="BA149" s="32"/>
      <c r="BB149" s="32"/>
      <c r="BC149" s="32"/>
      <c r="BD149" s="32"/>
      <c r="BE149" s="32"/>
      <c r="BF149" s="32"/>
      <c r="BG149" s="32"/>
      <c r="BH149" s="32"/>
      <c r="BI149" s="32"/>
      <c r="BJ149" s="32"/>
      <c r="BK149" s="32"/>
      <c r="BL149" s="32"/>
      <c r="BM149" s="32"/>
      <c r="BN149" s="32"/>
      <c r="BO149" s="32"/>
      <c r="BP149" s="32"/>
      <c r="BQ149" s="32"/>
      <c r="BR149" s="32"/>
      <c r="BS149" s="32"/>
      <c r="BT149" s="32"/>
      <c r="BU149" s="32"/>
      <c r="BV149" s="32"/>
      <c r="BW149" s="32"/>
      <c r="BX149" s="32"/>
      <c r="BY149" s="32"/>
      <c r="BZ149" s="32"/>
      <c r="CA149" s="32"/>
      <c r="CB149" s="32"/>
      <c r="CC149" s="32"/>
      <c r="CD149" s="32"/>
      <c r="CE149" s="32"/>
      <c r="CF149" s="32"/>
      <c r="CG149" s="32"/>
      <c r="CH149" s="32"/>
      <c r="CI149" s="32"/>
      <c r="CJ149" s="32"/>
      <c r="CK149" s="32"/>
      <c r="CL149" s="32"/>
      <c r="CM149" s="32"/>
      <c r="CN149" s="32"/>
      <c r="CO149" s="32"/>
      <c r="CP149" s="32"/>
      <c r="CQ149" s="32"/>
      <c r="CR149" s="32"/>
      <c r="CS149" s="32"/>
      <c r="CT149" s="32"/>
      <c r="CU149" s="32"/>
      <c r="CV149" s="32"/>
      <c r="CW149" s="32"/>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row>
    <row r="150" spans="1:131">
      <c r="A150" s="11" t="s">
        <v>528</v>
      </c>
      <c r="B150" s="11"/>
      <c r="C150" s="166">
        <v>290.43128963945617</v>
      </c>
      <c r="D150" s="166">
        <v>-8.5918959509302795</v>
      </c>
      <c r="E150" s="166">
        <v>-1.7183791901860559</v>
      </c>
      <c r="F150" s="166">
        <v>-10.310275141116335</v>
      </c>
      <c r="G150" s="166">
        <v>-164.6536478943049</v>
      </c>
      <c r="H150" s="166">
        <v>191.51468819831331</v>
      </c>
      <c r="I150" s="166">
        <v>-310.97892499220944</v>
      </c>
      <c r="J150" s="166">
        <v>-15.124946308690497</v>
      </c>
      <c r="K150" s="166">
        <v>-54.967974673427442</v>
      </c>
      <c r="L150" s="382">
        <v>9999</v>
      </c>
      <c r="M150" s="166">
        <v>2.7591045615873551</v>
      </c>
      <c r="N150" s="166">
        <v>6.7790947150093692E-2</v>
      </c>
      <c r="O150" s="166">
        <v>11.895329703092875</v>
      </c>
      <c r="P150" s="166">
        <v>8.7937710266294395</v>
      </c>
      <c r="Q150" s="166">
        <v>8.1918033038118416</v>
      </c>
      <c r="R150" s="166">
        <v>4.7026980076409064</v>
      </c>
      <c r="S150" s="166">
        <v>3.7776252178686383</v>
      </c>
      <c r="T150" s="166">
        <v>2.9303321909944207</v>
      </c>
      <c r="U150" s="166">
        <v>3.0577787639772693</v>
      </c>
      <c r="V150" s="166">
        <v>4.4506979499717669</v>
      </c>
      <c r="W150" s="166">
        <v>5.6231075063172717</v>
      </c>
      <c r="X150" s="166">
        <v>9.1734650498573451</v>
      </c>
      <c r="Y150" s="166">
        <v>10.623119080767259</v>
      </c>
      <c r="Z150" s="166">
        <v>12.513820064801781</v>
      </c>
      <c r="AA150" s="166"/>
      <c r="AB150" s="166">
        <v>19.714638601329867</v>
      </c>
      <c r="AC150" s="166">
        <v>17.100797029986953</v>
      </c>
      <c r="AD150" s="166">
        <v>17.239453713952273</v>
      </c>
      <c r="AE150" s="166">
        <v>16.416269546846642</v>
      </c>
      <c r="AF150" s="166">
        <v>15.120219889167776</v>
      </c>
      <c r="AG150" s="166">
        <v>13.738124097901013</v>
      </c>
      <c r="AH150" s="166">
        <v>15.001677054811195</v>
      </c>
      <c r="AI150" s="166">
        <v>16.198863821389601</v>
      </c>
      <c r="AJ150" s="166">
        <v>17.460705157016573</v>
      </c>
      <c r="AK150" s="166">
        <v>18.020436892918596</v>
      </c>
      <c r="AL150" s="166">
        <v>18.890450459089703</v>
      </c>
      <c r="AM150" s="32">
        <v>19.796105509315243</v>
      </c>
      <c r="AN150" s="32"/>
      <c r="AO150" s="32"/>
      <c r="AP150" s="32"/>
      <c r="AQ150" s="32"/>
      <c r="AR150" s="32"/>
      <c r="AS150" s="32"/>
      <c r="AT150" s="32"/>
      <c r="AU150" s="32"/>
      <c r="AV150" s="32"/>
      <c r="AW150" s="32"/>
      <c r="AX150" s="32"/>
      <c r="AY150" s="32"/>
      <c r="AZ150" s="32"/>
      <c r="BA150" s="32"/>
      <c r="BB150" s="32"/>
      <c r="BC150" s="32"/>
      <c r="BD150" s="32"/>
      <c r="BE150" s="32"/>
      <c r="BF150" s="32"/>
      <c r="BG150" s="32"/>
      <c r="BH150" s="32"/>
      <c r="BI150" s="32"/>
      <c r="BJ150" s="32"/>
      <c r="BK150" s="32"/>
      <c r="BL150" s="32"/>
      <c r="BM150" s="32"/>
      <c r="BN150" s="32"/>
      <c r="BO150" s="32"/>
      <c r="BP150" s="32"/>
      <c r="BQ150" s="32"/>
      <c r="BR150" s="32"/>
      <c r="BS150" s="32"/>
      <c r="BT150" s="32"/>
      <c r="BU150" s="32"/>
      <c r="BV150" s="32"/>
      <c r="BW150" s="32"/>
      <c r="BX150" s="32"/>
      <c r="BY150" s="32"/>
      <c r="BZ150" s="32"/>
      <c r="CA150" s="32"/>
      <c r="CB150" s="32"/>
      <c r="CC150" s="32"/>
      <c r="CD150" s="32"/>
      <c r="CE150" s="32"/>
      <c r="CF150" s="32"/>
      <c r="CG150" s="32"/>
      <c r="CH150" s="32"/>
      <c r="CI150" s="32"/>
      <c r="CJ150" s="32"/>
      <c r="CK150" s="32"/>
      <c r="CL150" s="32"/>
      <c r="CM150" s="32"/>
      <c r="CN150" s="32"/>
      <c r="CO150" s="32"/>
      <c r="CP150" s="32"/>
      <c r="CQ150" s="32"/>
      <c r="CR150" s="32"/>
      <c r="CS150" s="32"/>
      <c r="CT150" s="32"/>
      <c r="CU150" s="32"/>
      <c r="CV150" s="32"/>
      <c r="CW150" s="32"/>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row>
    <row r="151" spans="1:131">
      <c r="A151" s="11" t="s">
        <v>529</v>
      </c>
      <c r="B151" s="11"/>
      <c r="C151" s="166">
        <v>290.43128963945617</v>
      </c>
      <c r="D151" s="166">
        <v>-8.5918959509302795</v>
      </c>
      <c r="E151" s="166">
        <v>-1.7183791901860559</v>
      </c>
      <c r="F151" s="166">
        <v>-10.310275141116335</v>
      </c>
      <c r="G151" s="166">
        <v>-776.83060768303119</v>
      </c>
      <c r="H151" s="166">
        <v>191.51468819831331</v>
      </c>
      <c r="I151" s="166">
        <v>-310.97892499220944</v>
      </c>
      <c r="J151" s="166">
        <v>-15.124946308690497</v>
      </c>
      <c r="K151" s="166">
        <v>-210.06507963079073</v>
      </c>
      <c r="L151" s="382">
        <v>9999</v>
      </c>
      <c r="M151" s="166">
        <v>2.7591045615873551</v>
      </c>
      <c r="N151" s="166">
        <v>6.7790947150093692E-2</v>
      </c>
      <c r="O151" s="166">
        <v>11.895329703092875</v>
      </c>
      <c r="P151" s="166">
        <v>8.7937710266294395</v>
      </c>
      <c r="Q151" s="166">
        <v>8.1918033038118416</v>
      </c>
      <c r="R151" s="166">
        <v>4.7026980076409064</v>
      </c>
      <c r="S151" s="166">
        <v>3.7776252178686383</v>
      </c>
      <c r="T151" s="166">
        <v>2.9303321909944207</v>
      </c>
      <c r="U151" s="166">
        <v>3.0577787639772693</v>
      </c>
      <c r="V151" s="166">
        <v>4.4506979499717669</v>
      </c>
      <c r="W151" s="166">
        <v>5.6231075063172717</v>
      </c>
      <c r="X151" s="166">
        <v>9.1734650498573451</v>
      </c>
      <c r="Y151" s="166">
        <v>10.623119080767259</v>
      </c>
      <c r="Z151" s="166">
        <v>12.513820064801781</v>
      </c>
      <c r="AA151" s="166"/>
      <c r="AB151" s="166">
        <v>19.714638601329867</v>
      </c>
      <c r="AC151" s="166">
        <v>17.100797029986953</v>
      </c>
      <c r="AD151" s="166">
        <v>17.239453713952273</v>
      </c>
      <c r="AE151" s="166">
        <v>16.416269546846642</v>
      </c>
      <c r="AF151" s="166">
        <v>15.120219889167776</v>
      </c>
      <c r="AG151" s="166">
        <v>13.738124097901013</v>
      </c>
      <c r="AH151" s="166">
        <v>15.001677054811195</v>
      </c>
      <c r="AI151" s="166">
        <v>16.198863821389601</v>
      </c>
      <c r="AJ151" s="166">
        <v>17.460705157016573</v>
      </c>
      <c r="AK151" s="166">
        <v>18.020436892918596</v>
      </c>
      <c r="AL151" s="166">
        <v>18.890450459089703</v>
      </c>
      <c r="AM151" s="32">
        <v>19.796105509315243</v>
      </c>
      <c r="AN151" s="32"/>
      <c r="AO151" s="32"/>
      <c r="AP151" s="32"/>
      <c r="AQ151" s="32"/>
      <c r="AR151" s="32"/>
      <c r="AS151" s="32"/>
      <c r="AT151" s="32"/>
      <c r="AU151" s="32"/>
      <c r="AV151" s="32"/>
      <c r="AW151" s="32"/>
      <c r="AX151" s="32"/>
      <c r="AY151" s="32"/>
      <c r="AZ151" s="32"/>
      <c r="BA151" s="32"/>
      <c r="BB151" s="32"/>
      <c r="BC151" s="32"/>
      <c r="BD151" s="32"/>
      <c r="BE151" s="32"/>
      <c r="BF151" s="32"/>
      <c r="BG151" s="32"/>
      <c r="BH151" s="32"/>
      <c r="BI151" s="32"/>
      <c r="BJ151" s="32"/>
      <c r="BK151" s="32"/>
      <c r="BL151" s="32"/>
      <c r="BM151" s="32"/>
      <c r="BN151" s="32"/>
      <c r="BO151" s="32"/>
      <c r="BP151" s="32"/>
      <c r="BQ151" s="32"/>
      <c r="BR151" s="32"/>
      <c r="BS151" s="32"/>
      <c r="BT151" s="32"/>
      <c r="BU151" s="32"/>
      <c r="BV151" s="32"/>
      <c r="BW151" s="32"/>
      <c r="BX151" s="32"/>
      <c r="BY151" s="32"/>
      <c r="BZ151" s="32"/>
      <c r="CA151" s="32"/>
      <c r="CB151" s="32"/>
      <c r="CC151" s="32"/>
      <c r="CD151" s="32"/>
      <c r="CE151" s="32"/>
      <c r="CF151" s="32"/>
      <c r="CG151" s="32"/>
      <c r="CH151" s="32"/>
      <c r="CI151" s="32"/>
      <c r="CJ151" s="32"/>
      <c r="CK151" s="32"/>
      <c r="CL151" s="32"/>
      <c r="CM151" s="32"/>
      <c r="CN151" s="32"/>
      <c r="CO151" s="32"/>
      <c r="CP151" s="32"/>
      <c r="CQ151" s="32"/>
      <c r="CR151" s="32"/>
      <c r="CS151" s="32"/>
      <c r="CT151" s="32"/>
      <c r="CU151" s="32"/>
      <c r="CV151" s="32"/>
      <c r="CW151" s="32"/>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row>
    <row r="152" spans="1:131">
      <c r="A152" s="11" t="s">
        <v>838</v>
      </c>
      <c r="B152" s="11"/>
      <c r="C152" s="166">
        <v>714.55317292247162</v>
      </c>
      <c r="D152" s="166">
        <v>2.0115772129567233</v>
      </c>
      <c r="E152" s="166">
        <v>0.40231544259134466</v>
      </c>
      <c r="F152" s="166">
        <v>2.413892655548068</v>
      </c>
      <c r="G152" s="166">
        <v>-757.36557878630833</v>
      </c>
      <c r="H152" s="166">
        <v>471.18693128156463</v>
      </c>
      <c r="I152" s="166">
        <v>29.592898700759623</v>
      </c>
      <c r="J152" s="166">
        <v>-13.074224745945859</v>
      </c>
      <c r="K152" s="166">
        <v>-91.242811642351228</v>
      </c>
      <c r="L152" s="382">
        <v>333.69793481828867</v>
      </c>
      <c r="M152" s="166">
        <v>6.788273127714926</v>
      </c>
      <c r="N152" s="166">
        <v>0.16678725092483371</v>
      </c>
      <c r="O152" s="166">
        <v>29.266287364752312</v>
      </c>
      <c r="P152" s="166">
        <v>21.635468398850211</v>
      </c>
      <c r="Q152" s="166">
        <v>20.154436699854532</v>
      </c>
      <c r="R152" s="166">
        <v>11.570130018799055</v>
      </c>
      <c r="S152" s="166">
        <v>9.2941572820577623</v>
      </c>
      <c r="T152" s="166">
        <v>7.2095474540338929</v>
      </c>
      <c r="U152" s="166">
        <v>7.5231064828012189</v>
      </c>
      <c r="V152" s="166">
        <v>10.950129876914666</v>
      </c>
      <c r="W152" s="166">
        <v>13.834629579034559</v>
      </c>
      <c r="X152" s="166">
        <v>22.569636233776009</v>
      </c>
      <c r="Y152" s="166">
        <v>26.136245357443258</v>
      </c>
      <c r="Z152" s="166">
        <v>30.787970000702796</v>
      </c>
      <c r="AA152" s="166"/>
      <c r="AB152" s="166">
        <v>48.504269574700466</v>
      </c>
      <c r="AC152" s="166">
        <v>42.07338951822188</v>
      </c>
      <c r="AD152" s="166">
        <v>42.414528978771465</v>
      </c>
      <c r="AE152" s="166">
        <v>40.389234599384601</v>
      </c>
      <c r="AF152" s="166">
        <v>37.200540997158818</v>
      </c>
      <c r="AG152" s="166">
        <v>33.800146590073922</v>
      </c>
      <c r="AH152" s="166">
        <v>36.908887991995798</v>
      </c>
      <c r="AI152" s="166">
        <v>39.854347497069654</v>
      </c>
      <c r="AJ152" s="166">
        <v>42.958877767263004</v>
      </c>
      <c r="AK152" s="166">
        <v>44.335995530196548</v>
      </c>
      <c r="AL152" s="166">
        <v>46.476505097760381</v>
      </c>
      <c r="AM152" s="32">
        <v>48.70470403085497</v>
      </c>
      <c r="AN152" s="32"/>
      <c r="AO152" s="32"/>
      <c r="AP152" s="32"/>
      <c r="AQ152" s="32"/>
      <c r="AR152" s="32"/>
      <c r="AS152" s="32"/>
      <c r="AT152" s="32"/>
      <c r="AU152" s="32"/>
      <c r="AV152" s="32"/>
      <c r="AW152" s="32"/>
      <c r="AX152" s="32"/>
      <c r="AY152" s="32"/>
      <c r="AZ152" s="32"/>
      <c r="BA152" s="32"/>
      <c r="BB152" s="32"/>
      <c r="BC152" s="32"/>
      <c r="BD152" s="32"/>
      <c r="BE152" s="32"/>
      <c r="BF152" s="32"/>
      <c r="BG152" s="32"/>
      <c r="BH152" s="32"/>
      <c r="BI152" s="32"/>
      <c r="BJ152" s="32"/>
      <c r="BK152" s="32"/>
      <c r="BL152" s="32"/>
      <c r="BM152" s="32"/>
      <c r="BN152" s="32"/>
      <c r="BO152" s="32"/>
      <c r="BP152" s="32"/>
      <c r="BQ152" s="32"/>
      <c r="BR152" s="32"/>
      <c r="BS152" s="32"/>
      <c r="BT152" s="32"/>
      <c r="BU152" s="32"/>
      <c r="BV152" s="32"/>
      <c r="BW152" s="32"/>
      <c r="BX152" s="32"/>
      <c r="BY152" s="32"/>
      <c r="BZ152" s="32"/>
      <c r="CA152" s="32"/>
      <c r="CB152" s="32"/>
      <c r="CC152" s="32"/>
      <c r="CD152" s="32"/>
      <c r="CE152" s="32"/>
      <c r="CF152" s="32"/>
      <c r="CG152" s="32"/>
      <c r="CH152" s="32"/>
      <c r="CI152" s="32"/>
      <c r="CJ152" s="32"/>
      <c r="CK152" s="32"/>
      <c r="CL152" s="32"/>
      <c r="CM152" s="32"/>
      <c r="CN152" s="32"/>
      <c r="CO152" s="32"/>
      <c r="CP152" s="32"/>
      <c r="CQ152" s="32"/>
      <c r="CR152" s="32"/>
      <c r="CS152" s="32"/>
      <c r="CT152" s="32"/>
      <c r="CU152" s="32"/>
      <c r="CV152" s="32"/>
      <c r="CW152" s="32"/>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row>
    <row r="153" spans="1:131">
      <c r="A153" s="11" t="s">
        <v>836</v>
      </c>
      <c r="B153" s="11"/>
      <c r="C153" s="166">
        <v>424.12188328301545</v>
      </c>
      <c r="D153" s="166">
        <v>2.0115772129567233</v>
      </c>
      <c r="E153" s="166">
        <v>0.40231544259134466</v>
      </c>
      <c r="F153" s="166">
        <v>2.413892655548068</v>
      </c>
      <c r="G153" s="166">
        <v>-757.36557878630833</v>
      </c>
      <c r="H153" s="166">
        <v>279.67224308325115</v>
      </c>
      <c r="I153" s="166">
        <v>49.857601071931967</v>
      </c>
      <c r="J153" s="166">
        <v>-12.952202725261527</v>
      </c>
      <c r="K153" s="166">
        <v>-144.64927847464017</v>
      </c>
      <c r="L153" s="382">
        <v>281.83483517151228</v>
      </c>
      <c r="M153" s="166">
        <v>4.0291685661275602</v>
      </c>
      <c r="N153" s="166">
        <v>9.8996303774740002E-2</v>
      </c>
      <c r="O153" s="166">
        <v>17.370957661659439</v>
      </c>
      <c r="P153" s="166">
        <v>12.841697372220771</v>
      </c>
      <c r="Q153" s="166">
        <v>11.962633396042692</v>
      </c>
      <c r="R153" s="166">
        <v>6.8674320111581491</v>
      </c>
      <c r="S153" s="166">
        <v>5.5165320641891231</v>
      </c>
      <c r="T153" s="166">
        <v>4.2792152630394726</v>
      </c>
      <c r="U153" s="166">
        <v>4.46532771882395</v>
      </c>
      <c r="V153" s="166">
        <v>6.4994319269428988</v>
      </c>
      <c r="W153" s="166">
        <v>8.2115220727172868</v>
      </c>
      <c r="X153" s="166">
        <v>13.396171183918664</v>
      </c>
      <c r="Y153" s="166">
        <v>15.513126276675999</v>
      </c>
      <c r="Z153" s="166">
        <v>18.274149935901015</v>
      </c>
      <c r="AA153" s="166"/>
      <c r="AB153" s="166">
        <v>28.789630973370599</v>
      </c>
      <c r="AC153" s="166">
        <v>24.972592488234923</v>
      </c>
      <c r="AD153" s="166">
        <v>25.175075264819196</v>
      </c>
      <c r="AE153" s="166">
        <v>23.972965052537958</v>
      </c>
      <c r="AF153" s="166">
        <v>22.080321107991043</v>
      </c>
      <c r="AG153" s="166">
        <v>20.062022492172908</v>
      </c>
      <c r="AH153" s="166">
        <v>21.907210937184605</v>
      </c>
      <c r="AI153" s="166">
        <v>23.655483675680056</v>
      </c>
      <c r="AJ153" s="166">
        <v>25.498172610246431</v>
      </c>
      <c r="AK153" s="166">
        <v>26.315558637277952</v>
      </c>
      <c r="AL153" s="166">
        <v>27.586054638670678</v>
      </c>
      <c r="AM153" s="32">
        <v>28.908598521539727</v>
      </c>
      <c r="AN153" s="32"/>
      <c r="AO153" s="32"/>
      <c r="AP153" s="32"/>
      <c r="AQ153" s="32"/>
      <c r="AR153" s="32"/>
      <c r="AS153" s="32"/>
      <c r="AT153" s="32"/>
      <c r="AU153" s="32"/>
      <c r="AV153" s="32"/>
      <c r="AW153" s="32"/>
      <c r="AX153" s="32"/>
      <c r="AY153" s="32"/>
      <c r="AZ153" s="32"/>
      <c r="BA153" s="32"/>
      <c r="BB153" s="32"/>
      <c r="BC153" s="32"/>
      <c r="BD153" s="32"/>
      <c r="BE153" s="32"/>
      <c r="BF153" s="32"/>
      <c r="BG153" s="32"/>
      <c r="BH153" s="32"/>
      <c r="BI153" s="32"/>
      <c r="BJ153" s="32"/>
      <c r="BK153" s="32"/>
      <c r="BL153" s="32"/>
      <c r="BM153" s="32"/>
      <c r="BN153" s="32"/>
      <c r="BO153" s="32"/>
      <c r="BP153" s="32"/>
      <c r="BQ153" s="32"/>
      <c r="BR153" s="32"/>
      <c r="BS153" s="32"/>
      <c r="BT153" s="32"/>
      <c r="BU153" s="32"/>
      <c r="BV153" s="32"/>
      <c r="BW153" s="32"/>
      <c r="BX153" s="32"/>
      <c r="BY153" s="32"/>
      <c r="BZ153" s="32"/>
      <c r="CA153" s="32"/>
      <c r="CB153" s="32"/>
      <c r="CC153" s="32"/>
      <c r="CD153" s="32"/>
      <c r="CE153" s="32"/>
      <c r="CF153" s="32"/>
      <c r="CG153" s="32"/>
      <c r="CH153" s="32"/>
      <c r="CI153" s="32"/>
      <c r="CJ153" s="32"/>
      <c r="CK153" s="32"/>
      <c r="CL153" s="32"/>
      <c r="CM153" s="32"/>
      <c r="CN153" s="32"/>
      <c r="CO153" s="32"/>
      <c r="CP153" s="32"/>
      <c r="CQ153" s="32"/>
      <c r="CR153" s="32"/>
      <c r="CS153" s="32"/>
      <c r="CT153" s="32"/>
      <c r="CU153" s="32"/>
      <c r="CV153" s="32"/>
      <c r="CW153" s="32"/>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row>
    <row r="154" spans="1:131">
      <c r="A154" s="11" t="s">
        <v>837</v>
      </c>
      <c r="B154" s="11"/>
      <c r="C154" s="166">
        <v>714.55317292247162</v>
      </c>
      <c r="D154" s="166">
        <v>2.0115772129567233</v>
      </c>
      <c r="E154" s="166">
        <v>0.40231544259134466</v>
      </c>
      <c r="F154" s="166">
        <v>2.413892655548068</v>
      </c>
      <c r="G154" s="166">
        <v>-150.98918973249627</v>
      </c>
      <c r="H154" s="166">
        <v>471.18693128156463</v>
      </c>
      <c r="I154" s="166">
        <v>29.592898700759623</v>
      </c>
      <c r="J154" s="166">
        <v>-13.074224745945859</v>
      </c>
      <c r="K154" s="166">
        <v>-28.800662121066907</v>
      </c>
      <c r="L154" s="382">
        <v>169.48828915191905</v>
      </c>
      <c r="M154" s="166">
        <v>6.788273127714926</v>
      </c>
      <c r="N154" s="166">
        <v>0.16678725092483371</v>
      </c>
      <c r="O154" s="166">
        <v>29.266287364752312</v>
      </c>
      <c r="P154" s="166">
        <v>21.635468398850211</v>
      </c>
      <c r="Q154" s="166">
        <v>20.154436699854532</v>
      </c>
      <c r="R154" s="166">
        <v>11.570130018799055</v>
      </c>
      <c r="S154" s="166">
        <v>9.2941572820577623</v>
      </c>
      <c r="T154" s="166">
        <v>7.2095474540338929</v>
      </c>
      <c r="U154" s="166">
        <v>7.5231064828012189</v>
      </c>
      <c r="V154" s="166">
        <v>10.950129876914666</v>
      </c>
      <c r="W154" s="166">
        <v>13.834629579034559</v>
      </c>
      <c r="X154" s="166">
        <v>22.569636233776009</v>
      </c>
      <c r="Y154" s="166">
        <v>26.136245357443258</v>
      </c>
      <c r="Z154" s="166">
        <v>30.787970000702796</v>
      </c>
      <c r="AA154" s="166"/>
      <c r="AB154" s="166">
        <v>48.504269574700466</v>
      </c>
      <c r="AC154" s="166">
        <v>42.07338951822188</v>
      </c>
      <c r="AD154" s="166">
        <v>42.414528978771465</v>
      </c>
      <c r="AE154" s="166">
        <v>40.389234599384601</v>
      </c>
      <c r="AF154" s="166">
        <v>37.200540997158818</v>
      </c>
      <c r="AG154" s="166">
        <v>33.800146590073922</v>
      </c>
      <c r="AH154" s="166">
        <v>36.908887991995798</v>
      </c>
      <c r="AI154" s="166">
        <v>39.854347497069654</v>
      </c>
      <c r="AJ154" s="166">
        <v>42.958877767263004</v>
      </c>
      <c r="AK154" s="166">
        <v>44.335995530196548</v>
      </c>
      <c r="AL154" s="166">
        <v>46.476505097760381</v>
      </c>
      <c r="AM154" s="32">
        <v>48.70470403085497</v>
      </c>
      <c r="AN154" s="32"/>
      <c r="AO154" s="32"/>
      <c r="AP154" s="32"/>
      <c r="AQ154" s="32"/>
      <c r="AR154" s="32"/>
      <c r="AS154" s="32"/>
      <c r="AT154" s="32"/>
      <c r="AU154" s="32"/>
      <c r="AV154" s="32"/>
      <c r="AW154" s="32"/>
      <c r="AX154" s="32"/>
      <c r="AY154" s="32"/>
      <c r="AZ154" s="32"/>
      <c r="BA154" s="32"/>
      <c r="BB154" s="32"/>
      <c r="BC154" s="32"/>
      <c r="BD154" s="32"/>
      <c r="BE154" s="32"/>
      <c r="BF154" s="32"/>
      <c r="BG154" s="32"/>
      <c r="BH154" s="32"/>
      <c r="BI154" s="32"/>
      <c r="BJ154" s="32"/>
      <c r="BK154" s="32"/>
      <c r="BL154" s="32"/>
      <c r="BM154" s="32"/>
      <c r="BN154" s="32"/>
      <c r="BO154" s="32"/>
      <c r="BP154" s="32"/>
      <c r="BQ154" s="32"/>
      <c r="BR154" s="32"/>
      <c r="BS154" s="32"/>
      <c r="BT154" s="32"/>
      <c r="BU154" s="32"/>
      <c r="BV154" s="32"/>
      <c r="BW154" s="32"/>
      <c r="BX154" s="32"/>
      <c r="BY154" s="32"/>
      <c r="BZ154" s="32"/>
      <c r="CA154" s="32"/>
      <c r="CB154" s="32"/>
      <c r="CC154" s="32"/>
      <c r="CD154" s="32"/>
      <c r="CE154" s="32"/>
      <c r="CF154" s="32"/>
      <c r="CG154" s="32"/>
      <c r="CH154" s="32"/>
      <c r="CI154" s="32"/>
      <c r="CJ154" s="32"/>
      <c r="CK154" s="32"/>
      <c r="CL154" s="32"/>
      <c r="CM154" s="32"/>
      <c r="CN154" s="32"/>
      <c r="CO154" s="32"/>
      <c r="CP154" s="32"/>
      <c r="CQ154" s="32"/>
      <c r="CR154" s="32"/>
      <c r="CS154" s="32"/>
      <c r="CT154" s="32"/>
      <c r="CU154" s="32"/>
      <c r="CV154" s="32"/>
      <c r="CW154" s="32"/>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row>
    <row r="155" spans="1:131">
      <c r="A155" s="11" t="s">
        <v>835</v>
      </c>
      <c r="B155" s="11"/>
      <c r="C155" s="166">
        <v>424.12188328301545</v>
      </c>
      <c r="D155" s="166">
        <v>2.0115772129567233</v>
      </c>
      <c r="E155" s="166">
        <v>0.40231544259134466</v>
      </c>
      <c r="F155" s="166">
        <v>2.413892655548068</v>
      </c>
      <c r="G155" s="166">
        <v>-150.98918973249627</v>
      </c>
      <c r="H155" s="166">
        <v>279.67224308325115</v>
      </c>
      <c r="I155" s="166">
        <v>49.857601071931967</v>
      </c>
      <c r="J155" s="166">
        <v>-12.952202725261527</v>
      </c>
      <c r="K155" s="166">
        <v>-39.447830911606765</v>
      </c>
      <c r="L155" s="382">
        <v>117.62518950514266</v>
      </c>
      <c r="M155" s="166">
        <v>4.0291685661275602</v>
      </c>
      <c r="N155" s="166">
        <v>9.8996303774740002E-2</v>
      </c>
      <c r="O155" s="166">
        <v>17.370957661659439</v>
      </c>
      <c r="P155" s="166">
        <v>12.841697372220771</v>
      </c>
      <c r="Q155" s="166">
        <v>11.962633396042692</v>
      </c>
      <c r="R155" s="166">
        <v>6.8674320111581491</v>
      </c>
      <c r="S155" s="166">
        <v>5.5165320641891231</v>
      </c>
      <c r="T155" s="166">
        <v>4.2792152630394726</v>
      </c>
      <c r="U155" s="166">
        <v>4.46532771882395</v>
      </c>
      <c r="V155" s="166">
        <v>6.4994319269428988</v>
      </c>
      <c r="W155" s="166">
        <v>8.2115220727172868</v>
      </c>
      <c r="X155" s="166">
        <v>13.396171183918664</v>
      </c>
      <c r="Y155" s="166">
        <v>15.513126276675999</v>
      </c>
      <c r="Z155" s="166">
        <v>18.274149935901015</v>
      </c>
      <c r="AA155" s="166"/>
      <c r="AB155" s="166">
        <v>28.789630973370599</v>
      </c>
      <c r="AC155" s="166">
        <v>24.972592488234923</v>
      </c>
      <c r="AD155" s="166">
        <v>25.175075264819196</v>
      </c>
      <c r="AE155" s="166">
        <v>23.972965052537958</v>
      </c>
      <c r="AF155" s="166">
        <v>22.080321107991043</v>
      </c>
      <c r="AG155" s="166">
        <v>20.062022492172908</v>
      </c>
      <c r="AH155" s="166">
        <v>21.907210937184605</v>
      </c>
      <c r="AI155" s="166">
        <v>23.655483675680056</v>
      </c>
      <c r="AJ155" s="166">
        <v>25.498172610246431</v>
      </c>
      <c r="AK155" s="166">
        <v>26.315558637277952</v>
      </c>
      <c r="AL155" s="166">
        <v>27.586054638670678</v>
      </c>
      <c r="AM155" s="32">
        <v>28.908598521539727</v>
      </c>
      <c r="AN155" s="32"/>
      <c r="AO155" s="32"/>
      <c r="AP155" s="32"/>
      <c r="AQ155" s="32"/>
      <c r="AR155" s="32"/>
      <c r="AS155" s="32"/>
      <c r="AT155" s="32"/>
      <c r="AU155" s="32"/>
      <c r="AV155" s="32"/>
      <c r="AW155" s="32"/>
      <c r="AX155" s="32"/>
      <c r="AY155" s="32"/>
      <c r="AZ155" s="32"/>
      <c r="BA155" s="32"/>
      <c r="BB155" s="32"/>
      <c r="BC155" s="32"/>
      <c r="BD155" s="32"/>
      <c r="BE155" s="32"/>
      <c r="BF155" s="32"/>
      <c r="BG155" s="32"/>
      <c r="BH155" s="32"/>
      <c r="BI155" s="32"/>
      <c r="BJ155" s="32"/>
      <c r="BK155" s="32"/>
      <c r="BL155" s="32"/>
      <c r="BM155" s="32"/>
      <c r="BN155" s="32"/>
      <c r="BO155" s="32"/>
      <c r="BP155" s="32"/>
      <c r="BQ155" s="32"/>
      <c r="BR155" s="32"/>
      <c r="BS155" s="32"/>
      <c r="BT155" s="32"/>
      <c r="BU155" s="32"/>
      <c r="BV155" s="32"/>
      <c r="BW155" s="32"/>
      <c r="BX155" s="32"/>
      <c r="BY155" s="32"/>
      <c r="BZ155" s="32"/>
      <c r="CA155" s="32"/>
      <c r="CB155" s="32"/>
      <c r="CC155" s="32"/>
      <c r="CD155" s="32"/>
      <c r="CE155" s="32"/>
      <c r="CF155" s="32"/>
      <c r="CG155" s="32"/>
      <c r="CH155" s="32"/>
      <c r="CI155" s="32"/>
      <c r="CJ155" s="32"/>
      <c r="CK155" s="32"/>
      <c r="CL155" s="32"/>
      <c r="CM155" s="32"/>
      <c r="CN155" s="32"/>
      <c r="CO155" s="32"/>
      <c r="CP155" s="32"/>
      <c r="CQ155" s="32"/>
      <c r="CR155" s="32"/>
      <c r="CS155" s="32"/>
      <c r="CT155" s="32"/>
      <c r="CU155" s="32"/>
      <c r="CV155" s="32"/>
      <c r="CW155" s="32"/>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row>
    <row r="156" spans="1:131">
      <c r="A156" s="11" t="s">
        <v>951</v>
      </c>
      <c r="B156" s="11"/>
      <c r="C156" s="166">
        <v>1235.4854860853059</v>
      </c>
      <c r="D156" s="166">
        <v>134.02315442591345</v>
      </c>
      <c r="E156" s="166">
        <v>26.804630885182689</v>
      </c>
      <c r="F156" s="166">
        <v>160.82778531109614</v>
      </c>
      <c r="G156" s="166">
        <v>-515.02902307136992</v>
      </c>
      <c r="H156" s="166">
        <v>814.69740376425398</v>
      </c>
      <c r="I156" s="166">
        <v>1140.3220962062569</v>
      </c>
      <c r="J156" s="166">
        <v>-6.38607218242658</v>
      </c>
      <c r="K156" s="166">
        <v>-43.925974662881053</v>
      </c>
      <c r="L156" s="382">
        <v>6.4047492917696607</v>
      </c>
      <c r="M156" s="166">
        <v>11.737143214371596</v>
      </c>
      <c r="N156" s="166">
        <v>0.28838053708293826</v>
      </c>
      <c r="O156" s="166">
        <v>50.602354927442711</v>
      </c>
      <c r="P156" s="166">
        <v>37.408422779947465</v>
      </c>
      <c r="Q156" s="166">
        <v>34.847671197167841</v>
      </c>
      <c r="R156" s="166">
        <v>20.005128032504174</v>
      </c>
      <c r="S156" s="166">
        <v>16.069897752203097</v>
      </c>
      <c r="T156" s="166">
        <v>12.465540114071507</v>
      </c>
      <c r="U156" s="166">
        <v>13.007693789617592</v>
      </c>
      <c r="V156" s="166">
        <v>18.93312778718149</v>
      </c>
      <c r="W156" s="166">
        <v>23.920520820524271</v>
      </c>
      <c r="X156" s="166">
        <v>39.023629100980457</v>
      </c>
      <c r="Y156" s="166">
        <v>45.190411327708347</v>
      </c>
      <c r="Z156" s="166">
        <v>53.233393291537745</v>
      </c>
      <c r="AA156" s="166"/>
      <c r="AB156" s="166">
        <v>83.865446748514358</v>
      </c>
      <c r="AC156" s="166">
        <v>72.746247683119122</v>
      </c>
      <c r="AD156" s="166">
        <v>73.336088814908095</v>
      </c>
      <c r="AE156" s="166">
        <v>69.834289500871449</v>
      </c>
      <c r="AF156" s="166">
        <v>64.320935401539117</v>
      </c>
      <c r="AG156" s="166">
        <v>58.441543781547168</v>
      </c>
      <c r="AH156" s="166">
        <v>63.816657947450807</v>
      </c>
      <c r="AI156" s="166">
        <v>68.909452446546254</v>
      </c>
      <c r="AJ156" s="166">
        <v>74.277285429848305</v>
      </c>
      <c r="AK156" s="166">
        <v>76.658366465114042</v>
      </c>
      <c r="AL156" s="166">
        <v>80.359376556127629</v>
      </c>
      <c r="AM156" s="32">
        <v>84.212004388833122</v>
      </c>
      <c r="AN156" s="32"/>
      <c r="AO156" s="32"/>
      <c r="AP156" s="32"/>
      <c r="AQ156" s="32"/>
      <c r="AR156" s="32"/>
      <c r="AS156" s="32"/>
      <c r="AT156" s="32"/>
      <c r="AU156" s="32"/>
      <c r="AV156" s="32"/>
      <c r="AW156" s="32"/>
      <c r="AX156" s="32"/>
      <c r="AY156" s="32"/>
      <c r="AZ156" s="32"/>
      <c r="BA156" s="32"/>
      <c r="BB156" s="32"/>
      <c r="BC156" s="32"/>
      <c r="BD156" s="32"/>
      <c r="BE156" s="32"/>
      <c r="BF156" s="32"/>
      <c r="BG156" s="32"/>
      <c r="BH156" s="32"/>
      <c r="BI156" s="32"/>
      <c r="BJ156" s="32"/>
      <c r="BK156" s="32"/>
      <c r="BL156" s="32"/>
      <c r="BM156" s="32"/>
      <c r="BN156" s="32"/>
      <c r="BO156" s="32"/>
      <c r="BP156" s="32"/>
      <c r="BQ156" s="32"/>
      <c r="BR156" s="32"/>
      <c r="BS156" s="32"/>
      <c r="BT156" s="32"/>
      <c r="BU156" s="32"/>
      <c r="BV156" s="32"/>
      <c r="BW156" s="32"/>
      <c r="BX156" s="32"/>
      <c r="BY156" s="32"/>
      <c r="BZ156" s="32"/>
      <c r="CA156" s="32"/>
      <c r="CB156" s="32"/>
      <c r="CC156" s="32"/>
      <c r="CD156" s="32"/>
      <c r="CE156" s="32"/>
      <c r="CF156" s="32"/>
      <c r="CG156" s="32"/>
      <c r="CH156" s="32"/>
      <c r="CI156" s="32"/>
      <c r="CJ156" s="32"/>
      <c r="CK156" s="32"/>
      <c r="CL156" s="32"/>
      <c r="CM156" s="32"/>
      <c r="CN156" s="32"/>
      <c r="CO156" s="32"/>
      <c r="CP156" s="32"/>
      <c r="CQ156" s="32"/>
      <c r="CR156" s="32"/>
      <c r="CS156" s="32"/>
      <c r="CT156" s="32"/>
      <c r="CU156" s="32"/>
      <c r="CV156" s="32"/>
      <c r="CW156" s="32"/>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row>
    <row r="157" spans="1:131">
      <c r="A157" s="11" t="s">
        <v>531</v>
      </c>
      <c r="B157" s="11"/>
      <c r="C157" s="166">
        <v>364.19161716693708</v>
      </c>
      <c r="D157" s="166">
        <v>113.40810404906972</v>
      </c>
      <c r="E157" s="166">
        <v>22.681620809813946</v>
      </c>
      <c r="F157" s="166">
        <v>136.08972485888367</v>
      </c>
      <c r="G157" s="166">
        <v>-552.87252444970136</v>
      </c>
      <c r="H157" s="166">
        <v>240.15333916931365</v>
      </c>
      <c r="I157" s="166">
        <v>3273.4031580341634</v>
      </c>
      <c r="J157" s="166">
        <v>6.4580770520569777</v>
      </c>
      <c r="K157" s="166">
        <v>-124.95550307412722</v>
      </c>
      <c r="L157" s="382">
        <v>4.8092225827692152</v>
      </c>
      <c r="M157" s="166">
        <v>3.4598295296095349</v>
      </c>
      <c r="N157" s="166">
        <v>8.5007695632657157E-2</v>
      </c>
      <c r="O157" s="166">
        <v>14.916365818164079</v>
      </c>
      <c r="P157" s="166">
        <v>11.027109700059137</v>
      </c>
      <c r="Q157" s="166">
        <v>10.272261285732309</v>
      </c>
      <c r="R157" s="166">
        <v>5.8970340095814526</v>
      </c>
      <c r="S157" s="166">
        <v>4.7370220985971807</v>
      </c>
      <c r="T157" s="166">
        <v>3.6745435410882417</v>
      </c>
      <c r="U157" s="166">
        <v>3.8343574976857817</v>
      </c>
      <c r="V157" s="166">
        <v>5.5810339372661835</v>
      </c>
      <c r="W157" s="166">
        <v>7.0511983015724509</v>
      </c>
      <c r="X157" s="166">
        <v>11.503233951408415</v>
      </c>
      <c r="Y157" s="166">
        <v>13.321054085406562</v>
      </c>
      <c r="Z157" s="166">
        <v>15.69193309713239</v>
      </c>
      <c r="AA157" s="166"/>
      <c r="AB157" s="166">
        <v>24.721530944524748</v>
      </c>
      <c r="AC157" s="166">
        <v>21.443856593158245</v>
      </c>
      <c r="AD157" s="166">
        <v>21.61772767305126</v>
      </c>
      <c r="AE157" s="166">
        <v>20.585480860331501</v>
      </c>
      <c r="AF157" s="166">
        <v>18.960275734035783</v>
      </c>
      <c r="AG157" s="166">
        <v>17.227171487844124</v>
      </c>
      <c r="AH157" s="166">
        <v>18.811626783017211</v>
      </c>
      <c r="AI157" s="166">
        <v>20.312860982377433</v>
      </c>
      <c r="AJ157" s="166">
        <v>21.895169958798558</v>
      </c>
      <c r="AK157" s="166">
        <v>22.597055786358236</v>
      </c>
      <c r="AL157" s="166">
        <v>23.68802517885851</v>
      </c>
      <c r="AM157" s="32">
        <v>24.823687860887368</v>
      </c>
      <c r="AN157" s="32"/>
      <c r="AO157" s="32"/>
      <c r="AP157" s="32"/>
      <c r="AQ157" s="32"/>
      <c r="AR157" s="32"/>
      <c r="AS157" s="32"/>
      <c r="AT157" s="32"/>
      <c r="AU157" s="32"/>
      <c r="AV157" s="32"/>
      <c r="AW157" s="32"/>
      <c r="AX157" s="32"/>
      <c r="AY157" s="32"/>
      <c r="AZ157" s="32"/>
      <c r="BA157" s="32"/>
      <c r="BB157" s="32"/>
      <c r="BC157" s="32"/>
      <c r="BD157" s="32"/>
      <c r="BE157" s="32"/>
      <c r="BF157" s="32"/>
      <c r="BG157" s="32"/>
      <c r="BH157" s="32"/>
      <c r="BI157" s="32"/>
      <c r="BJ157" s="32"/>
      <c r="BK157" s="32"/>
      <c r="BL157" s="32"/>
      <c r="BM157" s="32"/>
      <c r="BN157" s="32"/>
      <c r="BO157" s="32"/>
      <c r="BP157" s="32"/>
      <c r="BQ157" s="32"/>
      <c r="BR157" s="32"/>
      <c r="BS157" s="32"/>
      <c r="BT157" s="32"/>
      <c r="BU157" s="32"/>
      <c r="BV157" s="32"/>
      <c r="BW157" s="32"/>
      <c r="BX157" s="32"/>
      <c r="BY157" s="32"/>
      <c r="BZ157" s="32"/>
      <c r="CA157" s="32"/>
      <c r="CB157" s="32"/>
      <c r="CC157" s="32"/>
      <c r="CD157" s="32"/>
      <c r="CE157" s="32"/>
      <c r="CF157" s="32"/>
      <c r="CG157" s="32"/>
      <c r="CH157" s="32"/>
      <c r="CI157" s="32"/>
      <c r="CJ157" s="32"/>
      <c r="CK157" s="32"/>
      <c r="CL157" s="32"/>
      <c r="CM157" s="32"/>
      <c r="CN157" s="32"/>
      <c r="CO157" s="32"/>
      <c r="CP157" s="32"/>
      <c r="CQ157" s="32"/>
      <c r="CR157" s="32"/>
      <c r="CS157" s="32"/>
      <c r="CT157" s="32"/>
      <c r="CU157" s="32"/>
      <c r="CV157" s="32"/>
      <c r="CW157" s="32"/>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row>
    <row r="158" spans="1:131">
      <c r="A158" s="11" t="s">
        <v>533</v>
      </c>
      <c r="B158" s="11"/>
      <c r="C158" s="166">
        <v>290.43128963945617</v>
      </c>
      <c r="D158" s="166">
        <v>113.40810404906972</v>
      </c>
      <c r="E158" s="166">
        <v>22.681620809813946</v>
      </c>
      <c r="F158" s="166">
        <v>136.08972485888367</v>
      </c>
      <c r="G158" s="166">
        <v>-552.87252444970136</v>
      </c>
      <c r="H158" s="166">
        <v>191.51468819831331</v>
      </c>
      <c r="I158" s="166">
        <v>4104.7436426142685</v>
      </c>
      <c r="J158" s="166">
        <v>11.463916464209712</v>
      </c>
      <c r="K158" s="166">
        <v>-153.32454115433868</v>
      </c>
      <c r="L158" s="382">
        <v>4.5755915548621946</v>
      </c>
      <c r="M158" s="166">
        <v>2.7591045615873551</v>
      </c>
      <c r="N158" s="166">
        <v>6.7790947150093692E-2</v>
      </c>
      <c r="O158" s="166">
        <v>11.895329703092875</v>
      </c>
      <c r="P158" s="166">
        <v>8.7937710266294395</v>
      </c>
      <c r="Q158" s="166">
        <v>8.1918033038118416</v>
      </c>
      <c r="R158" s="166">
        <v>4.7026980076409064</v>
      </c>
      <c r="S158" s="166">
        <v>3.7776252178686383</v>
      </c>
      <c r="T158" s="166">
        <v>2.9303321909944207</v>
      </c>
      <c r="U158" s="166">
        <v>3.0577787639772693</v>
      </c>
      <c r="V158" s="166">
        <v>4.4506979499717669</v>
      </c>
      <c r="W158" s="166">
        <v>5.6231075063172717</v>
      </c>
      <c r="X158" s="166">
        <v>9.1734650498573451</v>
      </c>
      <c r="Y158" s="166">
        <v>10.623119080767259</v>
      </c>
      <c r="Z158" s="166">
        <v>12.513820064801781</v>
      </c>
      <c r="AA158" s="166"/>
      <c r="AB158" s="166">
        <v>19.714638601329867</v>
      </c>
      <c r="AC158" s="166">
        <v>17.100797029986953</v>
      </c>
      <c r="AD158" s="166">
        <v>17.239453713952273</v>
      </c>
      <c r="AE158" s="166">
        <v>16.416269546846642</v>
      </c>
      <c r="AF158" s="166">
        <v>15.120219889167776</v>
      </c>
      <c r="AG158" s="166">
        <v>13.738124097901013</v>
      </c>
      <c r="AH158" s="166">
        <v>15.001677054811195</v>
      </c>
      <c r="AI158" s="166">
        <v>16.198863821389601</v>
      </c>
      <c r="AJ158" s="166">
        <v>17.460705157016573</v>
      </c>
      <c r="AK158" s="166">
        <v>18.020436892918596</v>
      </c>
      <c r="AL158" s="166">
        <v>18.890450459089703</v>
      </c>
      <c r="AM158" s="32">
        <v>19.796105509315243</v>
      </c>
      <c r="AN158" s="32"/>
      <c r="AO158" s="32"/>
      <c r="AP158" s="32"/>
      <c r="AQ158" s="32"/>
      <c r="AR158" s="32"/>
      <c r="AS158" s="32"/>
      <c r="AT158" s="32"/>
      <c r="AU158" s="32"/>
      <c r="AV158" s="32"/>
      <c r="AW158" s="32"/>
      <c r="AX158" s="32"/>
      <c r="AY158" s="32"/>
      <c r="AZ158" s="32"/>
      <c r="BA158" s="32"/>
      <c r="BB158" s="32"/>
      <c r="BC158" s="32"/>
      <c r="BD158" s="32"/>
      <c r="BE158" s="32"/>
      <c r="BF158" s="32"/>
      <c r="BG158" s="32"/>
      <c r="BH158" s="32"/>
      <c r="BI158" s="32"/>
      <c r="BJ158" s="32"/>
      <c r="BK158" s="32"/>
      <c r="BL158" s="32"/>
      <c r="BM158" s="32"/>
      <c r="BN158" s="32"/>
      <c r="BO158" s="32"/>
      <c r="BP158" s="32"/>
      <c r="BQ158" s="32"/>
      <c r="BR158" s="32"/>
      <c r="BS158" s="32"/>
      <c r="BT158" s="32"/>
      <c r="BU158" s="32"/>
      <c r="BV158" s="32"/>
      <c r="BW158" s="32"/>
      <c r="BX158" s="32"/>
      <c r="BY158" s="32"/>
      <c r="BZ158" s="32"/>
      <c r="CA158" s="32"/>
      <c r="CB158" s="32"/>
      <c r="CC158" s="32"/>
      <c r="CD158" s="32"/>
      <c r="CE158" s="32"/>
      <c r="CF158" s="32"/>
      <c r="CG158" s="32"/>
      <c r="CH158" s="32"/>
      <c r="CI158" s="32"/>
      <c r="CJ158" s="32"/>
      <c r="CK158" s="32"/>
      <c r="CL158" s="32"/>
      <c r="CM158" s="32"/>
      <c r="CN158" s="32"/>
      <c r="CO158" s="32"/>
      <c r="CP158" s="32"/>
      <c r="CQ158" s="32"/>
      <c r="CR158" s="32"/>
      <c r="CS158" s="32"/>
      <c r="CT158" s="32"/>
      <c r="CU158" s="32"/>
      <c r="CV158" s="32"/>
      <c r="CW158" s="32"/>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row>
    <row r="159" spans="1:131">
      <c r="A159" s="11" t="s">
        <v>842</v>
      </c>
      <c r="B159" s="11"/>
      <c r="C159" s="166">
        <v>714.55317292247162</v>
      </c>
      <c r="D159" s="166">
        <v>162.01157721295672</v>
      </c>
      <c r="E159" s="166">
        <v>32.402315442591345</v>
      </c>
      <c r="F159" s="166">
        <v>194.41389265554807</v>
      </c>
      <c r="G159" s="166">
        <v>-463.65005979177749</v>
      </c>
      <c r="H159" s="166">
        <v>471.18693128156463</v>
      </c>
      <c r="I159" s="166">
        <v>2383.3995344211876</v>
      </c>
      <c r="J159" s="166">
        <v>1.0990030039660381</v>
      </c>
      <c r="K159" s="166">
        <v>-60.997194093824724</v>
      </c>
      <c r="L159" s="382">
        <v>4.1432789757292987</v>
      </c>
      <c r="M159" s="166">
        <v>6.788273127714926</v>
      </c>
      <c r="N159" s="166">
        <v>0.16678725092483371</v>
      </c>
      <c r="O159" s="166">
        <v>29.266287364752312</v>
      </c>
      <c r="P159" s="166">
        <v>21.635468398850211</v>
      </c>
      <c r="Q159" s="166">
        <v>20.154436699854532</v>
      </c>
      <c r="R159" s="166">
        <v>11.570130018799055</v>
      </c>
      <c r="S159" s="166">
        <v>9.2941572820577623</v>
      </c>
      <c r="T159" s="166">
        <v>7.2095474540338929</v>
      </c>
      <c r="U159" s="166">
        <v>7.5231064828012189</v>
      </c>
      <c r="V159" s="166">
        <v>10.950129876914666</v>
      </c>
      <c r="W159" s="166">
        <v>13.834629579034559</v>
      </c>
      <c r="X159" s="166">
        <v>22.569636233776009</v>
      </c>
      <c r="Y159" s="166">
        <v>26.136245357443258</v>
      </c>
      <c r="Z159" s="166">
        <v>30.787970000702796</v>
      </c>
      <c r="AA159" s="166"/>
      <c r="AB159" s="166">
        <v>48.504269574700466</v>
      </c>
      <c r="AC159" s="166">
        <v>42.07338951822188</v>
      </c>
      <c r="AD159" s="166">
        <v>42.414528978771465</v>
      </c>
      <c r="AE159" s="166">
        <v>40.389234599384601</v>
      </c>
      <c r="AF159" s="166">
        <v>37.200540997158818</v>
      </c>
      <c r="AG159" s="166">
        <v>33.800146590073922</v>
      </c>
      <c r="AH159" s="166">
        <v>36.908887991995798</v>
      </c>
      <c r="AI159" s="166">
        <v>39.854347497069654</v>
      </c>
      <c r="AJ159" s="166">
        <v>42.958877767263004</v>
      </c>
      <c r="AK159" s="166">
        <v>44.335995530196548</v>
      </c>
      <c r="AL159" s="166">
        <v>46.476505097760381</v>
      </c>
      <c r="AM159" s="32">
        <v>48.70470403085497</v>
      </c>
      <c r="AN159" s="32"/>
      <c r="AO159" s="32"/>
      <c r="AP159" s="32"/>
      <c r="AQ159" s="32"/>
      <c r="AR159" s="32"/>
      <c r="AS159" s="32"/>
      <c r="AT159" s="32"/>
      <c r="AU159" s="32"/>
      <c r="AV159" s="32"/>
      <c r="AW159" s="32"/>
      <c r="AX159" s="32"/>
      <c r="AY159" s="32"/>
      <c r="AZ159" s="32"/>
      <c r="BA159" s="32"/>
      <c r="BB159" s="32"/>
      <c r="BC159" s="32"/>
      <c r="BD159" s="32"/>
      <c r="BE159" s="32"/>
      <c r="BF159" s="32"/>
      <c r="BG159" s="32"/>
      <c r="BH159" s="32"/>
      <c r="BI159" s="32"/>
      <c r="BJ159" s="32"/>
      <c r="BK159" s="32"/>
      <c r="BL159" s="32"/>
      <c r="BM159" s="32"/>
      <c r="BN159" s="32"/>
      <c r="BO159" s="32"/>
      <c r="BP159" s="32"/>
      <c r="BQ159" s="32"/>
      <c r="BR159" s="32"/>
      <c r="BS159" s="32"/>
      <c r="BT159" s="32"/>
      <c r="BU159" s="32"/>
      <c r="BV159" s="32"/>
      <c r="BW159" s="32"/>
      <c r="BX159" s="32"/>
      <c r="BY159" s="32"/>
      <c r="BZ159" s="32"/>
      <c r="CA159" s="32"/>
      <c r="CB159" s="32"/>
      <c r="CC159" s="32"/>
      <c r="CD159" s="32"/>
      <c r="CE159" s="32"/>
      <c r="CF159" s="32"/>
      <c r="CG159" s="32"/>
      <c r="CH159" s="32"/>
      <c r="CI159" s="32"/>
      <c r="CJ159" s="32"/>
      <c r="CK159" s="32"/>
      <c r="CL159" s="32"/>
      <c r="CM159" s="32"/>
      <c r="CN159" s="32"/>
      <c r="CO159" s="32"/>
      <c r="CP159" s="32"/>
      <c r="CQ159" s="32"/>
      <c r="CR159" s="32"/>
      <c r="CS159" s="32"/>
      <c r="CT159" s="32"/>
      <c r="CU159" s="32"/>
      <c r="CV159" s="32"/>
      <c r="CW159" s="32"/>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row>
    <row r="160" spans="1:131">
      <c r="A160" s="11" t="s">
        <v>950</v>
      </c>
      <c r="B160" s="11"/>
      <c r="C160" s="166">
        <v>1235.4854860853059</v>
      </c>
      <c r="D160" s="166">
        <v>134.02315442591345</v>
      </c>
      <c r="E160" s="166">
        <v>26.804630885182689</v>
      </c>
      <c r="F160" s="166">
        <v>160.82778531109614</v>
      </c>
      <c r="G160" s="166">
        <v>76.88462392705469</v>
      </c>
      <c r="H160" s="166">
        <v>814.69740376425398</v>
      </c>
      <c r="I160" s="166">
        <v>1140.3220962062569</v>
      </c>
      <c r="J160" s="166">
        <v>-6.38607218242658</v>
      </c>
      <c r="K160" s="166">
        <v>-8.6734017431057939</v>
      </c>
      <c r="L160" s="382">
        <v>3.9988823406129481</v>
      </c>
      <c r="M160" s="166">
        <v>11.737143214371596</v>
      </c>
      <c r="N160" s="166">
        <v>0.28838053708293826</v>
      </c>
      <c r="O160" s="166">
        <v>50.602354927442711</v>
      </c>
      <c r="P160" s="166">
        <v>37.408422779947465</v>
      </c>
      <c r="Q160" s="166">
        <v>34.847671197167841</v>
      </c>
      <c r="R160" s="166">
        <v>20.005128032504174</v>
      </c>
      <c r="S160" s="166">
        <v>16.069897752203097</v>
      </c>
      <c r="T160" s="166">
        <v>12.465540114071507</v>
      </c>
      <c r="U160" s="166">
        <v>13.007693789617592</v>
      </c>
      <c r="V160" s="166">
        <v>18.93312778718149</v>
      </c>
      <c r="W160" s="166">
        <v>23.920520820524271</v>
      </c>
      <c r="X160" s="166">
        <v>39.023629100980457</v>
      </c>
      <c r="Y160" s="166">
        <v>45.190411327708347</v>
      </c>
      <c r="Z160" s="166">
        <v>53.233393291537745</v>
      </c>
      <c r="AA160" s="166"/>
      <c r="AB160" s="166">
        <v>83.865446748514358</v>
      </c>
      <c r="AC160" s="166">
        <v>72.746247683119122</v>
      </c>
      <c r="AD160" s="166">
        <v>73.336088814908095</v>
      </c>
      <c r="AE160" s="166">
        <v>69.834289500871449</v>
      </c>
      <c r="AF160" s="166">
        <v>64.320935401539117</v>
      </c>
      <c r="AG160" s="166">
        <v>58.441543781547168</v>
      </c>
      <c r="AH160" s="166">
        <v>63.816657947450807</v>
      </c>
      <c r="AI160" s="166">
        <v>68.909452446546254</v>
      </c>
      <c r="AJ160" s="166">
        <v>74.277285429848305</v>
      </c>
      <c r="AK160" s="166">
        <v>76.658366465114042</v>
      </c>
      <c r="AL160" s="166">
        <v>80.359376556127629</v>
      </c>
      <c r="AM160" s="32">
        <v>84.212004388833122</v>
      </c>
      <c r="AN160" s="32"/>
      <c r="AO160" s="32"/>
      <c r="AP160" s="32"/>
      <c r="AQ160" s="32"/>
      <c r="AR160" s="32"/>
      <c r="AS160" s="32"/>
      <c r="AT160" s="32"/>
      <c r="AU160" s="32"/>
      <c r="AV160" s="32"/>
      <c r="AW160" s="32"/>
      <c r="AX160" s="32"/>
      <c r="AY160" s="32"/>
      <c r="AZ160" s="32"/>
      <c r="BA160" s="32"/>
      <c r="BB160" s="32"/>
      <c r="BC160" s="32"/>
      <c r="BD160" s="32"/>
      <c r="BE160" s="32"/>
      <c r="BF160" s="32"/>
      <c r="BG160" s="32"/>
      <c r="BH160" s="32"/>
      <c r="BI160" s="32"/>
      <c r="BJ160" s="32"/>
      <c r="BK160" s="32"/>
      <c r="BL160" s="32"/>
      <c r="BM160" s="32"/>
      <c r="BN160" s="32"/>
      <c r="BO160" s="32"/>
      <c r="BP160" s="32"/>
      <c r="BQ160" s="32"/>
      <c r="BR160" s="32"/>
      <c r="BS160" s="32"/>
      <c r="BT160" s="32"/>
      <c r="BU160" s="32"/>
      <c r="BV160" s="32"/>
      <c r="BW160" s="32"/>
      <c r="BX160" s="32"/>
      <c r="BY160" s="32"/>
      <c r="BZ160" s="32"/>
      <c r="CA160" s="32"/>
      <c r="CB160" s="32"/>
      <c r="CC160" s="32"/>
      <c r="CD160" s="32"/>
      <c r="CE160" s="32"/>
      <c r="CF160" s="32"/>
      <c r="CG160" s="32"/>
      <c r="CH160" s="32"/>
      <c r="CI160" s="32"/>
      <c r="CJ160" s="32"/>
      <c r="CK160" s="32"/>
      <c r="CL160" s="32"/>
      <c r="CM160" s="32"/>
      <c r="CN160" s="32"/>
      <c r="CO160" s="32"/>
      <c r="CP160" s="32"/>
      <c r="CQ160" s="32"/>
      <c r="CR160" s="32"/>
      <c r="CS160" s="32"/>
      <c r="CT160" s="32"/>
      <c r="CU160" s="32"/>
      <c r="CV160" s="32"/>
      <c r="CW160" s="32"/>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row>
    <row r="161" spans="1:131">
      <c r="A161" s="11" t="s">
        <v>840</v>
      </c>
      <c r="B161" s="11"/>
      <c r="C161" s="166">
        <v>424.12188328301545</v>
      </c>
      <c r="D161" s="166">
        <v>162.01157721295672</v>
      </c>
      <c r="E161" s="166">
        <v>32.402315442591345</v>
      </c>
      <c r="F161" s="166">
        <v>194.41389265554807</v>
      </c>
      <c r="G161" s="166">
        <v>-463.65005979177749</v>
      </c>
      <c r="H161" s="166">
        <v>279.67224308325115</v>
      </c>
      <c r="I161" s="166">
        <v>4015.5100851661305</v>
      </c>
      <c r="J161" s="166">
        <v>10.926604896872652</v>
      </c>
      <c r="K161" s="166">
        <v>-93.691988039622629</v>
      </c>
      <c r="L161" s="382">
        <v>3.4993334550605701</v>
      </c>
      <c r="M161" s="166">
        <v>4.0291685661275602</v>
      </c>
      <c r="N161" s="166">
        <v>9.8996303774740002E-2</v>
      </c>
      <c r="O161" s="166">
        <v>17.370957661659439</v>
      </c>
      <c r="P161" s="166">
        <v>12.841697372220771</v>
      </c>
      <c r="Q161" s="166">
        <v>11.962633396042692</v>
      </c>
      <c r="R161" s="166">
        <v>6.8674320111581491</v>
      </c>
      <c r="S161" s="166">
        <v>5.5165320641891231</v>
      </c>
      <c r="T161" s="166">
        <v>4.2792152630394726</v>
      </c>
      <c r="U161" s="166">
        <v>4.46532771882395</v>
      </c>
      <c r="V161" s="166">
        <v>6.4994319269428988</v>
      </c>
      <c r="W161" s="166">
        <v>8.2115220727172868</v>
      </c>
      <c r="X161" s="166">
        <v>13.396171183918664</v>
      </c>
      <c r="Y161" s="166">
        <v>15.513126276675999</v>
      </c>
      <c r="Z161" s="166">
        <v>18.274149935901015</v>
      </c>
      <c r="AA161" s="166"/>
      <c r="AB161" s="166">
        <v>28.789630973370599</v>
      </c>
      <c r="AC161" s="166">
        <v>24.972592488234923</v>
      </c>
      <c r="AD161" s="166">
        <v>25.175075264819196</v>
      </c>
      <c r="AE161" s="166">
        <v>23.972965052537958</v>
      </c>
      <c r="AF161" s="166">
        <v>22.080321107991043</v>
      </c>
      <c r="AG161" s="166">
        <v>20.062022492172908</v>
      </c>
      <c r="AH161" s="166">
        <v>21.907210937184605</v>
      </c>
      <c r="AI161" s="166">
        <v>23.655483675680056</v>
      </c>
      <c r="AJ161" s="166">
        <v>25.498172610246431</v>
      </c>
      <c r="AK161" s="166">
        <v>26.315558637277952</v>
      </c>
      <c r="AL161" s="166">
        <v>27.586054638670678</v>
      </c>
      <c r="AM161" s="32">
        <v>28.908598521539727</v>
      </c>
      <c r="AN161" s="32"/>
      <c r="AO161" s="32"/>
      <c r="AP161" s="32"/>
      <c r="AQ161" s="32"/>
      <c r="AR161" s="32"/>
      <c r="AS161" s="32"/>
      <c r="AT161" s="32"/>
      <c r="AU161" s="32"/>
      <c r="AV161" s="32"/>
      <c r="AW161" s="32"/>
      <c r="AX161" s="32"/>
      <c r="AY161" s="32"/>
      <c r="AZ161" s="32"/>
      <c r="BA161" s="32"/>
      <c r="BB161" s="32"/>
      <c r="BC161" s="32"/>
      <c r="BD161" s="32"/>
      <c r="BE161" s="32"/>
      <c r="BF161" s="32"/>
      <c r="BG161" s="32"/>
      <c r="BH161" s="32"/>
      <c r="BI161" s="32"/>
      <c r="BJ161" s="32"/>
      <c r="BK161" s="32"/>
      <c r="BL161" s="32"/>
      <c r="BM161" s="32"/>
      <c r="BN161" s="32"/>
      <c r="BO161" s="32"/>
      <c r="BP161" s="32"/>
      <c r="BQ161" s="32"/>
      <c r="BR161" s="32"/>
      <c r="BS161" s="32"/>
      <c r="BT161" s="32"/>
      <c r="BU161" s="32"/>
      <c r="BV161" s="32"/>
      <c r="BW161" s="32"/>
      <c r="BX161" s="32"/>
      <c r="BY161" s="32"/>
      <c r="BZ161" s="32"/>
      <c r="CA161" s="32"/>
      <c r="CB161" s="32"/>
      <c r="CC161" s="32"/>
      <c r="CD161" s="32"/>
      <c r="CE161" s="32"/>
      <c r="CF161" s="32"/>
      <c r="CG161" s="32"/>
      <c r="CH161" s="32"/>
      <c r="CI161" s="32"/>
      <c r="CJ161" s="32"/>
      <c r="CK161" s="32"/>
      <c r="CL161" s="32"/>
      <c r="CM161" s="32"/>
      <c r="CN161" s="32"/>
      <c r="CO161" s="32"/>
      <c r="CP161" s="32"/>
      <c r="CQ161" s="32"/>
      <c r="CR161" s="32"/>
      <c r="CS161" s="32"/>
      <c r="CT161" s="32"/>
      <c r="CU161" s="32"/>
      <c r="CV161" s="32"/>
      <c r="CW161" s="32"/>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row>
    <row r="162" spans="1:131">
      <c r="A162" s="11" t="s">
        <v>868</v>
      </c>
      <c r="B162" s="11"/>
      <c r="C162" s="166">
        <v>3130.2038994474719</v>
      </c>
      <c r="D162" s="166">
        <v>532.0694632777404</v>
      </c>
      <c r="E162" s="166">
        <v>106.41389265554808</v>
      </c>
      <c r="F162" s="166">
        <v>638.48335593328852</v>
      </c>
      <c r="G162" s="166">
        <v>215.67334060532795</v>
      </c>
      <c r="H162" s="166">
        <v>2064.1027505818233</v>
      </c>
      <c r="I162" s="166">
        <v>1786.8210434990756</v>
      </c>
      <c r="J162" s="166">
        <v>-2.4932388965458538</v>
      </c>
      <c r="K162" s="166">
        <v>-8.1825791591389176</v>
      </c>
      <c r="L162" s="382">
        <v>2.8924639889216341</v>
      </c>
      <c r="M162" s="166">
        <v>29.73701583044155</v>
      </c>
      <c r="N162" s="166">
        <v>0.73063576372878758</v>
      </c>
      <c r="O162" s="166">
        <v>128.20522013333431</v>
      </c>
      <c r="P162" s="166">
        <v>94.777309953672855</v>
      </c>
      <c r="Q162" s="166">
        <v>88.289435607749851</v>
      </c>
      <c r="R162" s="166">
        <v>50.684634082351991</v>
      </c>
      <c r="S162" s="166">
        <v>40.714405125917544</v>
      </c>
      <c r="T162" s="166">
        <v>31.582469169606536</v>
      </c>
      <c r="U162" s="166">
        <v>32.956060011755014</v>
      </c>
      <c r="V162" s="166">
        <v>47.968633460806828</v>
      </c>
      <c r="W162" s="166">
        <v>60.604603123641709</v>
      </c>
      <c r="X162" s="166">
        <v>98.869567759573613</v>
      </c>
      <c r="Y162" s="166">
        <v>114.49361675938046</v>
      </c>
      <c r="Z162" s="166">
        <v>134.8711718095303</v>
      </c>
      <c r="AA162" s="166"/>
      <c r="AB162" s="166">
        <v>212.479993814333</v>
      </c>
      <c r="AC162" s="166">
        <v>184.30859021208164</v>
      </c>
      <c r="AD162" s="166">
        <v>185.80300113926339</v>
      </c>
      <c r="AE162" s="166">
        <v>176.93090511601383</v>
      </c>
      <c r="AF162" s="166">
        <v>162.96236991658603</v>
      </c>
      <c r="AG162" s="166">
        <v>148.06644861071092</v>
      </c>
      <c r="AH162" s="166">
        <v>161.68474159074287</v>
      </c>
      <c r="AI162" s="166">
        <v>174.58775451942125</v>
      </c>
      <c r="AJ162" s="166">
        <v>188.18760002562308</v>
      </c>
      <c r="AK162" s="166">
        <v>194.22026429034486</v>
      </c>
      <c r="AL162" s="166">
        <v>203.59707717018901</v>
      </c>
      <c r="AM162" s="32">
        <v>213.35802604484209</v>
      </c>
      <c r="AN162" s="32"/>
      <c r="AO162" s="32"/>
      <c r="AP162" s="32"/>
      <c r="AQ162" s="32"/>
      <c r="AR162" s="32"/>
      <c r="AS162" s="32"/>
      <c r="AT162" s="32"/>
      <c r="AU162" s="32"/>
      <c r="AV162" s="32"/>
      <c r="AW162" s="32"/>
      <c r="AX162" s="32"/>
      <c r="AY162" s="32"/>
      <c r="AZ162" s="32"/>
      <c r="BA162" s="32"/>
      <c r="BB162" s="32"/>
      <c r="BC162" s="32"/>
      <c r="BD162" s="32"/>
      <c r="BE162" s="32"/>
      <c r="BF162" s="32"/>
      <c r="BG162" s="32"/>
      <c r="BH162" s="32"/>
      <c r="BI162" s="32"/>
      <c r="BJ162" s="32"/>
      <c r="BK162" s="32"/>
      <c r="BL162" s="32"/>
      <c r="BM162" s="32"/>
      <c r="BN162" s="32"/>
      <c r="BO162" s="32"/>
      <c r="BP162" s="32"/>
      <c r="BQ162" s="32"/>
      <c r="BR162" s="32"/>
      <c r="BS162" s="32"/>
      <c r="BT162" s="32"/>
      <c r="BU162" s="32"/>
      <c r="BV162" s="32"/>
      <c r="BW162" s="32"/>
      <c r="BX162" s="32"/>
      <c r="BY162" s="32"/>
      <c r="BZ162" s="32"/>
      <c r="CA162" s="32"/>
      <c r="CB162" s="32"/>
      <c r="CC162" s="32"/>
      <c r="CD162" s="32"/>
      <c r="CE162" s="32"/>
      <c r="CF162" s="32"/>
      <c r="CG162" s="32"/>
      <c r="CH162" s="32"/>
      <c r="CI162" s="32"/>
      <c r="CJ162" s="32"/>
      <c r="CK162" s="32"/>
      <c r="CL162" s="32"/>
      <c r="CM162" s="32"/>
      <c r="CN162" s="32"/>
      <c r="CO162" s="32"/>
      <c r="CP162" s="32"/>
      <c r="CQ162" s="32"/>
      <c r="CR162" s="32"/>
      <c r="CS162" s="32"/>
      <c r="CT162" s="32"/>
      <c r="CU162" s="32"/>
      <c r="CV162" s="32"/>
      <c r="CW162" s="32"/>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row>
    <row r="163" spans="1:131">
      <c r="A163" s="11" t="s">
        <v>953</v>
      </c>
      <c r="B163" s="11"/>
      <c r="C163" s="166">
        <v>1235.4854860853059</v>
      </c>
      <c r="D163" s="166">
        <v>324.02315442591345</v>
      </c>
      <c r="E163" s="166">
        <v>64.804630885182689</v>
      </c>
      <c r="F163" s="166">
        <v>388.82778531109614</v>
      </c>
      <c r="G163" s="166">
        <v>-166.24184426536436</v>
      </c>
      <c r="H163" s="166">
        <v>814.69740376425398</v>
      </c>
      <c r="I163" s="166">
        <v>2756.9173719051046</v>
      </c>
      <c r="J163" s="166">
        <v>3.3481059247307288</v>
      </c>
      <c r="K163" s="166">
        <v>-23.153273244874839</v>
      </c>
      <c r="L163" s="382">
        <v>2.6491461849723184</v>
      </c>
      <c r="M163" s="166">
        <v>11.737143214371596</v>
      </c>
      <c r="N163" s="166">
        <v>0.28838053708293826</v>
      </c>
      <c r="O163" s="166">
        <v>50.602354927442711</v>
      </c>
      <c r="P163" s="166">
        <v>37.408422779947465</v>
      </c>
      <c r="Q163" s="166">
        <v>34.847671197167841</v>
      </c>
      <c r="R163" s="166">
        <v>20.005128032504174</v>
      </c>
      <c r="S163" s="166">
        <v>16.069897752203097</v>
      </c>
      <c r="T163" s="166">
        <v>12.465540114071507</v>
      </c>
      <c r="U163" s="166">
        <v>13.007693789617592</v>
      </c>
      <c r="V163" s="166">
        <v>18.93312778718149</v>
      </c>
      <c r="W163" s="166">
        <v>23.920520820524271</v>
      </c>
      <c r="X163" s="166">
        <v>39.023629100980457</v>
      </c>
      <c r="Y163" s="166">
        <v>45.190411327708347</v>
      </c>
      <c r="Z163" s="166">
        <v>53.233393291537745</v>
      </c>
      <c r="AA163" s="166"/>
      <c r="AB163" s="166">
        <v>83.865446748514358</v>
      </c>
      <c r="AC163" s="166">
        <v>72.746247683119122</v>
      </c>
      <c r="AD163" s="166">
        <v>73.336088814908095</v>
      </c>
      <c r="AE163" s="166">
        <v>69.834289500871449</v>
      </c>
      <c r="AF163" s="166">
        <v>64.320935401539117</v>
      </c>
      <c r="AG163" s="166">
        <v>58.441543781547168</v>
      </c>
      <c r="AH163" s="166">
        <v>63.816657947450807</v>
      </c>
      <c r="AI163" s="166">
        <v>68.909452446546254</v>
      </c>
      <c r="AJ163" s="166">
        <v>74.277285429848305</v>
      </c>
      <c r="AK163" s="166">
        <v>76.658366465114042</v>
      </c>
      <c r="AL163" s="166">
        <v>80.359376556127629</v>
      </c>
      <c r="AM163" s="32">
        <v>84.212004388833122</v>
      </c>
      <c r="AN163" s="32"/>
      <c r="AO163" s="32"/>
      <c r="AP163" s="32"/>
      <c r="AQ163" s="32"/>
      <c r="AR163" s="32"/>
      <c r="AS163" s="32"/>
      <c r="AT163" s="32"/>
      <c r="AU163" s="32"/>
      <c r="AV163" s="32"/>
      <c r="AW163" s="32"/>
      <c r="AX163" s="32"/>
      <c r="AY163" s="32"/>
      <c r="AZ163" s="32"/>
      <c r="BA163" s="32"/>
      <c r="BB163" s="32"/>
      <c r="BC163" s="32"/>
      <c r="BD163" s="32"/>
      <c r="BE163" s="32"/>
      <c r="BF163" s="32"/>
      <c r="BG163" s="32"/>
      <c r="BH163" s="32"/>
      <c r="BI163" s="32"/>
      <c r="BJ163" s="32"/>
      <c r="BK163" s="32"/>
      <c r="BL163" s="32"/>
      <c r="BM163" s="32"/>
      <c r="BN163" s="32"/>
      <c r="BO163" s="32"/>
      <c r="BP163" s="32"/>
      <c r="BQ163" s="32"/>
      <c r="BR163" s="32"/>
      <c r="BS163" s="32"/>
      <c r="BT163" s="32"/>
      <c r="BU163" s="32"/>
      <c r="BV163" s="32"/>
      <c r="BW163" s="32"/>
      <c r="BX163" s="32"/>
      <c r="BY163" s="32"/>
      <c r="BZ163" s="32"/>
      <c r="CA163" s="32"/>
      <c r="CB163" s="32"/>
      <c r="CC163" s="32"/>
      <c r="CD163" s="32"/>
      <c r="CE163" s="32"/>
      <c r="CF163" s="32"/>
      <c r="CG163" s="32"/>
      <c r="CH163" s="32"/>
      <c r="CI163" s="32"/>
      <c r="CJ163" s="32"/>
      <c r="CK163" s="32"/>
      <c r="CL163" s="32"/>
      <c r="CM163" s="32"/>
      <c r="CN163" s="32"/>
      <c r="CO163" s="32"/>
      <c r="CP163" s="32"/>
      <c r="CQ163" s="32"/>
      <c r="CR163" s="32"/>
      <c r="CS163" s="32"/>
      <c r="CT163" s="32"/>
      <c r="CU163" s="32"/>
      <c r="CV163" s="32"/>
      <c r="CW163" s="32"/>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row>
    <row r="164" spans="1:131">
      <c r="A164" s="11" t="s">
        <v>867</v>
      </c>
      <c r="B164" s="11"/>
      <c r="C164" s="166">
        <v>3130.2038994474719</v>
      </c>
      <c r="D164" s="166">
        <v>532.0694632777404</v>
      </c>
      <c r="E164" s="166">
        <v>106.41389265554808</v>
      </c>
      <c r="F164" s="166">
        <v>638.48335593328852</v>
      </c>
      <c r="G164" s="166">
        <v>803.51121342737258</v>
      </c>
      <c r="H164" s="166">
        <v>2064.1027505818233</v>
      </c>
      <c r="I164" s="166">
        <v>1786.8210434990756</v>
      </c>
      <c r="J164" s="166">
        <v>-2.4932388965458538</v>
      </c>
      <c r="K164" s="166">
        <v>5.6357345933099179</v>
      </c>
      <c r="L164" s="382">
        <v>2.2906222309211701</v>
      </c>
      <c r="M164" s="166">
        <v>29.73701583044155</v>
      </c>
      <c r="N164" s="166">
        <v>0.73063576372878758</v>
      </c>
      <c r="O164" s="166">
        <v>128.20522013333431</v>
      </c>
      <c r="P164" s="166">
        <v>94.777309953672855</v>
      </c>
      <c r="Q164" s="166">
        <v>88.289435607749851</v>
      </c>
      <c r="R164" s="166">
        <v>50.684634082351991</v>
      </c>
      <c r="S164" s="166">
        <v>40.714405125917544</v>
      </c>
      <c r="T164" s="166">
        <v>31.582469169606536</v>
      </c>
      <c r="U164" s="166">
        <v>32.956060011755014</v>
      </c>
      <c r="V164" s="166">
        <v>47.968633460806828</v>
      </c>
      <c r="W164" s="166">
        <v>60.604603123641709</v>
      </c>
      <c r="X164" s="166">
        <v>98.869567759573613</v>
      </c>
      <c r="Y164" s="166">
        <v>114.49361675938046</v>
      </c>
      <c r="Z164" s="166">
        <v>134.8711718095303</v>
      </c>
      <c r="AA164" s="166"/>
      <c r="AB164" s="166">
        <v>212.479993814333</v>
      </c>
      <c r="AC164" s="166">
        <v>184.30859021208164</v>
      </c>
      <c r="AD164" s="166">
        <v>185.80300113926339</v>
      </c>
      <c r="AE164" s="166">
        <v>176.93090511601383</v>
      </c>
      <c r="AF164" s="166">
        <v>162.96236991658603</v>
      </c>
      <c r="AG164" s="166">
        <v>148.06644861071092</v>
      </c>
      <c r="AH164" s="166">
        <v>161.68474159074287</v>
      </c>
      <c r="AI164" s="166">
        <v>174.58775451942125</v>
      </c>
      <c r="AJ164" s="166">
        <v>188.18760002562308</v>
      </c>
      <c r="AK164" s="166">
        <v>194.22026429034486</v>
      </c>
      <c r="AL164" s="166">
        <v>203.59707717018901</v>
      </c>
      <c r="AM164" s="32">
        <v>213.35802604484209</v>
      </c>
      <c r="AN164" s="32"/>
      <c r="AO164" s="32"/>
      <c r="AP164" s="32"/>
      <c r="AQ164" s="32"/>
      <c r="AR164" s="32"/>
      <c r="AS164" s="32"/>
      <c r="AT164" s="32"/>
      <c r="AU164" s="32"/>
      <c r="AV164" s="32"/>
      <c r="AW164" s="32"/>
      <c r="AX164" s="32"/>
      <c r="AY164" s="32"/>
      <c r="AZ164" s="32"/>
      <c r="BA164" s="32"/>
      <c r="BB164" s="32"/>
      <c r="BC164" s="32"/>
      <c r="BD164" s="32"/>
      <c r="BE164" s="32"/>
      <c r="BF164" s="32"/>
      <c r="BG164" s="32"/>
      <c r="BH164" s="32"/>
      <c r="BI164" s="32"/>
      <c r="BJ164" s="32"/>
      <c r="BK164" s="32"/>
      <c r="BL164" s="32"/>
      <c r="BM164" s="32"/>
      <c r="BN164" s="32"/>
      <c r="BO164" s="32"/>
      <c r="BP164" s="32"/>
      <c r="BQ164" s="32"/>
      <c r="BR164" s="32"/>
      <c r="BS164" s="32"/>
      <c r="BT164" s="32"/>
      <c r="BU164" s="32"/>
      <c r="BV164" s="32"/>
      <c r="BW164" s="32"/>
      <c r="BX164" s="32"/>
      <c r="BY164" s="32"/>
      <c r="BZ164" s="32"/>
      <c r="CA164" s="32"/>
      <c r="CB164" s="32"/>
      <c r="CC164" s="32"/>
      <c r="CD164" s="32"/>
      <c r="CE164" s="32"/>
      <c r="CF164" s="32"/>
      <c r="CG164" s="32"/>
      <c r="CH164" s="32"/>
      <c r="CI164" s="32"/>
      <c r="CJ164" s="32"/>
      <c r="CK164" s="32"/>
      <c r="CL164" s="32"/>
      <c r="CM164" s="32"/>
      <c r="CN164" s="32"/>
      <c r="CO164" s="32"/>
      <c r="CP164" s="32"/>
      <c r="CQ164" s="32"/>
      <c r="CR164" s="32"/>
      <c r="CS164" s="32"/>
      <c r="CT164" s="32"/>
      <c r="CU164" s="32"/>
      <c r="CV164" s="32"/>
      <c r="CW164" s="32"/>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row>
    <row r="165" spans="1:131">
      <c r="A165" s="11" t="s">
        <v>841</v>
      </c>
      <c r="B165" s="11"/>
      <c r="C165" s="166">
        <v>714.55317292247162</v>
      </c>
      <c r="D165" s="166">
        <v>162.01157721295672</v>
      </c>
      <c r="E165" s="166">
        <v>32.402315442591345</v>
      </c>
      <c r="F165" s="166">
        <v>194.41389265554807</v>
      </c>
      <c r="G165" s="166">
        <v>142.7263292620346</v>
      </c>
      <c r="H165" s="166">
        <v>471.18693128156463</v>
      </c>
      <c r="I165" s="166">
        <v>2383.3995344211876</v>
      </c>
      <c r="J165" s="166">
        <v>1.0990030039660381</v>
      </c>
      <c r="K165" s="166">
        <v>1.4449554274596133</v>
      </c>
      <c r="L165" s="382">
        <v>2.1044099822130136</v>
      </c>
      <c r="M165" s="166">
        <v>6.788273127714926</v>
      </c>
      <c r="N165" s="166">
        <v>0.16678725092483371</v>
      </c>
      <c r="O165" s="166">
        <v>29.266287364752312</v>
      </c>
      <c r="P165" s="166">
        <v>21.635468398850211</v>
      </c>
      <c r="Q165" s="166">
        <v>20.154436699854532</v>
      </c>
      <c r="R165" s="166">
        <v>11.570130018799055</v>
      </c>
      <c r="S165" s="166">
        <v>9.2941572820577623</v>
      </c>
      <c r="T165" s="166">
        <v>7.2095474540338929</v>
      </c>
      <c r="U165" s="166">
        <v>7.5231064828012189</v>
      </c>
      <c r="V165" s="166">
        <v>10.950129876914666</v>
      </c>
      <c r="W165" s="166">
        <v>13.834629579034559</v>
      </c>
      <c r="X165" s="166">
        <v>22.569636233776009</v>
      </c>
      <c r="Y165" s="166">
        <v>26.136245357443258</v>
      </c>
      <c r="Z165" s="166">
        <v>30.787970000702796</v>
      </c>
      <c r="AA165" s="166"/>
      <c r="AB165" s="166">
        <v>48.504269574700466</v>
      </c>
      <c r="AC165" s="166">
        <v>42.07338951822188</v>
      </c>
      <c r="AD165" s="166">
        <v>42.414528978771465</v>
      </c>
      <c r="AE165" s="166">
        <v>40.389234599384601</v>
      </c>
      <c r="AF165" s="166">
        <v>37.200540997158818</v>
      </c>
      <c r="AG165" s="166">
        <v>33.800146590073922</v>
      </c>
      <c r="AH165" s="166">
        <v>36.908887991995798</v>
      </c>
      <c r="AI165" s="166">
        <v>39.854347497069654</v>
      </c>
      <c r="AJ165" s="166">
        <v>42.958877767263004</v>
      </c>
      <c r="AK165" s="166">
        <v>44.335995530196548</v>
      </c>
      <c r="AL165" s="166">
        <v>46.476505097760381</v>
      </c>
      <c r="AM165" s="32">
        <v>48.70470403085497</v>
      </c>
      <c r="AN165" s="32"/>
      <c r="AO165" s="32"/>
      <c r="AP165" s="32"/>
      <c r="AQ165" s="32"/>
      <c r="AR165" s="32"/>
      <c r="AS165" s="32"/>
      <c r="AT165" s="32"/>
      <c r="AU165" s="32"/>
      <c r="AV165" s="32"/>
      <c r="AW165" s="32"/>
      <c r="AX165" s="32"/>
      <c r="AY165" s="32"/>
      <c r="AZ165" s="32"/>
      <c r="BA165" s="32"/>
      <c r="BB165" s="32"/>
      <c r="BC165" s="32"/>
      <c r="BD165" s="32"/>
      <c r="BE165" s="32"/>
      <c r="BF165" s="32"/>
      <c r="BG165" s="32"/>
      <c r="BH165" s="32"/>
      <c r="BI165" s="32"/>
      <c r="BJ165" s="32"/>
      <c r="BK165" s="32"/>
      <c r="BL165" s="32"/>
      <c r="BM165" s="32"/>
      <c r="BN165" s="32"/>
      <c r="BO165" s="32"/>
      <c r="BP165" s="32"/>
      <c r="BQ165" s="32"/>
      <c r="BR165" s="32"/>
      <c r="BS165" s="32"/>
      <c r="BT165" s="32"/>
      <c r="BU165" s="32"/>
      <c r="BV165" s="32"/>
      <c r="BW165" s="32"/>
      <c r="BX165" s="32"/>
      <c r="BY165" s="32"/>
      <c r="BZ165" s="32"/>
      <c r="CA165" s="32"/>
      <c r="CB165" s="32"/>
      <c r="CC165" s="32"/>
      <c r="CD165" s="32"/>
      <c r="CE165" s="32"/>
      <c r="CF165" s="32"/>
      <c r="CG165" s="32"/>
      <c r="CH165" s="32"/>
      <c r="CI165" s="32"/>
      <c r="CJ165" s="32"/>
      <c r="CK165" s="32"/>
      <c r="CL165" s="32"/>
      <c r="CM165" s="32"/>
      <c r="CN165" s="32"/>
      <c r="CO165" s="32"/>
      <c r="CP165" s="32"/>
      <c r="CQ165" s="32"/>
      <c r="CR165" s="32"/>
      <c r="CS165" s="32"/>
      <c r="CT165" s="32"/>
      <c r="CU165" s="32"/>
      <c r="CV165" s="32"/>
      <c r="CW165" s="32"/>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row>
    <row r="166" spans="1:131">
      <c r="A166" s="11" t="s">
        <v>530</v>
      </c>
      <c r="B166" s="11"/>
      <c r="C166" s="166">
        <v>364.19161716693708</v>
      </c>
      <c r="D166" s="166">
        <v>113.40810404906972</v>
      </c>
      <c r="E166" s="166">
        <v>22.681620809813946</v>
      </c>
      <c r="F166" s="166">
        <v>136.08972485888367</v>
      </c>
      <c r="G166" s="166">
        <v>59.304435339024906</v>
      </c>
      <c r="H166" s="166">
        <v>240.15333916931365</v>
      </c>
      <c r="I166" s="166">
        <v>3273.4031580341634</v>
      </c>
      <c r="J166" s="166">
        <v>6.4580770520569777</v>
      </c>
      <c r="K166" s="166">
        <v>-1.2704700068627879</v>
      </c>
      <c r="L166" s="382">
        <v>1.868690114841389</v>
      </c>
      <c r="M166" s="166">
        <v>3.4598295296095349</v>
      </c>
      <c r="N166" s="166">
        <v>8.5007695632657157E-2</v>
      </c>
      <c r="O166" s="166">
        <v>14.916365818164079</v>
      </c>
      <c r="P166" s="166">
        <v>11.027109700059137</v>
      </c>
      <c r="Q166" s="166">
        <v>10.272261285732309</v>
      </c>
      <c r="R166" s="166">
        <v>5.8970340095814526</v>
      </c>
      <c r="S166" s="166">
        <v>4.7370220985971807</v>
      </c>
      <c r="T166" s="166">
        <v>3.6745435410882417</v>
      </c>
      <c r="U166" s="166">
        <v>3.8343574976857817</v>
      </c>
      <c r="V166" s="166">
        <v>5.5810339372661835</v>
      </c>
      <c r="W166" s="166">
        <v>7.0511983015724509</v>
      </c>
      <c r="X166" s="166">
        <v>11.503233951408415</v>
      </c>
      <c r="Y166" s="166">
        <v>13.321054085406562</v>
      </c>
      <c r="Z166" s="166">
        <v>15.69193309713239</v>
      </c>
      <c r="AA166" s="166"/>
      <c r="AB166" s="166">
        <v>24.721530944524748</v>
      </c>
      <c r="AC166" s="166">
        <v>21.443856593158245</v>
      </c>
      <c r="AD166" s="166">
        <v>21.61772767305126</v>
      </c>
      <c r="AE166" s="166">
        <v>20.585480860331501</v>
      </c>
      <c r="AF166" s="166">
        <v>18.960275734035783</v>
      </c>
      <c r="AG166" s="166">
        <v>17.227171487844124</v>
      </c>
      <c r="AH166" s="166">
        <v>18.811626783017211</v>
      </c>
      <c r="AI166" s="166">
        <v>20.312860982377433</v>
      </c>
      <c r="AJ166" s="166">
        <v>21.895169958798558</v>
      </c>
      <c r="AK166" s="166">
        <v>22.597055786358236</v>
      </c>
      <c r="AL166" s="166">
        <v>23.68802517885851</v>
      </c>
      <c r="AM166" s="32">
        <v>24.823687860887368</v>
      </c>
      <c r="AN166" s="32"/>
      <c r="AO166" s="32"/>
      <c r="AP166" s="32"/>
      <c r="AQ166" s="32"/>
      <c r="AR166" s="32"/>
      <c r="AS166" s="32"/>
      <c r="AT166" s="32"/>
      <c r="AU166" s="32"/>
      <c r="AV166" s="32"/>
      <c r="AW166" s="32"/>
      <c r="AX166" s="32"/>
      <c r="AY166" s="32"/>
      <c r="AZ166" s="32"/>
      <c r="BA166" s="32"/>
      <c r="BB166" s="32"/>
      <c r="BC166" s="32"/>
      <c r="BD166" s="32"/>
      <c r="BE166" s="32"/>
      <c r="BF166" s="32"/>
      <c r="BG166" s="32"/>
      <c r="BH166" s="32"/>
      <c r="BI166" s="32"/>
      <c r="BJ166" s="32"/>
      <c r="BK166" s="32"/>
      <c r="BL166" s="32"/>
      <c r="BM166" s="32"/>
      <c r="BN166" s="32"/>
      <c r="BO166" s="32"/>
      <c r="BP166" s="32"/>
      <c r="BQ166" s="32"/>
      <c r="BR166" s="32"/>
      <c r="BS166" s="32"/>
      <c r="BT166" s="32"/>
      <c r="BU166" s="32"/>
      <c r="BV166" s="32"/>
      <c r="BW166" s="32"/>
      <c r="BX166" s="32"/>
      <c r="BY166" s="32"/>
      <c r="BZ166" s="32"/>
      <c r="CA166" s="32"/>
      <c r="CB166" s="32"/>
      <c r="CC166" s="32"/>
      <c r="CD166" s="32"/>
      <c r="CE166" s="32"/>
      <c r="CF166" s="32"/>
      <c r="CG166" s="32"/>
      <c r="CH166" s="32"/>
      <c r="CI166" s="32"/>
      <c r="CJ166" s="32"/>
      <c r="CK166" s="32"/>
      <c r="CL166" s="32"/>
      <c r="CM166" s="32"/>
      <c r="CN166" s="32"/>
      <c r="CO166" s="32"/>
      <c r="CP166" s="32"/>
      <c r="CQ166" s="32"/>
      <c r="CR166" s="32"/>
      <c r="CS166" s="32"/>
      <c r="CT166" s="32"/>
      <c r="CU166" s="32"/>
      <c r="CV166" s="32"/>
      <c r="CW166" s="32"/>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row>
    <row r="167" spans="1:131">
      <c r="A167" s="11" t="s">
        <v>952</v>
      </c>
      <c r="B167" s="11"/>
      <c r="C167" s="166">
        <v>1235.4854860853059</v>
      </c>
      <c r="D167" s="166">
        <v>324.02315442591345</v>
      </c>
      <c r="E167" s="166">
        <v>64.804630885182689</v>
      </c>
      <c r="F167" s="166">
        <v>388.82778531109614</v>
      </c>
      <c r="G167" s="166">
        <v>425.67180273306013</v>
      </c>
      <c r="H167" s="166">
        <v>814.69740376425398</v>
      </c>
      <c r="I167" s="166">
        <v>2756.9173719051046</v>
      </c>
      <c r="J167" s="166">
        <v>3.3481059247307288</v>
      </c>
      <c r="K167" s="166">
        <v>12.09929967490041</v>
      </c>
      <c r="L167" s="382">
        <v>1.654026319250492</v>
      </c>
      <c r="M167" s="166">
        <v>11.737143214371596</v>
      </c>
      <c r="N167" s="166">
        <v>0.28838053708293826</v>
      </c>
      <c r="O167" s="166">
        <v>50.602354927442711</v>
      </c>
      <c r="P167" s="166">
        <v>37.408422779947465</v>
      </c>
      <c r="Q167" s="166">
        <v>34.847671197167841</v>
      </c>
      <c r="R167" s="166">
        <v>20.005128032504174</v>
      </c>
      <c r="S167" s="166">
        <v>16.069897752203097</v>
      </c>
      <c r="T167" s="166">
        <v>12.465540114071507</v>
      </c>
      <c r="U167" s="166">
        <v>13.007693789617592</v>
      </c>
      <c r="V167" s="166">
        <v>18.93312778718149</v>
      </c>
      <c r="W167" s="166">
        <v>23.920520820524271</v>
      </c>
      <c r="X167" s="166">
        <v>39.023629100980457</v>
      </c>
      <c r="Y167" s="166">
        <v>45.190411327708347</v>
      </c>
      <c r="Z167" s="166">
        <v>53.233393291537745</v>
      </c>
      <c r="AA167" s="166"/>
      <c r="AB167" s="166">
        <v>83.865446748514358</v>
      </c>
      <c r="AC167" s="166">
        <v>72.746247683119122</v>
      </c>
      <c r="AD167" s="166">
        <v>73.336088814908095</v>
      </c>
      <c r="AE167" s="166">
        <v>69.834289500871449</v>
      </c>
      <c r="AF167" s="166">
        <v>64.320935401539117</v>
      </c>
      <c r="AG167" s="166">
        <v>58.441543781547168</v>
      </c>
      <c r="AH167" s="166">
        <v>63.816657947450807</v>
      </c>
      <c r="AI167" s="166">
        <v>68.909452446546254</v>
      </c>
      <c r="AJ167" s="166">
        <v>74.277285429848305</v>
      </c>
      <c r="AK167" s="166">
        <v>76.658366465114042</v>
      </c>
      <c r="AL167" s="166">
        <v>80.359376556127629</v>
      </c>
      <c r="AM167" s="32">
        <v>84.212004388833122</v>
      </c>
      <c r="AN167" s="32"/>
      <c r="AO167" s="32"/>
      <c r="AP167" s="32"/>
      <c r="AQ167" s="32"/>
      <c r="AR167" s="32"/>
      <c r="AS167" s="32"/>
      <c r="AT167" s="32"/>
      <c r="AU167" s="32"/>
      <c r="AV167" s="32"/>
      <c r="AW167" s="32"/>
      <c r="AX167" s="32"/>
      <c r="AY167" s="32"/>
      <c r="AZ167" s="32"/>
      <c r="BA167" s="32"/>
      <c r="BB167" s="32"/>
      <c r="BC167" s="32"/>
      <c r="BD167" s="32"/>
      <c r="BE167" s="32"/>
      <c r="BF167" s="32"/>
      <c r="BG167" s="32"/>
      <c r="BH167" s="32"/>
      <c r="BI167" s="32"/>
      <c r="BJ167" s="32"/>
      <c r="BK167" s="32"/>
      <c r="BL167" s="32"/>
      <c r="BM167" s="32"/>
      <c r="BN167" s="32"/>
      <c r="BO167" s="32"/>
      <c r="BP167" s="32"/>
      <c r="BQ167" s="32"/>
      <c r="BR167" s="32"/>
      <c r="BS167" s="32"/>
      <c r="BT167" s="32"/>
      <c r="BU167" s="32"/>
      <c r="BV167" s="32"/>
      <c r="BW167" s="32"/>
      <c r="BX167" s="32"/>
      <c r="BY167" s="32"/>
      <c r="BZ167" s="32"/>
      <c r="CA167" s="32"/>
      <c r="CB167" s="32"/>
      <c r="CC167" s="32"/>
      <c r="CD167" s="32"/>
      <c r="CE167" s="32"/>
      <c r="CF167" s="32"/>
      <c r="CG167" s="32"/>
      <c r="CH167" s="32"/>
      <c r="CI167" s="32"/>
      <c r="CJ167" s="32"/>
      <c r="CK167" s="32"/>
      <c r="CL167" s="32"/>
      <c r="CM167" s="32"/>
      <c r="CN167" s="32"/>
      <c r="CO167" s="32"/>
      <c r="CP167" s="32"/>
      <c r="CQ167" s="32"/>
      <c r="CR167" s="32"/>
      <c r="CS167" s="32"/>
      <c r="CT167" s="32"/>
      <c r="CU167" s="32"/>
      <c r="CV167" s="32"/>
      <c r="CW167" s="32"/>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row>
    <row r="168" spans="1:131">
      <c r="A168" s="11" t="s">
        <v>532</v>
      </c>
      <c r="B168" s="11"/>
      <c r="C168" s="166">
        <v>290.43128963945617</v>
      </c>
      <c r="D168" s="166">
        <v>113.40810404906972</v>
      </c>
      <c r="E168" s="166">
        <v>22.681620809813946</v>
      </c>
      <c r="F168" s="166">
        <v>136.08972485888367</v>
      </c>
      <c r="G168" s="166">
        <v>59.304435339024906</v>
      </c>
      <c r="H168" s="166">
        <v>191.51468819831331</v>
      </c>
      <c r="I168" s="166">
        <v>4104.7436426142685</v>
      </c>
      <c r="J168" s="166">
        <v>11.463916464209712</v>
      </c>
      <c r="K168" s="166">
        <v>1.7725638030246098</v>
      </c>
      <c r="L168" s="382">
        <v>1.6350590869343675</v>
      </c>
      <c r="M168" s="166">
        <v>2.7591045615873551</v>
      </c>
      <c r="N168" s="166">
        <v>6.7790947150093692E-2</v>
      </c>
      <c r="O168" s="166">
        <v>11.895329703092875</v>
      </c>
      <c r="P168" s="166">
        <v>8.7937710266294395</v>
      </c>
      <c r="Q168" s="166">
        <v>8.1918033038118416</v>
      </c>
      <c r="R168" s="166">
        <v>4.7026980076409064</v>
      </c>
      <c r="S168" s="166">
        <v>3.7776252178686383</v>
      </c>
      <c r="T168" s="166">
        <v>2.9303321909944207</v>
      </c>
      <c r="U168" s="166">
        <v>3.0577787639772693</v>
      </c>
      <c r="V168" s="166">
        <v>4.4506979499717669</v>
      </c>
      <c r="W168" s="166">
        <v>5.6231075063172717</v>
      </c>
      <c r="X168" s="166">
        <v>9.1734650498573451</v>
      </c>
      <c r="Y168" s="166">
        <v>10.623119080767259</v>
      </c>
      <c r="Z168" s="166">
        <v>12.513820064801781</v>
      </c>
      <c r="AA168" s="166"/>
      <c r="AB168" s="166">
        <v>19.714638601329867</v>
      </c>
      <c r="AC168" s="166">
        <v>17.100797029986953</v>
      </c>
      <c r="AD168" s="166">
        <v>17.239453713952273</v>
      </c>
      <c r="AE168" s="166">
        <v>16.416269546846642</v>
      </c>
      <c r="AF168" s="166">
        <v>15.120219889167776</v>
      </c>
      <c r="AG168" s="166">
        <v>13.738124097901013</v>
      </c>
      <c r="AH168" s="166">
        <v>15.001677054811195</v>
      </c>
      <c r="AI168" s="166">
        <v>16.198863821389601</v>
      </c>
      <c r="AJ168" s="166">
        <v>17.460705157016573</v>
      </c>
      <c r="AK168" s="166">
        <v>18.020436892918596</v>
      </c>
      <c r="AL168" s="166">
        <v>18.890450459089703</v>
      </c>
      <c r="AM168" s="32">
        <v>19.796105509315243</v>
      </c>
      <c r="AN168" s="32"/>
      <c r="AO168" s="32"/>
      <c r="AP168" s="32"/>
      <c r="AQ168" s="32"/>
      <c r="AR168" s="32"/>
      <c r="AS168" s="32"/>
      <c r="AT168" s="32"/>
      <c r="AU168" s="32"/>
      <c r="AV168" s="32"/>
      <c r="AW168" s="32"/>
      <c r="AX168" s="32"/>
      <c r="AY168" s="32"/>
      <c r="AZ168" s="32"/>
      <c r="BA168" s="32"/>
      <c r="BB168" s="32"/>
      <c r="BC168" s="32"/>
      <c r="BD168" s="32"/>
      <c r="BE168" s="32"/>
      <c r="BF168" s="32"/>
      <c r="BG168" s="32"/>
      <c r="BH168" s="32"/>
      <c r="BI168" s="32"/>
      <c r="BJ168" s="32"/>
      <c r="BK168" s="32"/>
      <c r="BL168" s="32"/>
      <c r="BM168" s="32"/>
      <c r="BN168" s="32"/>
      <c r="BO168" s="32"/>
      <c r="BP168" s="32"/>
      <c r="BQ168" s="32"/>
      <c r="BR168" s="32"/>
      <c r="BS168" s="32"/>
      <c r="BT168" s="32"/>
      <c r="BU168" s="32"/>
      <c r="BV168" s="32"/>
      <c r="BW168" s="32"/>
      <c r="BX168" s="32"/>
      <c r="BY168" s="32"/>
      <c r="BZ168" s="32"/>
      <c r="CA168" s="32"/>
      <c r="CB168" s="32"/>
      <c r="CC168" s="32"/>
      <c r="CD168" s="32"/>
      <c r="CE168" s="32"/>
      <c r="CF168" s="32"/>
      <c r="CG168" s="32"/>
      <c r="CH168" s="32"/>
      <c r="CI168" s="32"/>
      <c r="CJ168" s="32"/>
      <c r="CK168" s="32"/>
      <c r="CL168" s="32"/>
      <c r="CM168" s="32"/>
      <c r="CN168" s="32"/>
      <c r="CO168" s="32"/>
      <c r="CP168" s="32"/>
      <c r="CQ168" s="32"/>
      <c r="CR168" s="32"/>
      <c r="CS168" s="32"/>
      <c r="CT168" s="32"/>
      <c r="CU168" s="32"/>
      <c r="CV168" s="32"/>
      <c r="CW168" s="32"/>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row>
    <row r="169" spans="1:131">
      <c r="A169" s="11" t="s">
        <v>870</v>
      </c>
      <c r="B169" s="11"/>
      <c r="C169" s="166">
        <v>3130.2038994474719</v>
      </c>
      <c r="D169" s="166">
        <v>972.0694632777404</v>
      </c>
      <c r="E169" s="166">
        <v>194.4138926555481</v>
      </c>
      <c r="F169" s="166">
        <v>1166.4833559332885</v>
      </c>
      <c r="G169" s="166">
        <v>1023.3910178402881</v>
      </c>
      <c r="H169" s="166">
        <v>2064.1027505818233</v>
      </c>
      <c r="I169" s="166">
        <v>3264.4500250540573</v>
      </c>
      <c r="J169" s="166">
        <v>6.4041665944702748</v>
      </c>
      <c r="K169" s="166">
        <v>10.80445247570561</v>
      </c>
      <c r="L169" s="382">
        <v>1.5832117150829619</v>
      </c>
      <c r="M169" s="166">
        <v>29.73701583044155</v>
      </c>
      <c r="N169" s="166">
        <v>0.73063576372878758</v>
      </c>
      <c r="O169" s="166">
        <v>128.20522013333431</v>
      </c>
      <c r="P169" s="166">
        <v>94.777309953672855</v>
      </c>
      <c r="Q169" s="166">
        <v>88.289435607749851</v>
      </c>
      <c r="R169" s="166">
        <v>50.684634082351991</v>
      </c>
      <c r="S169" s="166">
        <v>40.714405125917544</v>
      </c>
      <c r="T169" s="166">
        <v>31.582469169606536</v>
      </c>
      <c r="U169" s="166">
        <v>32.956060011755014</v>
      </c>
      <c r="V169" s="166">
        <v>47.968633460806828</v>
      </c>
      <c r="W169" s="166">
        <v>60.604603123641709</v>
      </c>
      <c r="X169" s="166">
        <v>98.869567759573613</v>
      </c>
      <c r="Y169" s="166">
        <v>114.49361675938046</v>
      </c>
      <c r="Z169" s="166">
        <v>134.8711718095303</v>
      </c>
      <c r="AA169" s="166"/>
      <c r="AB169" s="166">
        <v>212.479993814333</v>
      </c>
      <c r="AC169" s="166">
        <v>184.30859021208164</v>
      </c>
      <c r="AD169" s="166">
        <v>185.80300113926339</v>
      </c>
      <c r="AE169" s="166">
        <v>176.93090511601383</v>
      </c>
      <c r="AF169" s="166">
        <v>162.96236991658603</v>
      </c>
      <c r="AG169" s="166">
        <v>148.06644861071092</v>
      </c>
      <c r="AH169" s="166">
        <v>161.68474159074287</v>
      </c>
      <c r="AI169" s="166">
        <v>174.58775451942125</v>
      </c>
      <c r="AJ169" s="166">
        <v>188.18760002562308</v>
      </c>
      <c r="AK169" s="166">
        <v>194.22026429034486</v>
      </c>
      <c r="AL169" s="166">
        <v>203.59707717018901</v>
      </c>
      <c r="AM169" s="32">
        <v>213.35802604484209</v>
      </c>
      <c r="AN169" s="32"/>
      <c r="AO169" s="32"/>
      <c r="AP169" s="32"/>
      <c r="AQ169" s="32"/>
      <c r="AR169" s="32"/>
      <c r="AS169" s="32"/>
      <c r="AT169" s="32"/>
      <c r="AU169" s="32"/>
      <c r="AV169" s="32"/>
      <c r="AW169" s="32"/>
      <c r="AX169" s="32"/>
      <c r="AY169" s="32"/>
      <c r="AZ169" s="32"/>
      <c r="BA169" s="32"/>
      <c r="BB169" s="32"/>
      <c r="BC169" s="32"/>
      <c r="BD169" s="32"/>
      <c r="BE169" s="32"/>
      <c r="BF169" s="32"/>
      <c r="BG169" s="32"/>
      <c r="BH169" s="32"/>
      <c r="BI169" s="32"/>
      <c r="BJ169" s="32"/>
      <c r="BK169" s="32"/>
      <c r="BL169" s="32"/>
      <c r="BM169" s="32"/>
      <c r="BN169" s="32"/>
      <c r="BO169" s="32"/>
      <c r="BP169" s="32"/>
      <c r="BQ169" s="32"/>
      <c r="BR169" s="32"/>
      <c r="BS169" s="32"/>
      <c r="BT169" s="32"/>
      <c r="BU169" s="32"/>
      <c r="BV169" s="32"/>
      <c r="BW169" s="32"/>
      <c r="BX169" s="32"/>
      <c r="BY169" s="32"/>
      <c r="BZ169" s="32"/>
      <c r="CA169" s="32"/>
      <c r="CB169" s="32"/>
      <c r="CC169" s="32"/>
      <c r="CD169" s="32"/>
      <c r="CE169" s="32"/>
      <c r="CF169" s="32"/>
      <c r="CG169" s="32"/>
      <c r="CH169" s="32"/>
      <c r="CI169" s="32"/>
      <c r="CJ169" s="32"/>
      <c r="CK169" s="32"/>
      <c r="CL169" s="32"/>
      <c r="CM169" s="32"/>
      <c r="CN169" s="32"/>
      <c r="CO169" s="32"/>
      <c r="CP169" s="32"/>
      <c r="CQ169" s="32"/>
      <c r="CR169" s="32"/>
      <c r="CS169" s="32"/>
      <c r="CT169" s="32"/>
      <c r="CU169" s="32"/>
      <c r="CV169" s="32"/>
      <c r="CW169" s="32"/>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row>
    <row r="170" spans="1:131">
      <c r="A170" s="11" t="s">
        <v>839</v>
      </c>
      <c r="B170" s="11"/>
      <c r="C170" s="166">
        <v>424.12188328301545</v>
      </c>
      <c r="D170" s="166">
        <v>162.01157721295672</v>
      </c>
      <c r="E170" s="166">
        <v>32.402315442591345</v>
      </c>
      <c r="F170" s="166">
        <v>194.41389265554807</v>
      </c>
      <c r="G170" s="166">
        <v>142.7263292620346</v>
      </c>
      <c r="H170" s="166">
        <v>279.67224308325115</v>
      </c>
      <c r="I170" s="166">
        <v>4015.5100851661305</v>
      </c>
      <c r="J170" s="166">
        <v>10.926604896872652</v>
      </c>
      <c r="K170" s="166">
        <v>11.509459523410735</v>
      </c>
      <c r="L170" s="382">
        <v>1.4604644615442854</v>
      </c>
      <c r="M170" s="166">
        <v>4.0291685661275602</v>
      </c>
      <c r="N170" s="166">
        <v>9.8996303774740002E-2</v>
      </c>
      <c r="O170" s="166">
        <v>17.370957661659439</v>
      </c>
      <c r="P170" s="166">
        <v>12.841697372220771</v>
      </c>
      <c r="Q170" s="166">
        <v>11.962633396042692</v>
      </c>
      <c r="R170" s="166">
        <v>6.8674320111581491</v>
      </c>
      <c r="S170" s="166">
        <v>5.5165320641891231</v>
      </c>
      <c r="T170" s="166">
        <v>4.2792152630394726</v>
      </c>
      <c r="U170" s="166">
        <v>4.46532771882395</v>
      </c>
      <c r="V170" s="166">
        <v>6.4994319269428988</v>
      </c>
      <c r="W170" s="166">
        <v>8.2115220727172868</v>
      </c>
      <c r="X170" s="166">
        <v>13.396171183918664</v>
      </c>
      <c r="Y170" s="166">
        <v>15.513126276675999</v>
      </c>
      <c r="Z170" s="166">
        <v>18.274149935901015</v>
      </c>
      <c r="AA170" s="166"/>
      <c r="AB170" s="166">
        <v>28.789630973370599</v>
      </c>
      <c r="AC170" s="166">
        <v>24.972592488234923</v>
      </c>
      <c r="AD170" s="166">
        <v>25.175075264819196</v>
      </c>
      <c r="AE170" s="166">
        <v>23.972965052537958</v>
      </c>
      <c r="AF170" s="166">
        <v>22.080321107991043</v>
      </c>
      <c r="AG170" s="166">
        <v>20.062022492172908</v>
      </c>
      <c r="AH170" s="166">
        <v>21.907210937184605</v>
      </c>
      <c r="AI170" s="166">
        <v>23.655483675680056</v>
      </c>
      <c r="AJ170" s="166">
        <v>25.498172610246431</v>
      </c>
      <c r="AK170" s="166">
        <v>26.315558637277952</v>
      </c>
      <c r="AL170" s="166">
        <v>27.586054638670678</v>
      </c>
      <c r="AM170" s="32">
        <v>28.908598521539727</v>
      </c>
      <c r="AN170" s="32"/>
      <c r="AO170" s="32"/>
      <c r="AP170" s="32"/>
      <c r="AQ170" s="32"/>
      <c r="AR170" s="32"/>
      <c r="AS170" s="32"/>
      <c r="AT170" s="32"/>
      <c r="AU170" s="32"/>
      <c r="AV170" s="32"/>
      <c r="AW170" s="32"/>
      <c r="AX170" s="32"/>
      <c r="AY170" s="32"/>
      <c r="AZ170" s="32"/>
      <c r="BA170" s="32"/>
      <c r="BB170" s="32"/>
      <c r="BC170" s="32"/>
      <c r="BD170" s="32"/>
      <c r="BE170" s="32"/>
      <c r="BF170" s="32"/>
      <c r="BG170" s="32"/>
      <c r="BH170" s="32"/>
      <c r="BI170" s="32"/>
      <c r="BJ170" s="32"/>
      <c r="BK170" s="32"/>
      <c r="BL170" s="32"/>
      <c r="BM170" s="32"/>
      <c r="BN170" s="32"/>
      <c r="BO170" s="32"/>
      <c r="BP170" s="32"/>
      <c r="BQ170" s="32"/>
      <c r="BR170" s="32"/>
      <c r="BS170" s="32"/>
      <c r="BT170" s="32"/>
      <c r="BU170" s="32"/>
      <c r="BV170" s="32"/>
      <c r="BW170" s="32"/>
      <c r="BX170" s="32"/>
      <c r="BY170" s="32"/>
      <c r="BZ170" s="32"/>
      <c r="CA170" s="32"/>
      <c r="CB170" s="32"/>
      <c r="CC170" s="32"/>
      <c r="CD170" s="32"/>
      <c r="CE170" s="32"/>
      <c r="CF170" s="32"/>
      <c r="CG170" s="32"/>
      <c r="CH170" s="32"/>
      <c r="CI170" s="32"/>
      <c r="CJ170" s="32"/>
      <c r="CK170" s="32"/>
      <c r="CL170" s="32"/>
      <c r="CM170" s="32"/>
      <c r="CN170" s="32"/>
      <c r="CO170" s="32"/>
      <c r="CP170" s="32"/>
      <c r="CQ170" s="32"/>
      <c r="CR170" s="32"/>
      <c r="CS170" s="32"/>
      <c r="CT170" s="32"/>
      <c r="CU170" s="32"/>
      <c r="CV170" s="32"/>
      <c r="CW170" s="32"/>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row>
    <row r="171" spans="1:131">
      <c r="A171" s="11" t="s">
        <v>869</v>
      </c>
      <c r="B171" s="11"/>
      <c r="C171" s="166">
        <v>3130.2038994474719</v>
      </c>
      <c r="D171" s="166">
        <v>972.0694632777404</v>
      </c>
      <c r="E171" s="166">
        <v>194.4138926555481</v>
      </c>
      <c r="F171" s="166">
        <v>1166.4833559332885</v>
      </c>
      <c r="G171" s="166">
        <v>1611.2288906623328</v>
      </c>
      <c r="H171" s="166">
        <v>2064.1027505818233</v>
      </c>
      <c r="I171" s="166">
        <v>3264.4500250540573</v>
      </c>
      <c r="J171" s="166">
        <v>6.4041665944702748</v>
      </c>
      <c r="K171" s="166">
        <v>24.622766228154447</v>
      </c>
      <c r="L171" s="382">
        <v>1.2537891447270564</v>
      </c>
      <c r="M171" s="166">
        <v>29.73701583044155</v>
      </c>
      <c r="N171" s="166">
        <v>0.73063576372878758</v>
      </c>
      <c r="O171" s="166">
        <v>128.20522013333431</v>
      </c>
      <c r="P171" s="166">
        <v>94.777309953672855</v>
      </c>
      <c r="Q171" s="166">
        <v>88.289435607749851</v>
      </c>
      <c r="R171" s="166">
        <v>50.684634082351991</v>
      </c>
      <c r="S171" s="166">
        <v>40.714405125917544</v>
      </c>
      <c r="T171" s="166">
        <v>31.582469169606536</v>
      </c>
      <c r="U171" s="166">
        <v>32.956060011755014</v>
      </c>
      <c r="V171" s="166">
        <v>47.968633460806828</v>
      </c>
      <c r="W171" s="166">
        <v>60.604603123641709</v>
      </c>
      <c r="X171" s="166">
        <v>98.869567759573613</v>
      </c>
      <c r="Y171" s="166">
        <v>114.49361675938046</v>
      </c>
      <c r="Z171" s="166">
        <v>134.8711718095303</v>
      </c>
      <c r="AA171" s="166"/>
      <c r="AB171" s="166">
        <v>212.479993814333</v>
      </c>
      <c r="AC171" s="166">
        <v>184.30859021208164</v>
      </c>
      <c r="AD171" s="166">
        <v>185.80300113926339</v>
      </c>
      <c r="AE171" s="166">
        <v>176.93090511601383</v>
      </c>
      <c r="AF171" s="166">
        <v>162.96236991658603</v>
      </c>
      <c r="AG171" s="166">
        <v>148.06644861071092</v>
      </c>
      <c r="AH171" s="166">
        <v>161.68474159074287</v>
      </c>
      <c r="AI171" s="166">
        <v>174.58775451942125</v>
      </c>
      <c r="AJ171" s="166">
        <v>188.18760002562308</v>
      </c>
      <c r="AK171" s="166">
        <v>194.22026429034486</v>
      </c>
      <c r="AL171" s="166">
        <v>203.59707717018901</v>
      </c>
      <c r="AM171" s="32">
        <v>213.35802604484209</v>
      </c>
      <c r="AN171" s="32"/>
      <c r="AO171" s="32"/>
      <c r="AP171" s="32"/>
      <c r="AQ171" s="32"/>
      <c r="AR171" s="32"/>
      <c r="AS171" s="32"/>
      <c r="AT171" s="32"/>
      <c r="AU171" s="32"/>
      <c r="AV171" s="32"/>
      <c r="AW171" s="32"/>
      <c r="AX171" s="32"/>
      <c r="AY171" s="32"/>
      <c r="AZ171" s="32"/>
      <c r="BA171" s="32"/>
      <c r="BB171" s="32"/>
      <c r="BC171" s="32"/>
      <c r="BD171" s="32"/>
      <c r="BE171" s="32"/>
      <c r="BF171" s="32"/>
      <c r="BG171" s="32"/>
      <c r="BH171" s="32"/>
      <c r="BI171" s="32"/>
      <c r="BJ171" s="32"/>
      <c r="BK171" s="32"/>
      <c r="BL171" s="32"/>
      <c r="BM171" s="32"/>
      <c r="BN171" s="32"/>
      <c r="BO171" s="32"/>
      <c r="BP171" s="32"/>
      <c r="BQ171" s="32"/>
      <c r="BR171" s="32"/>
      <c r="BS171" s="32"/>
      <c r="BT171" s="32"/>
      <c r="BU171" s="32"/>
      <c r="BV171" s="32"/>
      <c r="BW171" s="32"/>
      <c r="BX171" s="32"/>
      <c r="BY171" s="32"/>
      <c r="BZ171" s="32"/>
      <c r="CA171" s="32"/>
      <c r="CB171" s="32"/>
      <c r="CC171" s="32"/>
      <c r="CD171" s="32"/>
      <c r="CE171" s="32"/>
      <c r="CF171" s="32"/>
      <c r="CG171" s="32"/>
      <c r="CH171" s="32"/>
      <c r="CI171" s="32"/>
      <c r="CJ171" s="32"/>
      <c r="CK171" s="32"/>
      <c r="CL171" s="32"/>
      <c r="CM171" s="32"/>
      <c r="CN171" s="32"/>
      <c r="CO171" s="32"/>
      <c r="CP171" s="32"/>
      <c r="CQ171" s="32"/>
      <c r="CR171" s="32"/>
      <c r="CS171" s="32"/>
      <c r="CT171" s="32"/>
      <c r="CU171" s="32"/>
      <c r="CV171" s="32"/>
      <c r="CW171" s="32"/>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row>
    <row r="172" spans="1:131">
      <c r="A172" s="11"/>
      <c r="B172" s="11"/>
      <c r="C172" s="32"/>
      <c r="D172" s="32"/>
      <c r="E172" s="32"/>
      <c r="F172" s="32"/>
      <c r="G172" s="32"/>
      <c r="H172" s="32"/>
      <c r="I172" s="32"/>
      <c r="J172" s="32"/>
      <c r="K172" s="32"/>
      <c r="L172" s="32"/>
      <c r="M172" s="32"/>
      <c r="N172" s="32"/>
      <c r="O172" s="32"/>
      <c r="P172" s="32"/>
      <c r="Q172" s="32"/>
      <c r="R172" s="32"/>
      <c r="S172" s="32"/>
      <c r="T172" s="32"/>
      <c r="U172" s="32"/>
      <c r="V172" s="32"/>
      <c r="W172" s="32"/>
      <c r="X172" s="32"/>
      <c r="Y172" s="32"/>
      <c r="Z172" s="32"/>
      <c r="AA172" s="32"/>
      <c r="AB172" s="32"/>
      <c r="AC172" s="32"/>
      <c r="AD172" s="32"/>
      <c r="AE172" s="32"/>
      <c r="AF172" s="32"/>
      <c r="AG172" s="32"/>
      <c r="AH172" s="32"/>
      <c r="AI172" s="32"/>
      <c r="AJ172" s="32"/>
      <c r="AK172" s="32"/>
      <c r="AL172" s="32"/>
      <c r="AM172" s="32"/>
      <c r="AN172" s="32"/>
      <c r="AO172" s="32"/>
      <c r="AP172" s="32"/>
      <c r="AQ172" s="32"/>
      <c r="AR172" s="32"/>
      <c r="AS172" s="32"/>
      <c r="AT172" s="32"/>
      <c r="AU172" s="32"/>
      <c r="AV172" s="32"/>
      <c r="AW172" s="32"/>
      <c r="AX172" s="32"/>
      <c r="AY172" s="32"/>
      <c r="AZ172" s="32"/>
      <c r="BA172" s="32"/>
      <c r="BB172" s="32"/>
      <c r="BC172" s="32"/>
      <c r="BD172" s="32"/>
      <c r="BE172" s="32"/>
      <c r="BF172" s="32"/>
      <c r="BG172" s="32"/>
      <c r="BH172" s="32"/>
      <c r="BI172" s="32"/>
      <c r="BJ172" s="32"/>
      <c r="BK172" s="32"/>
      <c r="BL172" s="32"/>
      <c r="BM172" s="32"/>
      <c r="BN172" s="32"/>
      <c r="BO172" s="32"/>
      <c r="BP172" s="32"/>
      <c r="BQ172" s="32"/>
      <c r="BR172" s="32"/>
      <c r="BS172" s="32"/>
      <c r="BT172" s="32"/>
      <c r="BU172" s="32"/>
      <c r="BV172" s="32"/>
      <c r="BW172" s="32"/>
      <c r="BX172" s="32"/>
      <c r="BY172" s="32"/>
      <c r="BZ172" s="32"/>
      <c r="CA172" s="32"/>
      <c r="CB172" s="32"/>
      <c r="CC172" s="32"/>
      <c r="CD172" s="32"/>
      <c r="CE172" s="32"/>
      <c r="CF172" s="32"/>
      <c r="CG172" s="32"/>
      <c r="CH172" s="32"/>
      <c r="CI172" s="32"/>
      <c r="CJ172" s="32"/>
      <c r="CK172" s="32"/>
      <c r="CL172" s="32"/>
      <c r="CM172" s="32"/>
      <c r="CN172" s="32"/>
      <c r="CO172" s="32"/>
      <c r="CP172" s="32"/>
      <c r="CQ172" s="32"/>
      <c r="CR172" s="32"/>
      <c r="CS172" s="32"/>
      <c r="CT172" s="32"/>
      <c r="CU172" s="32"/>
      <c r="CV172" s="32"/>
      <c r="CW172" s="32"/>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row>
  </sheetData>
  <mergeCells count="3">
    <mergeCell ref="I6:N6"/>
    <mergeCell ref="O6:P6"/>
    <mergeCell ref="R6:T6"/>
  </mergeCell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dimension ref="A1:EA14"/>
  <sheetViews>
    <sheetView workbookViewId="0">
      <selection sqref="A1:EA14"/>
    </sheetView>
  </sheetViews>
  <sheetFormatPr defaultRowHeight="12.75"/>
  <sheetData>
    <row r="1" spans="1:131" ht="13.5" thickBot="1">
      <c r="A1" s="367" t="s">
        <v>661</v>
      </c>
      <c r="B1" s="369"/>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32"/>
      <c r="CU1" s="32"/>
      <c r="CV1" s="32"/>
      <c r="CW1" s="32"/>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row>
    <row r="2" spans="1:131" ht="13.5" thickBot="1">
      <c r="A2" s="395"/>
      <c r="B2" s="396"/>
      <c r="C2" s="397"/>
      <c r="D2" s="397"/>
      <c r="E2" s="397"/>
      <c r="F2" s="397"/>
      <c r="G2" s="397"/>
      <c r="H2" s="397"/>
      <c r="I2" s="397"/>
      <c r="J2" s="397"/>
      <c r="K2" s="397"/>
      <c r="L2" s="397"/>
      <c r="M2" s="397"/>
      <c r="N2" s="397"/>
      <c r="O2" s="398" t="s">
        <v>956</v>
      </c>
      <c r="P2" s="399"/>
      <c r="Q2" s="399"/>
      <c r="R2" s="399"/>
      <c r="S2" s="399"/>
      <c r="T2" s="399"/>
      <c r="U2" s="399"/>
      <c r="V2" s="399"/>
      <c r="W2" s="399"/>
      <c r="X2" s="399"/>
      <c r="Y2" s="399"/>
      <c r="Z2" s="387"/>
      <c r="AA2" s="397"/>
      <c r="AB2" s="398" t="s">
        <v>957</v>
      </c>
      <c r="AC2" s="399"/>
      <c r="AD2" s="399"/>
      <c r="AE2" s="399"/>
      <c r="AF2" s="399"/>
      <c r="AG2" s="399"/>
      <c r="AH2" s="399"/>
      <c r="AI2" s="399"/>
      <c r="AJ2" s="399"/>
      <c r="AK2" s="399"/>
      <c r="AL2" s="399"/>
      <c r="AM2" s="387"/>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row>
    <row r="3" spans="1:131" ht="191.25">
      <c r="A3" s="378" t="s">
        <v>308</v>
      </c>
      <c r="B3" s="379" t="s">
        <v>309</v>
      </c>
      <c r="C3" s="380" t="s">
        <v>662</v>
      </c>
      <c r="D3" s="380" t="s">
        <v>616</v>
      </c>
      <c r="E3" s="380" t="s">
        <v>617</v>
      </c>
      <c r="F3" s="380" t="s">
        <v>618</v>
      </c>
      <c r="G3" s="380" t="s">
        <v>619</v>
      </c>
      <c r="H3" s="380" t="s">
        <v>620</v>
      </c>
      <c r="I3" s="380" t="s">
        <v>621</v>
      </c>
      <c r="J3" s="380" t="s">
        <v>622</v>
      </c>
      <c r="K3" s="380" t="s">
        <v>372</v>
      </c>
      <c r="L3" s="380" t="s">
        <v>371</v>
      </c>
      <c r="M3" s="380" t="s">
        <v>623</v>
      </c>
      <c r="N3" s="380" t="s">
        <v>958</v>
      </c>
      <c r="O3" s="380" t="s">
        <v>624</v>
      </c>
      <c r="P3" s="380" t="s">
        <v>625</v>
      </c>
      <c r="Q3" s="380" t="s">
        <v>626</v>
      </c>
      <c r="R3" s="380" t="s">
        <v>627</v>
      </c>
      <c r="S3" s="380" t="s">
        <v>628</v>
      </c>
      <c r="T3" s="380" t="s">
        <v>629</v>
      </c>
      <c r="U3" s="380" t="s">
        <v>630</v>
      </c>
      <c r="V3" s="380" t="s">
        <v>631</v>
      </c>
      <c r="W3" s="380" t="s">
        <v>632</v>
      </c>
      <c r="X3" s="380" t="s">
        <v>633</v>
      </c>
      <c r="Y3" s="380" t="s">
        <v>634</v>
      </c>
      <c r="Z3" s="380" t="s">
        <v>635</v>
      </c>
      <c r="AA3" s="380"/>
      <c r="AB3" s="380" t="s">
        <v>624</v>
      </c>
      <c r="AC3" s="380" t="s">
        <v>625</v>
      </c>
      <c r="AD3" s="380" t="s">
        <v>626</v>
      </c>
      <c r="AE3" s="380" t="s">
        <v>627</v>
      </c>
      <c r="AF3" s="380" t="s">
        <v>628</v>
      </c>
      <c r="AG3" s="380" t="s">
        <v>629</v>
      </c>
      <c r="AH3" s="380" t="s">
        <v>630</v>
      </c>
      <c r="AI3" s="380" t="s">
        <v>631</v>
      </c>
      <c r="AJ3" s="380" t="s">
        <v>632</v>
      </c>
      <c r="AK3" s="380" t="s">
        <v>633</v>
      </c>
      <c r="AL3" s="380" t="s">
        <v>634</v>
      </c>
      <c r="AM3" s="380" t="s">
        <v>635</v>
      </c>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row>
    <row r="4" spans="1:131">
      <c r="A4" s="11" t="s">
        <v>663</v>
      </c>
      <c r="B4" s="11"/>
      <c r="C4" s="166">
        <v>327.31145340319665</v>
      </c>
      <c r="D4" s="166">
        <v>-8.5918959509302795</v>
      </c>
      <c r="E4" s="166">
        <v>-1.7183791901860559</v>
      </c>
      <c r="F4" s="166">
        <v>-10.310275141116335</v>
      </c>
      <c r="G4" s="166">
        <v>-15.772332364840597</v>
      </c>
      <c r="H4" s="166">
        <v>215.83401368381348</v>
      </c>
      <c r="I4" s="166">
        <v>-275.93904611984783</v>
      </c>
      <c r="J4" s="166">
        <v>-14.913956936814882</v>
      </c>
      <c r="K4" s="166">
        <v>-16.798138858384949</v>
      </c>
      <c r="L4" s="382">
        <v>9999</v>
      </c>
      <c r="M4" s="166">
        <v>3.109467045598445</v>
      </c>
      <c r="N4" s="166">
        <v>7.6399321391375424E-2</v>
      </c>
      <c r="O4" s="166">
        <v>13.405847760628477</v>
      </c>
      <c r="P4" s="166">
        <v>9.9104403633442892</v>
      </c>
      <c r="Q4" s="166">
        <v>9.2320322947720754</v>
      </c>
      <c r="R4" s="166">
        <v>5.2998660086111791</v>
      </c>
      <c r="S4" s="166">
        <v>4.2573236582329095</v>
      </c>
      <c r="T4" s="166">
        <v>3.3024378660413309</v>
      </c>
      <c r="U4" s="166">
        <v>3.4460681308315255</v>
      </c>
      <c r="V4" s="166">
        <v>5.0158659436189756</v>
      </c>
      <c r="W4" s="166">
        <v>6.3371529039448617</v>
      </c>
      <c r="X4" s="166">
        <v>10.338349500632882</v>
      </c>
      <c r="Y4" s="166">
        <v>11.972086583086911</v>
      </c>
      <c r="Z4" s="166">
        <v>14.102876580967084</v>
      </c>
      <c r="AA4" s="166"/>
      <c r="AB4" s="166">
        <v>22.218084772927305</v>
      </c>
      <c r="AC4" s="166">
        <v>19.272326811572601</v>
      </c>
      <c r="AD4" s="166">
        <v>19.428590693501764</v>
      </c>
      <c r="AE4" s="166">
        <v>18.500875203589072</v>
      </c>
      <c r="AF4" s="166">
        <v>17.04024781160178</v>
      </c>
      <c r="AG4" s="166">
        <v>15.482647792872569</v>
      </c>
      <c r="AH4" s="166">
        <v>16.906651918914203</v>
      </c>
      <c r="AI4" s="166">
        <v>18.255862401883515</v>
      </c>
      <c r="AJ4" s="166">
        <v>19.677937557907565</v>
      </c>
      <c r="AK4" s="166">
        <v>20.308746339638414</v>
      </c>
      <c r="AL4" s="166">
        <v>21.289237818974108</v>
      </c>
      <c r="AM4" s="32">
        <v>22.309896685101304</v>
      </c>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c r="EA4" s="11"/>
    </row>
    <row r="5" spans="1:131">
      <c r="A5" s="11" t="s">
        <v>665</v>
      </c>
      <c r="B5" s="11"/>
      <c r="C5" s="166">
        <v>714.55317292247162</v>
      </c>
      <c r="D5" s="166">
        <v>2.0115772129567233</v>
      </c>
      <c r="E5" s="166">
        <v>0.40231544259134466</v>
      </c>
      <c r="F5" s="166">
        <v>2.413892655548068</v>
      </c>
      <c r="G5" s="166">
        <v>3.6926965318822242</v>
      </c>
      <c r="H5" s="166">
        <v>471.18693128156463</v>
      </c>
      <c r="I5" s="166">
        <v>29.592898700759623</v>
      </c>
      <c r="J5" s="166">
        <v>-13.074224745945859</v>
      </c>
      <c r="K5" s="166">
        <v>-12.872156914216788</v>
      </c>
      <c r="L5" s="382">
        <v>127.59968960714825</v>
      </c>
      <c r="M5" s="166">
        <v>6.788273127714926</v>
      </c>
      <c r="N5" s="166">
        <v>0.16678725092483371</v>
      </c>
      <c r="O5" s="166">
        <v>29.266287364752312</v>
      </c>
      <c r="P5" s="166">
        <v>21.635468398850211</v>
      </c>
      <c r="Q5" s="166">
        <v>20.154436699854532</v>
      </c>
      <c r="R5" s="166">
        <v>11.570130018799055</v>
      </c>
      <c r="S5" s="166">
        <v>9.2941572820577623</v>
      </c>
      <c r="T5" s="166">
        <v>7.2095474540338929</v>
      </c>
      <c r="U5" s="166">
        <v>7.5231064828012189</v>
      </c>
      <c r="V5" s="166">
        <v>10.950129876914666</v>
      </c>
      <c r="W5" s="166">
        <v>13.834629579034559</v>
      </c>
      <c r="X5" s="166">
        <v>22.569636233776009</v>
      </c>
      <c r="Y5" s="166">
        <v>26.136245357443258</v>
      </c>
      <c r="Z5" s="166">
        <v>30.787970000702796</v>
      </c>
      <c r="AA5" s="166"/>
      <c r="AB5" s="166">
        <v>48.504269574700466</v>
      </c>
      <c r="AC5" s="166">
        <v>42.07338951822188</v>
      </c>
      <c r="AD5" s="166">
        <v>42.414528978771465</v>
      </c>
      <c r="AE5" s="166">
        <v>40.389234599384601</v>
      </c>
      <c r="AF5" s="166">
        <v>37.200540997158818</v>
      </c>
      <c r="AG5" s="166">
        <v>33.800146590073922</v>
      </c>
      <c r="AH5" s="166">
        <v>36.908887991995798</v>
      </c>
      <c r="AI5" s="166">
        <v>39.854347497069654</v>
      </c>
      <c r="AJ5" s="166">
        <v>42.958877767263004</v>
      </c>
      <c r="AK5" s="166">
        <v>44.335995530196548</v>
      </c>
      <c r="AL5" s="166">
        <v>46.476505097760381</v>
      </c>
      <c r="AM5" s="32">
        <v>48.70470403085497</v>
      </c>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11"/>
      <c r="CY5" s="11"/>
      <c r="CZ5" s="11"/>
      <c r="DA5" s="11"/>
      <c r="DB5" s="11"/>
      <c r="DC5" s="11"/>
      <c r="DD5" s="11"/>
      <c r="DE5" s="11"/>
      <c r="DF5" s="11"/>
      <c r="DG5" s="11"/>
      <c r="DH5" s="11"/>
      <c r="DI5" s="11"/>
      <c r="DJ5" s="11"/>
      <c r="DK5" s="11"/>
      <c r="DL5" s="11"/>
      <c r="DM5" s="11"/>
      <c r="DN5" s="11"/>
      <c r="DO5" s="11"/>
      <c r="DP5" s="11"/>
      <c r="DQ5" s="11"/>
      <c r="DR5" s="11"/>
      <c r="DS5" s="11"/>
      <c r="DT5" s="11"/>
      <c r="DU5" s="11"/>
      <c r="DV5" s="11"/>
      <c r="DW5" s="11"/>
      <c r="DX5" s="11"/>
      <c r="DY5" s="11"/>
      <c r="DZ5" s="11"/>
      <c r="EA5" s="11"/>
    </row>
    <row r="6" spans="1:131">
      <c r="A6" s="11" t="s">
        <v>664</v>
      </c>
      <c r="B6" s="11"/>
      <c r="C6" s="166">
        <v>424.12188328301545</v>
      </c>
      <c r="D6" s="166">
        <v>2.0115772129567233</v>
      </c>
      <c r="E6" s="166">
        <v>0.40231544259134466</v>
      </c>
      <c r="F6" s="166">
        <v>2.413892655548068</v>
      </c>
      <c r="G6" s="166">
        <v>3.6926965318822242</v>
      </c>
      <c r="H6" s="166">
        <v>279.67224308325115</v>
      </c>
      <c r="I6" s="166">
        <v>49.857601071931967</v>
      </c>
      <c r="J6" s="166">
        <v>-12.952202725261527</v>
      </c>
      <c r="K6" s="166">
        <v>-12.611762356587549</v>
      </c>
      <c r="L6" s="382">
        <v>75.73658996037183</v>
      </c>
      <c r="M6" s="166">
        <v>4.0291685661275602</v>
      </c>
      <c r="N6" s="166">
        <v>9.8996303774740002E-2</v>
      </c>
      <c r="O6" s="166">
        <v>17.370957661659439</v>
      </c>
      <c r="P6" s="166">
        <v>12.841697372220771</v>
      </c>
      <c r="Q6" s="166">
        <v>11.962633396042692</v>
      </c>
      <c r="R6" s="166">
        <v>6.8674320111581491</v>
      </c>
      <c r="S6" s="166">
        <v>5.5165320641891231</v>
      </c>
      <c r="T6" s="166">
        <v>4.2792152630394726</v>
      </c>
      <c r="U6" s="166">
        <v>4.46532771882395</v>
      </c>
      <c r="V6" s="166">
        <v>6.4994319269428988</v>
      </c>
      <c r="W6" s="166">
        <v>8.2115220727172868</v>
      </c>
      <c r="X6" s="166">
        <v>13.396171183918664</v>
      </c>
      <c r="Y6" s="166">
        <v>15.513126276675999</v>
      </c>
      <c r="Z6" s="166">
        <v>18.274149935901015</v>
      </c>
      <c r="AA6" s="166"/>
      <c r="AB6" s="166">
        <v>28.789630973370599</v>
      </c>
      <c r="AC6" s="166">
        <v>24.972592488234923</v>
      </c>
      <c r="AD6" s="166">
        <v>25.175075264819196</v>
      </c>
      <c r="AE6" s="166">
        <v>23.972965052537958</v>
      </c>
      <c r="AF6" s="166">
        <v>22.080321107991043</v>
      </c>
      <c r="AG6" s="166">
        <v>20.062022492172908</v>
      </c>
      <c r="AH6" s="166">
        <v>21.907210937184605</v>
      </c>
      <c r="AI6" s="166">
        <v>23.655483675680056</v>
      </c>
      <c r="AJ6" s="166">
        <v>25.498172610246431</v>
      </c>
      <c r="AK6" s="166">
        <v>26.315558637277952</v>
      </c>
      <c r="AL6" s="166">
        <v>27.586054638670678</v>
      </c>
      <c r="AM6" s="32">
        <v>28.908598521539727</v>
      </c>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11"/>
      <c r="CY6" s="11"/>
      <c r="CZ6" s="11"/>
      <c r="DA6" s="11"/>
      <c r="DB6" s="11"/>
      <c r="DC6" s="11"/>
      <c r="DD6" s="11"/>
      <c r="DE6" s="11"/>
      <c r="DF6" s="11"/>
      <c r="DG6" s="11"/>
      <c r="DH6" s="11"/>
      <c r="DI6" s="11"/>
      <c r="DJ6" s="11"/>
      <c r="DK6" s="11"/>
      <c r="DL6" s="11"/>
      <c r="DM6" s="11"/>
      <c r="DN6" s="11"/>
      <c r="DO6" s="11"/>
      <c r="DP6" s="11"/>
      <c r="DQ6" s="11"/>
      <c r="DR6" s="11"/>
      <c r="DS6" s="11"/>
      <c r="DT6" s="11"/>
      <c r="DU6" s="11"/>
      <c r="DV6" s="11"/>
      <c r="DW6" s="11"/>
      <c r="DX6" s="11"/>
      <c r="DY6" s="11"/>
      <c r="DZ6" s="11"/>
      <c r="EA6" s="11"/>
    </row>
    <row r="7" spans="1:131">
      <c r="A7" s="11" t="s">
        <v>666</v>
      </c>
      <c r="B7" s="11"/>
      <c r="C7" s="166">
        <v>1235.4854860853059</v>
      </c>
      <c r="D7" s="166">
        <v>134.02315442591345</v>
      </c>
      <c r="E7" s="166">
        <v>26.804630885182689</v>
      </c>
      <c r="F7" s="166">
        <v>160.82778531109614</v>
      </c>
      <c r="G7" s="166">
        <v>246.02925224682076</v>
      </c>
      <c r="H7" s="166">
        <v>814.69740376425398</v>
      </c>
      <c r="I7" s="166">
        <v>1140.3220962062569</v>
      </c>
      <c r="J7" s="166">
        <v>-6.38607218242658</v>
      </c>
      <c r="K7" s="166">
        <v>1.4003368403310341</v>
      </c>
      <c r="L7" s="382">
        <v>3.3113843021680025</v>
      </c>
      <c r="M7" s="166">
        <v>11.737143214371596</v>
      </c>
      <c r="N7" s="166">
        <v>0.28838053708293826</v>
      </c>
      <c r="O7" s="166">
        <v>50.602354927442711</v>
      </c>
      <c r="P7" s="166">
        <v>37.408422779947465</v>
      </c>
      <c r="Q7" s="166">
        <v>34.847671197167841</v>
      </c>
      <c r="R7" s="166">
        <v>20.005128032504174</v>
      </c>
      <c r="S7" s="166">
        <v>16.069897752203097</v>
      </c>
      <c r="T7" s="166">
        <v>12.465540114071507</v>
      </c>
      <c r="U7" s="166">
        <v>13.007693789617592</v>
      </c>
      <c r="V7" s="166">
        <v>18.93312778718149</v>
      </c>
      <c r="W7" s="166">
        <v>23.920520820524271</v>
      </c>
      <c r="X7" s="166">
        <v>39.023629100980457</v>
      </c>
      <c r="Y7" s="166">
        <v>45.190411327708347</v>
      </c>
      <c r="Z7" s="166">
        <v>53.233393291537745</v>
      </c>
      <c r="AA7" s="166"/>
      <c r="AB7" s="166">
        <v>83.865446748514358</v>
      </c>
      <c r="AC7" s="166">
        <v>72.746247683119122</v>
      </c>
      <c r="AD7" s="166">
        <v>73.336088814908095</v>
      </c>
      <c r="AE7" s="166">
        <v>69.834289500871449</v>
      </c>
      <c r="AF7" s="166">
        <v>64.320935401539117</v>
      </c>
      <c r="AG7" s="166">
        <v>58.441543781547168</v>
      </c>
      <c r="AH7" s="166">
        <v>63.816657947450807</v>
      </c>
      <c r="AI7" s="166">
        <v>68.909452446546254</v>
      </c>
      <c r="AJ7" s="166">
        <v>74.277285429848305</v>
      </c>
      <c r="AK7" s="166">
        <v>76.658366465114042</v>
      </c>
      <c r="AL7" s="166">
        <v>80.359376556127629</v>
      </c>
      <c r="AM7" s="32">
        <v>84.212004388833122</v>
      </c>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11"/>
      <c r="CY7" s="11"/>
      <c r="CZ7" s="11"/>
      <c r="DA7" s="11"/>
      <c r="DB7" s="11"/>
      <c r="DC7" s="11"/>
      <c r="DD7" s="11"/>
      <c r="DE7" s="11"/>
      <c r="DF7" s="11"/>
      <c r="DG7" s="11"/>
      <c r="DH7" s="11"/>
      <c r="DI7" s="11"/>
      <c r="DJ7" s="11"/>
      <c r="DK7" s="11"/>
      <c r="DL7" s="11"/>
      <c r="DM7" s="11"/>
      <c r="DN7" s="11"/>
      <c r="DO7" s="11"/>
      <c r="DP7" s="11"/>
      <c r="DQ7" s="11"/>
      <c r="DR7" s="11"/>
      <c r="DS7" s="11"/>
      <c r="DT7" s="11"/>
      <c r="DU7" s="11"/>
      <c r="DV7" s="11"/>
      <c r="DW7" s="11"/>
      <c r="DX7" s="11"/>
      <c r="DY7" s="11"/>
      <c r="DZ7" s="11"/>
      <c r="EA7" s="11"/>
    </row>
    <row r="8" spans="1:131">
      <c r="A8" s="11" t="s">
        <v>667</v>
      </c>
      <c r="B8" s="11"/>
      <c r="C8" s="166">
        <v>3130.2038994474719</v>
      </c>
      <c r="D8" s="166">
        <v>532.0694632777404</v>
      </c>
      <c r="E8" s="166">
        <v>106.41389265554808</v>
      </c>
      <c r="F8" s="166">
        <v>638.48335593328852</v>
      </c>
      <c r="G8" s="166">
        <v>976.73161592351858</v>
      </c>
      <c r="H8" s="166">
        <v>2064.1027505818233</v>
      </c>
      <c r="I8" s="166">
        <v>1786.8210434990756</v>
      </c>
      <c r="J8" s="166">
        <v>-2.4932388965458538</v>
      </c>
      <c r="K8" s="166">
        <v>9.7076292103174033</v>
      </c>
      <c r="L8" s="382">
        <v>2.1132752507762067</v>
      </c>
      <c r="M8" s="166">
        <v>29.73701583044155</v>
      </c>
      <c r="N8" s="166">
        <v>0.73063576372878758</v>
      </c>
      <c r="O8" s="166">
        <v>128.20522013333431</v>
      </c>
      <c r="P8" s="166">
        <v>94.777309953672855</v>
      </c>
      <c r="Q8" s="166">
        <v>88.289435607749851</v>
      </c>
      <c r="R8" s="166">
        <v>50.684634082351991</v>
      </c>
      <c r="S8" s="166">
        <v>40.714405125917544</v>
      </c>
      <c r="T8" s="166">
        <v>31.582469169606536</v>
      </c>
      <c r="U8" s="166">
        <v>32.956060011755014</v>
      </c>
      <c r="V8" s="166">
        <v>47.968633460806828</v>
      </c>
      <c r="W8" s="166">
        <v>60.604603123641709</v>
      </c>
      <c r="X8" s="166">
        <v>98.869567759573613</v>
      </c>
      <c r="Y8" s="166">
        <v>114.49361675938046</v>
      </c>
      <c r="Z8" s="166">
        <v>134.8711718095303</v>
      </c>
      <c r="AA8" s="166"/>
      <c r="AB8" s="166">
        <v>212.479993814333</v>
      </c>
      <c r="AC8" s="166">
        <v>184.30859021208164</v>
      </c>
      <c r="AD8" s="166">
        <v>185.80300113926339</v>
      </c>
      <c r="AE8" s="166">
        <v>176.93090511601383</v>
      </c>
      <c r="AF8" s="166">
        <v>162.96236991658603</v>
      </c>
      <c r="AG8" s="166">
        <v>148.06644861071092</v>
      </c>
      <c r="AH8" s="166">
        <v>161.68474159074287</v>
      </c>
      <c r="AI8" s="166">
        <v>174.58775451942125</v>
      </c>
      <c r="AJ8" s="166">
        <v>188.18760002562308</v>
      </c>
      <c r="AK8" s="166">
        <v>194.22026429034486</v>
      </c>
      <c r="AL8" s="166">
        <v>203.59707717018901</v>
      </c>
      <c r="AM8" s="32">
        <v>213.35802604484209</v>
      </c>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11"/>
      <c r="CY8" s="11"/>
      <c r="CZ8" s="11"/>
      <c r="DA8" s="11"/>
      <c r="DB8" s="11"/>
      <c r="DC8" s="11"/>
      <c r="DD8" s="11"/>
      <c r="DE8" s="11"/>
      <c r="DF8" s="11"/>
      <c r="DG8" s="11"/>
      <c r="DH8" s="11"/>
      <c r="DI8" s="11"/>
      <c r="DJ8" s="11"/>
      <c r="DK8" s="11"/>
      <c r="DL8" s="11"/>
      <c r="DM8" s="11"/>
      <c r="DN8" s="11"/>
      <c r="DO8" s="11"/>
      <c r="DP8" s="11"/>
      <c r="DQ8" s="11"/>
      <c r="DR8" s="11"/>
      <c r="DS8" s="11"/>
      <c r="DT8" s="11"/>
      <c r="DU8" s="11"/>
      <c r="DV8" s="11"/>
      <c r="DW8" s="11"/>
      <c r="DX8" s="11"/>
      <c r="DY8" s="11"/>
      <c r="DZ8" s="11"/>
      <c r="EA8" s="11"/>
    </row>
    <row r="9" spans="1:131">
      <c r="A9" s="11" t="s">
        <v>670</v>
      </c>
      <c r="B9" s="11"/>
      <c r="C9" s="166">
        <v>714.55317292247162</v>
      </c>
      <c r="D9" s="166">
        <v>162.01157721295672</v>
      </c>
      <c r="E9" s="166">
        <v>32.402315442591345</v>
      </c>
      <c r="F9" s="166">
        <v>194.41389265554807</v>
      </c>
      <c r="G9" s="166">
        <v>297.40821552641307</v>
      </c>
      <c r="H9" s="166">
        <v>471.18693128156463</v>
      </c>
      <c r="I9" s="166">
        <v>2383.3995344211876</v>
      </c>
      <c r="J9" s="166">
        <v>1.0990030039660381</v>
      </c>
      <c r="K9" s="166">
        <v>17.37346063430973</v>
      </c>
      <c r="L9" s="382">
        <v>1.5843104079944896</v>
      </c>
      <c r="M9" s="166">
        <v>6.788273127714926</v>
      </c>
      <c r="N9" s="166">
        <v>0.16678725092483371</v>
      </c>
      <c r="O9" s="166">
        <v>29.266287364752312</v>
      </c>
      <c r="P9" s="166">
        <v>21.635468398850211</v>
      </c>
      <c r="Q9" s="166">
        <v>20.154436699854532</v>
      </c>
      <c r="R9" s="166">
        <v>11.570130018799055</v>
      </c>
      <c r="S9" s="166">
        <v>9.2941572820577623</v>
      </c>
      <c r="T9" s="166">
        <v>7.2095474540338929</v>
      </c>
      <c r="U9" s="166">
        <v>7.5231064828012189</v>
      </c>
      <c r="V9" s="166">
        <v>10.950129876914666</v>
      </c>
      <c r="W9" s="166">
        <v>13.834629579034559</v>
      </c>
      <c r="X9" s="166">
        <v>22.569636233776009</v>
      </c>
      <c r="Y9" s="166">
        <v>26.136245357443258</v>
      </c>
      <c r="Z9" s="166">
        <v>30.787970000702796</v>
      </c>
      <c r="AA9" s="166"/>
      <c r="AB9" s="166">
        <v>48.504269574700466</v>
      </c>
      <c r="AC9" s="166">
        <v>42.07338951822188</v>
      </c>
      <c r="AD9" s="166">
        <v>42.414528978771465</v>
      </c>
      <c r="AE9" s="166">
        <v>40.389234599384601</v>
      </c>
      <c r="AF9" s="166">
        <v>37.200540997158818</v>
      </c>
      <c r="AG9" s="166">
        <v>33.800146590073922</v>
      </c>
      <c r="AH9" s="166">
        <v>36.908887991995798</v>
      </c>
      <c r="AI9" s="166">
        <v>39.854347497069654</v>
      </c>
      <c r="AJ9" s="166">
        <v>42.958877767263004</v>
      </c>
      <c r="AK9" s="166">
        <v>44.335995530196548</v>
      </c>
      <c r="AL9" s="166">
        <v>46.476505097760381</v>
      </c>
      <c r="AM9" s="32">
        <v>48.70470403085497</v>
      </c>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2"/>
      <c r="CK9" s="32"/>
      <c r="CL9" s="32"/>
      <c r="CM9" s="32"/>
      <c r="CN9" s="32"/>
      <c r="CO9" s="32"/>
      <c r="CP9" s="32"/>
      <c r="CQ9" s="32"/>
      <c r="CR9" s="32"/>
      <c r="CS9" s="32"/>
      <c r="CT9" s="32"/>
      <c r="CU9" s="32"/>
      <c r="CV9" s="32"/>
      <c r="CW9" s="32"/>
      <c r="CX9" s="11"/>
      <c r="CY9" s="11"/>
      <c r="CZ9" s="11"/>
      <c r="DA9" s="11"/>
      <c r="DB9" s="11"/>
      <c r="DC9" s="11"/>
      <c r="DD9" s="11"/>
      <c r="DE9" s="11"/>
      <c r="DF9" s="11"/>
      <c r="DG9" s="11"/>
      <c r="DH9" s="11"/>
      <c r="DI9" s="11"/>
      <c r="DJ9" s="11"/>
      <c r="DK9" s="11"/>
      <c r="DL9" s="11"/>
      <c r="DM9" s="11"/>
      <c r="DN9" s="11"/>
      <c r="DO9" s="11"/>
      <c r="DP9" s="11"/>
      <c r="DQ9" s="11"/>
      <c r="DR9" s="11"/>
      <c r="DS9" s="11"/>
      <c r="DT9" s="11"/>
      <c r="DU9" s="11"/>
      <c r="DV9" s="11"/>
      <c r="DW9" s="11"/>
      <c r="DX9" s="11"/>
      <c r="DY9" s="11"/>
      <c r="DZ9" s="11"/>
      <c r="EA9" s="11"/>
    </row>
    <row r="10" spans="1:131">
      <c r="A10" s="11" t="s">
        <v>671</v>
      </c>
      <c r="B10" s="11"/>
      <c r="C10" s="166">
        <v>1235.4854860853059</v>
      </c>
      <c r="D10" s="166">
        <v>324.02315442591345</v>
      </c>
      <c r="E10" s="166">
        <v>64.804630885182689</v>
      </c>
      <c r="F10" s="166">
        <v>388.82778531109614</v>
      </c>
      <c r="G10" s="166">
        <v>594.81643105282615</v>
      </c>
      <c r="H10" s="166">
        <v>814.69740376425398</v>
      </c>
      <c r="I10" s="166">
        <v>2756.9173719051046</v>
      </c>
      <c r="J10" s="166">
        <v>3.3481059247307288</v>
      </c>
      <c r="K10" s="166">
        <v>22.173038258337233</v>
      </c>
      <c r="L10" s="382">
        <v>1.3696619011049143</v>
      </c>
      <c r="M10" s="166">
        <v>11.737143214371596</v>
      </c>
      <c r="N10" s="166">
        <v>0.28838053708293826</v>
      </c>
      <c r="O10" s="166">
        <v>50.602354927442711</v>
      </c>
      <c r="P10" s="166">
        <v>37.408422779947465</v>
      </c>
      <c r="Q10" s="166">
        <v>34.847671197167841</v>
      </c>
      <c r="R10" s="166">
        <v>20.005128032504174</v>
      </c>
      <c r="S10" s="166">
        <v>16.069897752203097</v>
      </c>
      <c r="T10" s="166">
        <v>12.465540114071507</v>
      </c>
      <c r="U10" s="166">
        <v>13.007693789617592</v>
      </c>
      <c r="V10" s="166">
        <v>18.93312778718149</v>
      </c>
      <c r="W10" s="166">
        <v>23.920520820524271</v>
      </c>
      <c r="X10" s="166">
        <v>39.023629100980457</v>
      </c>
      <c r="Y10" s="166">
        <v>45.190411327708347</v>
      </c>
      <c r="Z10" s="166">
        <v>53.233393291537745</v>
      </c>
      <c r="AA10" s="166"/>
      <c r="AB10" s="166">
        <v>83.865446748514358</v>
      </c>
      <c r="AC10" s="166">
        <v>72.746247683119122</v>
      </c>
      <c r="AD10" s="166">
        <v>73.336088814908095</v>
      </c>
      <c r="AE10" s="166">
        <v>69.834289500871449</v>
      </c>
      <c r="AF10" s="166">
        <v>64.320935401539117</v>
      </c>
      <c r="AG10" s="166">
        <v>58.441543781547168</v>
      </c>
      <c r="AH10" s="166">
        <v>63.816657947450807</v>
      </c>
      <c r="AI10" s="166">
        <v>68.909452446546254</v>
      </c>
      <c r="AJ10" s="166">
        <v>74.277285429848305</v>
      </c>
      <c r="AK10" s="166">
        <v>76.658366465114042</v>
      </c>
      <c r="AL10" s="166">
        <v>80.359376556127629</v>
      </c>
      <c r="AM10" s="32">
        <v>84.212004388833122</v>
      </c>
      <c r="AN10" s="32"/>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c r="BT10" s="32"/>
      <c r="BU10" s="32"/>
      <c r="BV10" s="32"/>
      <c r="BW10" s="32"/>
      <c r="BX10" s="32"/>
      <c r="BY10" s="32"/>
      <c r="BZ10" s="32"/>
      <c r="CA10" s="32"/>
      <c r="CB10" s="32"/>
      <c r="CC10" s="32"/>
      <c r="CD10" s="32"/>
      <c r="CE10" s="32"/>
      <c r="CF10" s="32"/>
      <c r="CG10" s="32"/>
      <c r="CH10" s="32"/>
      <c r="CI10" s="32"/>
      <c r="CJ10" s="32"/>
      <c r="CK10" s="32"/>
      <c r="CL10" s="32"/>
      <c r="CM10" s="32"/>
      <c r="CN10" s="32"/>
      <c r="CO10" s="32"/>
      <c r="CP10" s="32"/>
      <c r="CQ10" s="32"/>
      <c r="CR10" s="32"/>
      <c r="CS10" s="32"/>
      <c r="CT10" s="32"/>
      <c r="CU10" s="32"/>
      <c r="CV10" s="32"/>
      <c r="CW10" s="32"/>
      <c r="CX10" s="11"/>
      <c r="CY10" s="11"/>
      <c r="CZ10" s="11"/>
      <c r="DA10" s="11"/>
      <c r="DB10" s="11"/>
      <c r="DC10" s="11"/>
      <c r="DD10" s="11"/>
      <c r="DE10" s="11"/>
      <c r="DF10" s="11"/>
      <c r="DG10" s="11"/>
      <c r="DH10" s="11"/>
      <c r="DI10" s="11"/>
      <c r="DJ10" s="11"/>
      <c r="DK10" s="11"/>
      <c r="DL10" s="11"/>
      <c r="DM10" s="11"/>
      <c r="DN10" s="11"/>
      <c r="DO10" s="11"/>
      <c r="DP10" s="11"/>
      <c r="DQ10" s="11"/>
      <c r="DR10" s="11"/>
      <c r="DS10" s="11"/>
      <c r="DT10" s="11"/>
      <c r="DU10" s="11"/>
      <c r="DV10" s="11"/>
      <c r="DW10" s="11"/>
      <c r="DX10" s="11"/>
      <c r="DY10" s="11"/>
      <c r="DZ10" s="11"/>
      <c r="EA10" s="11"/>
    </row>
    <row r="11" spans="1:131">
      <c r="A11" s="11" t="s">
        <v>672</v>
      </c>
      <c r="B11" s="11"/>
      <c r="C11" s="166">
        <v>3130.2038994474719</v>
      </c>
      <c r="D11" s="166">
        <v>972.0694632777404</v>
      </c>
      <c r="E11" s="166">
        <v>194.4138926555481</v>
      </c>
      <c r="F11" s="166">
        <v>1166.4833559332885</v>
      </c>
      <c r="G11" s="166">
        <v>1784.4492931584787</v>
      </c>
      <c r="H11" s="166">
        <v>2064.1027505818233</v>
      </c>
      <c r="I11" s="166">
        <v>3264.4500250540573</v>
      </c>
      <c r="J11" s="166">
        <v>6.4041665944702748</v>
      </c>
      <c r="K11" s="166">
        <v>28.69466084516193</v>
      </c>
      <c r="L11" s="382">
        <v>1.1567169537938271</v>
      </c>
      <c r="M11" s="166">
        <v>29.73701583044155</v>
      </c>
      <c r="N11" s="166">
        <v>0.73063576372878758</v>
      </c>
      <c r="O11" s="166">
        <v>128.20522013333431</v>
      </c>
      <c r="P11" s="166">
        <v>94.777309953672855</v>
      </c>
      <c r="Q11" s="166">
        <v>88.289435607749851</v>
      </c>
      <c r="R11" s="166">
        <v>50.684634082351991</v>
      </c>
      <c r="S11" s="166">
        <v>40.714405125917544</v>
      </c>
      <c r="T11" s="166">
        <v>31.582469169606536</v>
      </c>
      <c r="U11" s="166">
        <v>32.956060011755014</v>
      </c>
      <c r="V11" s="166">
        <v>47.968633460806828</v>
      </c>
      <c r="W11" s="166">
        <v>60.604603123641709</v>
      </c>
      <c r="X11" s="166">
        <v>98.869567759573613</v>
      </c>
      <c r="Y11" s="166">
        <v>114.49361675938046</v>
      </c>
      <c r="Z11" s="166">
        <v>134.8711718095303</v>
      </c>
      <c r="AA11" s="166"/>
      <c r="AB11" s="166">
        <v>212.479993814333</v>
      </c>
      <c r="AC11" s="166">
        <v>184.30859021208164</v>
      </c>
      <c r="AD11" s="166">
        <v>185.80300113926339</v>
      </c>
      <c r="AE11" s="166">
        <v>176.93090511601383</v>
      </c>
      <c r="AF11" s="166">
        <v>162.96236991658603</v>
      </c>
      <c r="AG11" s="166">
        <v>148.06644861071092</v>
      </c>
      <c r="AH11" s="166">
        <v>161.68474159074287</v>
      </c>
      <c r="AI11" s="166">
        <v>174.58775451942125</v>
      </c>
      <c r="AJ11" s="166">
        <v>188.18760002562308</v>
      </c>
      <c r="AK11" s="166">
        <v>194.22026429034486</v>
      </c>
      <c r="AL11" s="166">
        <v>203.59707717018901</v>
      </c>
      <c r="AM11" s="32">
        <v>213.35802604484209</v>
      </c>
      <c r="AN11" s="32"/>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c r="BO11" s="32"/>
      <c r="BP11" s="32"/>
      <c r="BQ11" s="32"/>
      <c r="BR11" s="32"/>
      <c r="BS11" s="32"/>
      <c r="BT11" s="32"/>
      <c r="BU11" s="32"/>
      <c r="BV11" s="32"/>
      <c r="BW11" s="32"/>
      <c r="BX11" s="32"/>
      <c r="BY11" s="32"/>
      <c r="BZ11" s="32"/>
      <c r="CA11" s="32"/>
      <c r="CB11" s="32"/>
      <c r="CC11" s="32"/>
      <c r="CD11" s="32"/>
      <c r="CE11" s="32"/>
      <c r="CF11" s="32"/>
      <c r="CG11" s="32"/>
      <c r="CH11" s="32"/>
      <c r="CI11" s="32"/>
      <c r="CJ11" s="32"/>
      <c r="CK11" s="32"/>
      <c r="CL11" s="32"/>
      <c r="CM11" s="32"/>
      <c r="CN11" s="32"/>
      <c r="CO11" s="32"/>
      <c r="CP11" s="32"/>
      <c r="CQ11" s="32"/>
      <c r="CR11" s="32"/>
      <c r="CS11" s="32"/>
      <c r="CT11" s="32"/>
      <c r="CU11" s="32"/>
      <c r="CV11" s="32"/>
      <c r="CW11" s="32"/>
      <c r="CX11" s="11"/>
      <c r="CY11" s="11"/>
      <c r="CZ11" s="11"/>
      <c r="DA11" s="11"/>
      <c r="DB11" s="11"/>
      <c r="DC11" s="11"/>
      <c r="DD11" s="11"/>
      <c r="DE11" s="11"/>
      <c r="DF11" s="11"/>
      <c r="DG11" s="11"/>
      <c r="DH11" s="11"/>
      <c r="DI11" s="11"/>
      <c r="DJ11" s="11"/>
      <c r="DK11" s="11"/>
      <c r="DL11" s="11"/>
      <c r="DM11" s="11"/>
      <c r="DN11" s="11"/>
      <c r="DO11" s="11"/>
      <c r="DP11" s="11"/>
      <c r="DQ11" s="11"/>
      <c r="DR11" s="11"/>
      <c r="DS11" s="11"/>
      <c r="DT11" s="11"/>
      <c r="DU11" s="11"/>
      <c r="DV11" s="11"/>
      <c r="DW11" s="11"/>
      <c r="DX11" s="11"/>
      <c r="DY11" s="11"/>
      <c r="DZ11" s="11"/>
      <c r="EA11" s="11"/>
    </row>
    <row r="12" spans="1:131">
      <c r="A12" s="11" t="s">
        <v>668</v>
      </c>
      <c r="B12" s="11"/>
      <c r="C12" s="166">
        <v>327.31145340319665</v>
      </c>
      <c r="D12" s="166">
        <v>113.40810404906972</v>
      </c>
      <c r="E12" s="166">
        <v>22.681620809813946</v>
      </c>
      <c r="F12" s="166">
        <v>136.08972485888367</v>
      </c>
      <c r="G12" s="166">
        <v>208.18575086848921</v>
      </c>
      <c r="H12" s="166">
        <v>215.83401368381348</v>
      </c>
      <c r="I12" s="166">
        <v>3642.2373166858997</v>
      </c>
      <c r="J12" s="166">
        <v>8.6789776363219229</v>
      </c>
      <c r="K12" s="166">
        <v>33.549099508044328</v>
      </c>
      <c r="L12" s="382">
        <v>1.0367376863374078</v>
      </c>
      <c r="M12" s="166">
        <v>3.109467045598445</v>
      </c>
      <c r="N12" s="166">
        <v>7.6399321391375424E-2</v>
      </c>
      <c r="O12" s="166">
        <v>13.405847760628477</v>
      </c>
      <c r="P12" s="166">
        <v>9.9104403633442892</v>
      </c>
      <c r="Q12" s="166">
        <v>9.2320322947720754</v>
      </c>
      <c r="R12" s="166">
        <v>5.2998660086111791</v>
      </c>
      <c r="S12" s="166">
        <v>4.2573236582329095</v>
      </c>
      <c r="T12" s="166">
        <v>3.3024378660413309</v>
      </c>
      <c r="U12" s="166">
        <v>3.4460681308315255</v>
      </c>
      <c r="V12" s="166">
        <v>5.0158659436189756</v>
      </c>
      <c r="W12" s="166">
        <v>6.3371529039448617</v>
      </c>
      <c r="X12" s="166">
        <v>10.338349500632882</v>
      </c>
      <c r="Y12" s="166">
        <v>11.972086583086911</v>
      </c>
      <c r="Z12" s="166">
        <v>14.102876580967084</v>
      </c>
      <c r="AA12" s="166"/>
      <c r="AB12" s="166">
        <v>22.218084772927305</v>
      </c>
      <c r="AC12" s="166">
        <v>19.272326811572601</v>
      </c>
      <c r="AD12" s="166">
        <v>19.428590693501764</v>
      </c>
      <c r="AE12" s="166">
        <v>18.500875203589072</v>
      </c>
      <c r="AF12" s="166">
        <v>17.04024781160178</v>
      </c>
      <c r="AG12" s="166">
        <v>15.482647792872569</v>
      </c>
      <c r="AH12" s="166">
        <v>16.906651918914203</v>
      </c>
      <c r="AI12" s="166">
        <v>18.255862401883515</v>
      </c>
      <c r="AJ12" s="166">
        <v>19.677937557907565</v>
      </c>
      <c r="AK12" s="166">
        <v>20.308746339638414</v>
      </c>
      <c r="AL12" s="166">
        <v>21.289237818974108</v>
      </c>
      <c r="AM12" s="32">
        <v>22.309896685101304</v>
      </c>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2"/>
      <c r="CK12" s="32"/>
      <c r="CL12" s="32"/>
      <c r="CM12" s="32"/>
      <c r="CN12" s="32"/>
      <c r="CO12" s="32"/>
      <c r="CP12" s="32"/>
      <c r="CQ12" s="32"/>
      <c r="CR12" s="32"/>
      <c r="CS12" s="32"/>
      <c r="CT12" s="32"/>
      <c r="CU12" s="32"/>
      <c r="CV12" s="32"/>
      <c r="CW12" s="32"/>
      <c r="CX12" s="11"/>
      <c r="CY12" s="11"/>
      <c r="CZ12" s="11"/>
      <c r="DA12" s="11"/>
      <c r="DB12" s="11"/>
      <c r="DC12" s="11"/>
      <c r="DD12" s="11"/>
      <c r="DE12" s="11"/>
      <c r="DF12" s="11"/>
      <c r="DG12" s="11"/>
      <c r="DH12" s="11"/>
      <c r="DI12" s="11"/>
      <c r="DJ12" s="11"/>
      <c r="DK12" s="11"/>
      <c r="DL12" s="11"/>
      <c r="DM12" s="11"/>
      <c r="DN12" s="11"/>
      <c r="DO12" s="11"/>
      <c r="DP12" s="11"/>
      <c r="DQ12" s="11"/>
      <c r="DR12" s="11"/>
      <c r="DS12" s="11"/>
      <c r="DT12" s="11"/>
      <c r="DU12" s="11"/>
      <c r="DV12" s="11"/>
      <c r="DW12" s="11"/>
      <c r="DX12" s="11"/>
      <c r="DY12" s="11"/>
      <c r="DZ12" s="11"/>
      <c r="EA12" s="11"/>
    </row>
    <row r="13" spans="1:131">
      <c r="A13" s="11" t="s">
        <v>669</v>
      </c>
      <c r="B13" s="11"/>
      <c r="C13" s="166">
        <v>424.12188328301545</v>
      </c>
      <c r="D13" s="166">
        <v>162.01157721295672</v>
      </c>
      <c r="E13" s="166">
        <v>32.402315442591345</v>
      </c>
      <c r="F13" s="166">
        <v>194.41389265554807</v>
      </c>
      <c r="G13" s="166">
        <v>297.40821552641307</v>
      </c>
      <c r="H13" s="166">
        <v>279.67224308325115</v>
      </c>
      <c r="I13" s="166">
        <v>4015.5100851661305</v>
      </c>
      <c r="J13" s="166">
        <v>10.926604896872652</v>
      </c>
      <c r="K13" s="166">
        <v>38.34552807842995</v>
      </c>
      <c r="L13" s="383">
        <v>0.94036488732576129</v>
      </c>
      <c r="M13" s="166">
        <v>4.0291685661275602</v>
      </c>
      <c r="N13" s="166">
        <v>9.8996303774740002E-2</v>
      </c>
      <c r="O13" s="166">
        <v>17.370957661659439</v>
      </c>
      <c r="P13" s="166">
        <v>12.841697372220771</v>
      </c>
      <c r="Q13" s="166">
        <v>11.962633396042692</v>
      </c>
      <c r="R13" s="166">
        <v>6.8674320111581491</v>
      </c>
      <c r="S13" s="166">
        <v>5.5165320641891231</v>
      </c>
      <c r="T13" s="166">
        <v>4.2792152630394726</v>
      </c>
      <c r="U13" s="166">
        <v>4.46532771882395</v>
      </c>
      <c r="V13" s="166">
        <v>6.4994319269428988</v>
      </c>
      <c r="W13" s="166">
        <v>8.2115220727172868</v>
      </c>
      <c r="X13" s="166">
        <v>13.396171183918664</v>
      </c>
      <c r="Y13" s="166">
        <v>15.513126276675999</v>
      </c>
      <c r="Z13" s="166">
        <v>18.274149935901015</v>
      </c>
      <c r="AA13" s="166"/>
      <c r="AB13" s="166">
        <v>28.789630973370599</v>
      </c>
      <c r="AC13" s="166">
        <v>24.972592488234923</v>
      </c>
      <c r="AD13" s="166">
        <v>25.175075264819196</v>
      </c>
      <c r="AE13" s="166">
        <v>23.972965052537958</v>
      </c>
      <c r="AF13" s="166">
        <v>22.080321107991043</v>
      </c>
      <c r="AG13" s="166">
        <v>20.062022492172908</v>
      </c>
      <c r="AH13" s="166">
        <v>21.907210937184605</v>
      </c>
      <c r="AI13" s="166">
        <v>23.655483675680056</v>
      </c>
      <c r="AJ13" s="166">
        <v>25.498172610246431</v>
      </c>
      <c r="AK13" s="166">
        <v>26.315558637277952</v>
      </c>
      <c r="AL13" s="166">
        <v>27.586054638670678</v>
      </c>
      <c r="AM13" s="32">
        <v>28.908598521539727</v>
      </c>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c r="BV13" s="32"/>
      <c r="BW13" s="32"/>
      <c r="BX13" s="32"/>
      <c r="BY13" s="32"/>
      <c r="BZ13" s="32"/>
      <c r="CA13" s="32"/>
      <c r="CB13" s="32"/>
      <c r="CC13" s="32"/>
      <c r="CD13" s="32"/>
      <c r="CE13" s="32"/>
      <c r="CF13" s="32"/>
      <c r="CG13" s="32"/>
      <c r="CH13" s="32"/>
      <c r="CI13" s="32"/>
      <c r="CJ13" s="32"/>
      <c r="CK13" s="32"/>
      <c r="CL13" s="32"/>
      <c r="CM13" s="32"/>
      <c r="CN13" s="32"/>
      <c r="CO13" s="32"/>
      <c r="CP13" s="32"/>
      <c r="CQ13" s="32"/>
      <c r="CR13" s="32"/>
      <c r="CS13" s="32"/>
      <c r="CT13" s="32"/>
      <c r="CU13" s="32"/>
      <c r="CV13" s="32"/>
      <c r="CW13" s="32"/>
      <c r="CX13" s="11"/>
      <c r="CY13" s="11"/>
      <c r="CZ13" s="11"/>
      <c r="DA13" s="11"/>
      <c r="DB13" s="11"/>
      <c r="DC13" s="11"/>
      <c r="DD13" s="11"/>
      <c r="DE13" s="11"/>
      <c r="DF13" s="11"/>
      <c r="DG13" s="11"/>
      <c r="DH13" s="11"/>
      <c r="DI13" s="11"/>
      <c r="DJ13" s="11"/>
      <c r="DK13" s="11"/>
      <c r="DL13" s="11"/>
      <c r="DM13" s="11"/>
      <c r="DN13" s="11"/>
      <c r="DO13" s="11"/>
      <c r="DP13" s="11"/>
      <c r="DQ13" s="11"/>
      <c r="DR13" s="11"/>
      <c r="DS13" s="11"/>
      <c r="DT13" s="11"/>
      <c r="DU13" s="11"/>
      <c r="DV13" s="11"/>
      <c r="DW13" s="11"/>
      <c r="DX13" s="11"/>
      <c r="DY13" s="11"/>
      <c r="DZ13" s="11"/>
      <c r="EA13" s="11"/>
    </row>
    <row r="14" spans="1:131">
      <c r="A14" s="11"/>
      <c r="B14" s="11"/>
      <c r="C14" s="32"/>
      <c r="D14" s="3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c r="BU14" s="32"/>
      <c r="BV14" s="32"/>
      <c r="BW14" s="32"/>
      <c r="BX14" s="32"/>
      <c r="BY14" s="32"/>
      <c r="BZ14" s="32"/>
      <c r="CA14" s="32"/>
      <c r="CB14" s="32"/>
      <c r="CC14" s="32"/>
      <c r="CD14" s="32"/>
      <c r="CE14" s="32"/>
      <c r="CF14" s="32"/>
      <c r="CG14" s="32"/>
      <c r="CH14" s="32"/>
      <c r="CI14" s="32"/>
      <c r="CJ14" s="32"/>
      <c r="CK14" s="32"/>
      <c r="CL14" s="32"/>
      <c r="CM14" s="32"/>
      <c r="CN14" s="32"/>
      <c r="CO14" s="32"/>
      <c r="CP14" s="32"/>
      <c r="CQ14" s="32"/>
      <c r="CR14" s="32"/>
      <c r="CS14" s="32"/>
      <c r="CT14" s="32"/>
      <c r="CU14" s="32"/>
      <c r="CV14" s="32"/>
      <c r="CW14" s="32"/>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c r="DY14" s="11"/>
      <c r="DZ14" s="11"/>
      <c r="EA14" s="11"/>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19"/>
  <dimension ref="A1:EA144"/>
  <sheetViews>
    <sheetView workbookViewId="0">
      <selection activeCell="A34" sqref="A34:EA144"/>
    </sheetView>
  </sheetViews>
  <sheetFormatPr defaultRowHeight="12.75"/>
  <cols>
    <col min="1" max="1" width="36" customWidth="1"/>
    <col min="2" max="2" width="53.28515625" customWidth="1"/>
    <col min="3" max="3" width="17.42578125" bestFit="1" customWidth="1"/>
    <col min="4" max="4" width="12.140625" bestFit="1" customWidth="1"/>
    <col min="5" max="5" width="12.5703125" customWidth="1"/>
    <col min="6" max="6" width="13.7109375" customWidth="1"/>
    <col min="7" max="7" width="25.42578125" customWidth="1"/>
    <col min="8" max="8" width="15.7109375" bestFit="1" customWidth="1"/>
    <col min="9" max="9" width="15.42578125" bestFit="1" customWidth="1"/>
    <col min="10" max="10" width="14.42578125" bestFit="1" customWidth="1"/>
    <col min="11" max="11" width="14.28515625" customWidth="1"/>
    <col min="12" max="12" width="12.5703125" customWidth="1"/>
    <col min="13" max="13" width="13.28515625" bestFit="1" customWidth="1"/>
    <col min="14" max="14" width="12.140625" bestFit="1" customWidth="1"/>
    <col min="15" max="15" width="13.28515625" bestFit="1" customWidth="1"/>
    <col min="16" max="16" width="27.7109375" customWidth="1"/>
    <col min="17" max="18" width="13.28515625" bestFit="1" customWidth="1"/>
    <col min="19" max="19" width="14.42578125" bestFit="1" customWidth="1"/>
    <col min="20" max="20" width="10.7109375" customWidth="1"/>
    <col min="21" max="21" width="14" bestFit="1" customWidth="1"/>
    <col min="22" max="22" width="12.140625" bestFit="1" customWidth="1"/>
    <col min="23" max="23" width="15.42578125" bestFit="1" customWidth="1"/>
    <col min="24" max="24" width="12.42578125" bestFit="1" customWidth="1"/>
    <col min="25" max="25" width="13.28515625" bestFit="1" customWidth="1"/>
    <col min="26" max="26" width="12.28515625" bestFit="1" customWidth="1"/>
    <col min="27" max="27" width="12.5703125" bestFit="1" customWidth="1"/>
    <col min="28" max="30" width="14.28515625" bestFit="1" customWidth="1"/>
    <col min="31" max="31" width="13.7109375" bestFit="1" customWidth="1"/>
    <col min="32" max="32" width="14" bestFit="1" customWidth="1"/>
    <col min="33" max="33" width="12.85546875" bestFit="1" customWidth="1"/>
    <col min="34" max="34" width="15.28515625" bestFit="1" customWidth="1"/>
    <col min="35" max="35" width="12.28515625" bestFit="1" customWidth="1"/>
    <col min="36" max="36" width="10.85546875" bestFit="1" customWidth="1"/>
    <col min="37" max="37" width="12.28515625" bestFit="1" customWidth="1"/>
    <col min="38" max="38" width="12.5703125" bestFit="1" customWidth="1"/>
    <col min="39" max="43" width="12.85546875" customWidth="1"/>
    <col min="44" max="44" width="12.5703125" customWidth="1"/>
    <col min="45" max="45" width="12.28515625" customWidth="1"/>
    <col min="46" max="46" width="12.7109375" customWidth="1"/>
    <col min="47" max="47" width="11.85546875" customWidth="1"/>
    <col min="48" max="48" width="12.5703125" bestFit="1" customWidth="1"/>
    <col min="49" max="49" width="13.42578125" customWidth="1"/>
    <col min="50" max="50" width="15.7109375" bestFit="1" customWidth="1"/>
    <col min="51" max="51" width="11" bestFit="1" customWidth="1"/>
    <col min="52" max="52" width="16.140625" bestFit="1" customWidth="1"/>
    <col min="53" max="53" width="17.28515625" bestFit="1" customWidth="1"/>
    <col min="54" max="54" width="15" bestFit="1" customWidth="1"/>
    <col min="55" max="55" width="12.5703125" bestFit="1" customWidth="1"/>
    <col min="56" max="56" width="13.5703125" customWidth="1"/>
    <col min="57" max="58" width="14.5703125" bestFit="1" customWidth="1"/>
    <col min="59" max="59" width="14.85546875" bestFit="1" customWidth="1"/>
    <col min="60" max="60" width="15" bestFit="1" customWidth="1"/>
    <col min="61" max="61" width="13.28515625" bestFit="1" customWidth="1"/>
    <col min="62" max="62" width="14" bestFit="1" customWidth="1"/>
    <col min="63" max="63" width="13.28515625" bestFit="1" customWidth="1"/>
    <col min="64" max="64" width="11.140625" bestFit="1" customWidth="1"/>
    <col min="65" max="65" width="16.85546875" bestFit="1" customWidth="1"/>
    <col min="66" max="66" width="14.7109375" customWidth="1"/>
    <col min="67" max="67" width="12" customWidth="1"/>
    <col min="68" max="68" width="14" customWidth="1"/>
    <col min="69" max="69" width="12.5703125" customWidth="1"/>
    <col min="70" max="70" width="11.28515625" customWidth="1"/>
    <col min="71" max="71" width="14.42578125" customWidth="1"/>
    <col min="72" max="72" width="15.7109375" customWidth="1"/>
    <col min="73" max="73" width="12.85546875" customWidth="1"/>
    <col min="74" max="74" width="13" customWidth="1"/>
    <col min="75" max="75" width="11.7109375" customWidth="1"/>
    <col min="76" max="76" width="14" customWidth="1"/>
    <col min="77" max="77" width="14.85546875" customWidth="1"/>
    <col min="78" max="78" width="11.85546875" customWidth="1"/>
    <col min="79" max="79" width="13.85546875" customWidth="1"/>
    <col min="80" max="80" width="13.7109375" customWidth="1"/>
    <col min="81" max="81" width="13" customWidth="1"/>
    <col min="82" max="82" width="12.42578125" customWidth="1"/>
    <col min="83" max="83" width="13" customWidth="1"/>
    <col min="84" max="84" width="12.7109375" customWidth="1"/>
    <col min="85" max="85" width="12.42578125" customWidth="1"/>
    <col min="86" max="86" width="10.28515625" customWidth="1"/>
    <col min="87" max="91" width="9.85546875" customWidth="1"/>
    <col min="92" max="99" width="10.7109375" customWidth="1"/>
    <col min="100" max="100" width="16.5703125" customWidth="1"/>
    <col min="101" max="105" width="10.7109375" customWidth="1"/>
  </cols>
  <sheetData>
    <row r="1" spans="1:105">
      <c r="A1" s="2" t="s">
        <v>10</v>
      </c>
      <c r="B1" s="3"/>
      <c r="C1" s="3"/>
      <c r="D1" s="3"/>
      <c r="E1" s="3"/>
      <c r="F1" s="3"/>
      <c r="G1" s="3"/>
      <c r="H1" s="4"/>
      <c r="I1" s="5"/>
      <c r="J1" s="5"/>
      <c r="K1" s="5"/>
      <c r="L1" s="5"/>
      <c r="M1" s="5"/>
      <c r="N1" s="6"/>
      <c r="O1" s="7" t="e">
        <v>#REF!</v>
      </c>
      <c r="P1" s="6"/>
      <c r="Q1" s="6"/>
      <c r="R1" s="6"/>
      <c r="S1" s="4"/>
      <c r="T1" s="4"/>
      <c r="U1" s="4"/>
      <c r="V1" s="6"/>
      <c r="W1" s="4"/>
      <c r="X1" s="4"/>
      <c r="Y1" s="4"/>
      <c r="Z1" s="4"/>
      <c r="AA1" s="4"/>
      <c r="AB1" s="4"/>
      <c r="AC1" s="4"/>
      <c r="AD1" s="4"/>
      <c r="AE1" s="4"/>
      <c r="AF1" s="4"/>
      <c r="AG1" s="4"/>
      <c r="AH1" s="4"/>
      <c r="AI1" s="4"/>
      <c r="AJ1" s="4"/>
      <c r="AK1" s="4"/>
      <c r="AL1" s="4"/>
      <c r="AM1" s="4"/>
      <c r="AN1" s="4"/>
      <c r="AO1" s="4"/>
      <c r="AP1" s="8"/>
      <c r="AQ1" s="4"/>
      <c r="AR1" s="4"/>
      <c r="AS1" s="4"/>
      <c r="AT1" s="4"/>
      <c r="AU1" s="4"/>
      <c r="AV1" s="8"/>
      <c r="AW1" s="4"/>
      <c r="AX1" s="4"/>
      <c r="AY1" s="4"/>
      <c r="AZ1" s="4"/>
      <c r="BA1" s="4"/>
      <c r="BB1" s="4"/>
      <c r="BC1" s="4"/>
      <c r="BD1" s="4"/>
      <c r="BE1" s="4"/>
      <c r="BF1" s="4"/>
      <c r="BG1" s="4"/>
      <c r="BH1" s="4"/>
      <c r="BI1" s="4"/>
      <c r="BJ1" s="4"/>
      <c r="BK1" s="4"/>
      <c r="BL1" s="4"/>
      <c r="BM1" s="9"/>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8"/>
      <c r="CQ1" s="4"/>
      <c r="CR1" s="4"/>
      <c r="CS1" s="4"/>
      <c r="CT1" s="4"/>
      <c r="CU1" s="4"/>
      <c r="CV1" s="4"/>
      <c r="CW1" s="4"/>
      <c r="CX1" s="4"/>
      <c r="CY1" s="4"/>
      <c r="CZ1" s="4"/>
      <c r="DA1" s="4"/>
    </row>
    <row r="2" spans="1:105">
      <c r="A2" s="10" t="s">
        <v>11</v>
      </c>
      <c r="B2" s="4" t="str">
        <f>'7PSourceSummary'!D2</f>
        <v>Street and Roadway Lighting</v>
      </c>
      <c r="C2" s="4"/>
      <c r="D2" s="4"/>
      <c r="E2" s="4"/>
      <c r="F2" s="4"/>
      <c r="G2" s="4"/>
      <c r="H2" s="4"/>
      <c r="I2" s="5"/>
      <c r="J2" s="5"/>
      <c r="K2" s="5"/>
      <c r="L2" s="5"/>
      <c r="M2" s="5"/>
      <c r="N2" s="6"/>
      <c r="O2" s="6"/>
      <c r="P2" s="6"/>
      <c r="Q2" s="6"/>
      <c r="R2" s="6"/>
      <c r="S2" s="4"/>
      <c r="T2" s="4"/>
      <c r="U2" s="4"/>
      <c r="V2" s="6"/>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8"/>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row>
    <row r="3" spans="1:105">
      <c r="A3" s="10" t="s">
        <v>12</v>
      </c>
      <c r="B3" s="11"/>
      <c r="C3" s="10">
        <v>2012</v>
      </c>
      <c r="D3" s="11"/>
      <c r="E3" s="11"/>
      <c r="F3" s="11"/>
      <c r="G3" s="11"/>
      <c r="H3" s="11"/>
      <c r="I3" s="11"/>
      <c r="J3" s="12"/>
      <c r="K3" s="13"/>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3"/>
      <c r="CP3" s="13"/>
      <c r="CQ3" s="11"/>
      <c r="CR3" s="11"/>
      <c r="CS3" s="11"/>
      <c r="CT3" s="11"/>
      <c r="CU3" s="11"/>
      <c r="CV3" s="11"/>
      <c r="CW3" s="11"/>
      <c r="CX3" s="11"/>
      <c r="CY3" s="11"/>
      <c r="CZ3" s="11"/>
      <c r="DA3" s="11"/>
    </row>
    <row r="4" spans="1:105" ht="38.25">
      <c r="A4" s="11"/>
      <c r="B4" s="14" t="s">
        <v>673</v>
      </c>
      <c r="C4" s="241" t="s">
        <v>674</v>
      </c>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row>
    <row r="5" spans="1:105">
      <c r="A5" s="15">
        <v>1</v>
      </c>
      <c r="B5" s="15">
        <v>2</v>
      </c>
      <c r="C5" s="15">
        <v>3</v>
      </c>
      <c r="D5" s="15">
        <v>4</v>
      </c>
      <c r="E5" s="15">
        <v>5</v>
      </c>
      <c r="F5" s="15">
        <v>6</v>
      </c>
      <c r="G5" s="15">
        <v>7</v>
      </c>
      <c r="H5" s="15">
        <v>8</v>
      </c>
      <c r="I5" s="15">
        <v>9</v>
      </c>
      <c r="J5" s="15">
        <v>10</v>
      </c>
      <c r="K5" s="15">
        <v>11</v>
      </c>
      <c r="L5" s="15">
        <v>12</v>
      </c>
      <c r="M5" s="15">
        <v>13</v>
      </c>
      <c r="N5" s="15">
        <v>14</v>
      </c>
      <c r="O5" s="15">
        <v>15</v>
      </c>
      <c r="P5" s="15">
        <v>16</v>
      </c>
      <c r="Q5" s="15">
        <v>17</v>
      </c>
      <c r="R5" s="15">
        <v>18</v>
      </c>
      <c r="S5" s="15">
        <v>19</v>
      </c>
      <c r="T5" s="15">
        <v>20</v>
      </c>
      <c r="U5" s="15">
        <v>21</v>
      </c>
      <c r="V5" s="15">
        <v>22</v>
      </c>
      <c r="W5" s="15">
        <v>23</v>
      </c>
      <c r="X5" s="15">
        <v>24</v>
      </c>
      <c r="Y5" s="15">
        <v>25</v>
      </c>
      <c r="Z5" s="15">
        <v>26</v>
      </c>
      <c r="AA5" s="15">
        <v>27</v>
      </c>
      <c r="AB5" s="15">
        <v>28</v>
      </c>
      <c r="AC5" s="15">
        <v>29</v>
      </c>
      <c r="AD5" s="15">
        <v>30</v>
      </c>
      <c r="AE5" s="15">
        <v>31</v>
      </c>
      <c r="AF5" s="15">
        <v>32</v>
      </c>
      <c r="AG5" s="15">
        <v>33</v>
      </c>
      <c r="AH5" s="15">
        <v>34</v>
      </c>
      <c r="AI5" s="15">
        <v>35</v>
      </c>
      <c r="AJ5" s="15">
        <v>36</v>
      </c>
      <c r="AK5" s="15">
        <v>37</v>
      </c>
      <c r="AL5" s="15">
        <v>38</v>
      </c>
      <c r="AM5" s="15">
        <v>39</v>
      </c>
      <c r="AN5" s="15">
        <v>40</v>
      </c>
      <c r="AO5" s="15">
        <v>41</v>
      </c>
      <c r="AP5" s="15">
        <v>42</v>
      </c>
      <c r="AQ5" s="15">
        <v>43</v>
      </c>
      <c r="AR5" s="15">
        <v>44</v>
      </c>
      <c r="AS5" s="15">
        <v>45</v>
      </c>
      <c r="AT5" s="15">
        <v>46</v>
      </c>
      <c r="AU5" s="15">
        <v>47</v>
      </c>
      <c r="AV5" s="15">
        <v>48</v>
      </c>
      <c r="AW5" s="15">
        <v>49</v>
      </c>
      <c r="AX5" s="15">
        <v>50</v>
      </c>
      <c r="AY5" s="15">
        <v>51</v>
      </c>
      <c r="AZ5" s="15">
        <v>52</v>
      </c>
      <c r="BA5" s="15">
        <v>53</v>
      </c>
      <c r="BB5" s="15">
        <v>54</v>
      </c>
      <c r="BC5" s="15">
        <v>55</v>
      </c>
      <c r="BD5" s="15">
        <v>56</v>
      </c>
      <c r="BE5" s="15">
        <v>57</v>
      </c>
      <c r="BF5" s="15">
        <v>58</v>
      </c>
      <c r="BG5" s="15">
        <v>59</v>
      </c>
      <c r="BH5" s="15">
        <v>60</v>
      </c>
      <c r="BI5" s="15">
        <v>61</v>
      </c>
      <c r="BJ5" s="15">
        <v>62</v>
      </c>
      <c r="BK5" s="15">
        <v>63</v>
      </c>
      <c r="BL5" s="15">
        <v>64</v>
      </c>
      <c r="BM5" s="15">
        <v>65</v>
      </c>
      <c r="BN5" s="15">
        <v>66</v>
      </c>
      <c r="BO5" s="15">
        <v>67</v>
      </c>
      <c r="BP5" s="15">
        <v>68</v>
      </c>
      <c r="BQ5" s="15">
        <v>69</v>
      </c>
      <c r="BR5" s="15">
        <v>70</v>
      </c>
      <c r="BS5" s="15">
        <v>71</v>
      </c>
      <c r="BT5" s="15">
        <v>72</v>
      </c>
      <c r="BU5" s="15">
        <v>73</v>
      </c>
      <c r="BV5" s="15">
        <v>74</v>
      </c>
      <c r="BW5" s="15">
        <v>75</v>
      </c>
      <c r="BX5" s="15">
        <v>76</v>
      </c>
      <c r="BY5" s="15">
        <v>77</v>
      </c>
      <c r="BZ5" s="15">
        <v>78</v>
      </c>
      <c r="CA5" s="15">
        <v>79</v>
      </c>
      <c r="CB5" s="15">
        <v>80</v>
      </c>
      <c r="CC5" s="15">
        <v>81</v>
      </c>
      <c r="CD5" s="15">
        <v>82</v>
      </c>
      <c r="CE5" s="15">
        <v>83</v>
      </c>
      <c r="CF5" s="15">
        <v>84</v>
      </c>
      <c r="CG5" s="15">
        <v>85</v>
      </c>
      <c r="CH5" s="15">
        <v>86</v>
      </c>
      <c r="CI5" s="15">
        <v>87</v>
      </c>
      <c r="CJ5" s="15">
        <v>88</v>
      </c>
      <c r="CK5" s="15">
        <v>89</v>
      </c>
      <c r="CL5" s="15">
        <v>90</v>
      </c>
      <c r="CM5" s="15">
        <v>91</v>
      </c>
      <c r="CN5" s="15">
        <v>92</v>
      </c>
      <c r="CO5" s="15">
        <v>93</v>
      </c>
      <c r="CP5" s="15">
        <v>94</v>
      </c>
      <c r="CQ5" s="15">
        <v>95</v>
      </c>
      <c r="CR5" s="15">
        <v>96</v>
      </c>
      <c r="CS5" s="15">
        <v>97</v>
      </c>
      <c r="CT5" s="15">
        <v>98</v>
      </c>
      <c r="CU5" s="15">
        <v>99</v>
      </c>
      <c r="CV5" s="15">
        <v>100</v>
      </c>
      <c r="CW5" s="15">
        <v>101</v>
      </c>
      <c r="CX5" s="15">
        <v>102</v>
      </c>
      <c r="CY5" s="15">
        <v>103</v>
      </c>
      <c r="CZ5" s="15">
        <v>104</v>
      </c>
      <c r="DA5" s="15">
        <v>105</v>
      </c>
    </row>
    <row r="6" spans="1:105">
      <c r="A6" s="16" t="s">
        <v>13</v>
      </c>
      <c r="B6" s="17"/>
      <c r="C6" s="17"/>
      <c r="D6" s="17"/>
      <c r="E6" s="17"/>
      <c r="F6" s="17"/>
      <c r="G6" s="18"/>
      <c r="H6" s="19"/>
      <c r="I6" s="469" t="s">
        <v>14</v>
      </c>
      <c r="J6" s="470"/>
      <c r="K6" s="470"/>
      <c r="L6" s="470"/>
      <c r="M6" s="470"/>
      <c r="N6" s="471"/>
      <c r="O6" s="472" t="s">
        <v>15</v>
      </c>
      <c r="P6" s="473"/>
      <c r="Q6" s="20" t="s">
        <v>16</v>
      </c>
      <c r="R6" s="474" t="s">
        <v>17</v>
      </c>
      <c r="S6" s="474"/>
      <c r="T6" s="474"/>
      <c r="U6" s="21"/>
      <c r="V6" s="21"/>
      <c r="W6" s="21"/>
      <c r="X6" s="22"/>
      <c r="Y6" s="23"/>
      <c r="Z6" s="21"/>
      <c r="AA6" s="21"/>
      <c r="AB6" s="21"/>
      <c r="AC6" s="21"/>
      <c r="AD6" s="21"/>
      <c r="AE6" s="24"/>
      <c r="AF6" s="24"/>
      <c r="AG6" s="24"/>
      <c r="AH6" s="24"/>
      <c r="AI6" s="24"/>
      <c r="AJ6" s="24"/>
      <c r="AK6" s="24"/>
      <c r="AL6" s="24"/>
      <c r="AM6" s="24"/>
      <c r="AN6" s="24"/>
      <c r="AO6" s="2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row>
    <row r="7" spans="1:105" ht="25.5">
      <c r="A7" s="25" t="s">
        <v>18</v>
      </c>
      <c r="B7" s="25" t="s">
        <v>19</v>
      </c>
      <c r="C7" s="25" t="s">
        <v>20</v>
      </c>
      <c r="D7" s="25" t="s">
        <v>21</v>
      </c>
      <c r="E7" s="25" t="s">
        <v>22</v>
      </c>
      <c r="F7" s="26" t="s">
        <v>23</v>
      </c>
      <c r="G7" s="25" t="s">
        <v>24</v>
      </c>
      <c r="H7" s="27" t="s">
        <v>25</v>
      </c>
      <c r="I7" s="27" t="s">
        <v>26</v>
      </c>
      <c r="J7" s="27" t="s">
        <v>27</v>
      </c>
      <c r="K7" s="27" t="s">
        <v>28</v>
      </c>
      <c r="L7" s="27" t="s">
        <v>29</v>
      </c>
      <c r="M7" s="27" t="s">
        <v>30</v>
      </c>
      <c r="N7" s="27" t="s">
        <v>31</v>
      </c>
      <c r="O7" s="28" t="s">
        <v>32</v>
      </c>
      <c r="P7" s="27" t="s">
        <v>24</v>
      </c>
      <c r="Q7" s="29" t="s">
        <v>33</v>
      </c>
      <c r="R7" s="30" t="s">
        <v>34</v>
      </c>
      <c r="S7" s="30" t="s">
        <v>35</v>
      </c>
      <c r="T7" s="30" t="s">
        <v>36</v>
      </c>
      <c r="U7" s="31"/>
      <c r="V7" s="31"/>
      <c r="W7" s="31"/>
      <c r="X7" s="31"/>
      <c r="Y7" s="31"/>
      <c r="Z7" s="31"/>
      <c r="AA7" s="31"/>
      <c r="AB7" s="31"/>
      <c r="AC7" s="31"/>
      <c r="AD7" s="31"/>
      <c r="AE7" s="24"/>
      <c r="AF7" s="24"/>
      <c r="AG7" s="24"/>
      <c r="AH7" s="24"/>
      <c r="AI7" s="24"/>
      <c r="AJ7" s="24"/>
      <c r="AK7" s="24"/>
      <c r="AL7" s="24"/>
      <c r="AM7" s="24"/>
      <c r="AN7" s="24"/>
      <c r="AO7" s="2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row>
    <row r="8" spans="1:105">
      <c r="A8" s="63" t="str">
        <f>LEFT(B8,22)&amp;" - New"</f>
        <v>Streetlight - HPS 100W - New</v>
      </c>
      <c r="B8" s="32" t="str">
        <f>MMap!F13</f>
        <v>Streetlight - HPS 100W - Group Relamp - to LED 42W - New</v>
      </c>
      <c r="C8" s="33">
        <f>MMap!G13*VLOOKUP(B8,MMap!$F$13:$AU$36,MATCH('M_Input (WT)(wo OM)'!$C$4,MMap!$F$12:$AU$12,0),FALSE)</f>
        <v>84.924999999999983</v>
      </c>
      <c r="D8" s="63">
        <f>MMap!L13</f>
        <v>11.627906976744185</v>
      </c>
      <c r="E8" s="35">
        <f>MMap!H13*VLOOKUP(B8,MMap!$F$13:$AU$36,MATCH('M_Input (WT)(wo OM)'!$C$4,MMap!$F$12:$AU$12,0),FALSE)</f>
        <v>-2.1479739877325699</v>
      </c>
      <c r="F8" s="35"/>
      <c r="G8" s="36" t="s">
        <v>525</v>
      </c>
      <c r="H8" s="34"/>
      <c r="I8" s="54"/>
      <c r="J8" s="34"/>
      <c r="K8" s="34"/>
      <c r="L8" s="34"/>
      <c r="M8" s="34"/>
      <c r="N8" s="34"/>
      <c r="O8" s="11"/>
      <c r="P8" s="37"/>
      <c r="Q8" s="38" t="s">
        <v>866</v>
      </c>
      <c r="R8" s="34"/>
      <c r="S8" s="34"/>
      <c r="T8" s="34"/>
      <c r="U8" s="31"/>
      <c r="V8" s="31"/>
      <c r="W8" s="31"/>
      <c r="X8" s="31"/>
      <c r="Y8" s="31"/>
      <c r="Z8" s="31"/>
      <c r="AA8" s="31"/>
      <c r="AB8" s="31"/>
      <c r="AC8" s="31"/>
      <c r="AD8" s="31"/>
      <c r="AE8" s="24"/>
      <c r="AF8" s="24"/>
      <c r="AG8" s="24"/>
      <c r="AH8" s="24"/>
      <c r="AI8" s="24"/>
      <c r="AJ8" s="24"/>
      <c r="AK8" s="24"/>
      <c r="AL8" s="24"/>
      <c r="AM8" s="24"/>
      <c r="AN8" s="24"/>
      <c r="AO8" s="24"/>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row>
    <row r="9" spans="1:105">
      <c r="A9" s="63" t="str">
        <f t="shared" ref="A9:A19" si="0">LEFT(B9,22)&amp;" - New"</f>
        <v>Streetlight - HPS 100W - New</v>
      </c>
      <c r="B9" s="32" t="str">
        <f>MMap!F14</f>
        <v>Streetlight - HPS 100W - Tariff Relamp - to LED 42W - New</v>
      </c>
      <c r="C9" s="33">
        <f>MMap!G14*VLOOKUP(B9,MMap!$F$13:$AU$36,MATCH('M_Input (WT)(wo OM)'!$C$4,MMap!$F$12:$AU$12,0),FALSE)</f>
        <v>84.924999999999983</v>
      </c>
      <c r="D9" s="63">
        <f>MMap!L14</f>
        <v>11.627906976744185</v>
      </c>
      <c r="E9" s="35">
        <f>MMap!H14*VLOOKUP(B9,MMap!$F$13:$AU$36,MATCH('M_Input (WT)(wo OM)'!$C$4,MMap!$F$12:$AU$12,0),FALSE)</f>
        <v>-2.1479739877325699</v>
      </c>
      <c r="F9" s="35"/>
      <c r="G9" s="36" t="s">
        <v>525</v>
      </c>
      <c r="H9" s="11"/>
      <c r="I9" s="54"/>
      <c r="J9" s="34"/>
      <c r="K9" s="11"/>
      <c r="L9" s="11"/>
      <c r="M9" s="11"/>
      <c r="N9" s="11"/>
      <c r="O9" s="11"/>
      <c r="P9" s="37"/>
      <c r="Q9" s="38" t="s">
        <v>866</v>
      </c>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c r="BU9" s="11"/>
      <c r="BV9" s="11"/>
      <c r="BW9" s="11"/>
      <c r="BX9" s="11"/>
      <c r="BY9" s="11"/>
      <c r="BZ9" s="11"/>
      <c r="CA9" s="11"/>
      <c r="CB9" s="11"/>
      <c r="CC9" s="11"/>
      <c r="CD9" s="11"/>
      <c r="CE9" s="11"/>
      <c r="CF9" s="11"/>
      <c r="CG9" s="11"/>
      <c r="CH9" s="11"/>
      <c r="CI9" s="11"/>
      <c r="CJ9" s="11"/>
      <c r="CK9" s="11"/>
      <c r="CL9" s="11"/>
      <c r="CM9" s="11"/>
      <c r="CN9" s="11"/>
      <c r="CO9" s="11"/>
      <c r="CP9" s="11"/>
      <c r="CQ9" s="11"/>
      <c r="CR9" s="11"/>
      <c r="CS9" s="11"/>
      <c r="CT9" s="11"/>
      <c r="CU9" s="11"/>
      <c r="CV9" s="11"/>
      <c r="CW9" s="11"/>
      <c r="CX9" s="11"/>
      <c r="CY9" s="11"/>
      <c r="CZ9" s="11"/>
      <c r="DA9" s="11"/>
    </row>
    <row r="10" spans="1:105">
      <c r="A10" s="63" t="str">
        <f t="shared" si="0"/>
        <v>Streetlight - HPS 100W - New</v>
      </c>
      <c r="B10" s="32" t="str">
        <f>MMap!F15</f>
        <v>Streetlight - HPS 100W - Group Relamp - to LED 58W - New</v>
      </c>
      <c r="C10" s="33">
        <f>MMap!G15*VLOOKUP(B10,MMap!$F$13:$AU$36,MATCH('M_Input (WT)(wo OM)'!$C$4,MMap!$F$12:$AU$12,0),FALSE)</f>
        <v>67.724999999999994</v>
      </c>
      <c r="D10" s="63">
        <f>MMap!L15</f>
        <v>11.627906976744185</v>
      </c>
      <c r="E10" s="35">
        <f>MMap!H15*VLOOKUP(B10,MMap!$F$13:$AU$36,MATCH('M_Input (WT)(wo OM)'!$C$4,MMap!$F$12:$AU$12,0),FALSE)</f>
        <v>-2.1479739877325699</v>
      </c>
      <c r="F10" s="35"/>
      <c r="G10" s="36" t="s">
        <v>525</v>
      </c>
      <c r="H10" s="11"/>
      <c r="I10" s="54"/>
      <c r="J10" s="34"/>
      <c r="K10" s="11"/>
      <c r="L10" s="11"/>
      <c r="M10" s="11"/>
      <c r="N10" s="11"/>
      <c r="O10" s="11"/>
      <c r="P10" s="37"/>
      <c r="Q10" s="38" t="s">
        <v>866</v>
      </c>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c r="BW10" s="11"/>
      <c r="BX10" s="11"/>
      <c r="BY10" s="11"/>
      <c r="BZ10" s="11"/>
      <c r="CA10" s="11"/>
      <c r="CB10" s="11"/>
      <c r="CC10" s="11"/>
      <c r="CD10" s="11"/>
      <c r="CE10" s="11"/>
      <c r="CF10" s="11"/>
      <c r="CG10" s="11"/>
      <c r="CH10" s="11"/>
      <c r="CI10" s="11"/>
      <c r="CJ10" s="11"/>
      <c r="CK10" s="11"/>
      <c r="CL10" s="11"/>
      <c r="CM10" s="11"/>
      <c r="CN10" s="11"/>
      <c r="CO10" s="11"/>
      <c r="CP10" s="11"/>
      <c r="CQ10" s="11"/>
      <c r="CR10" s="11"/>
      <c r="CS10" s="11"/>
      <c r="CT10" s="11"/>
      <c r="CU10" s="11"/>
      <c r="CV10" s="11"/>
      <c r="CW10" s="11"/>
      <c r="CX10" s="11"/>
      <c r="CY10" s="11"/>
      <c r="CZ10" s="11"/>
      <c r="DA10" s="11"/>
    </row>
    <row r="11" spans="1:105">
      <c r="A11" s="63" t="str">
        <f t="shared" si="0"/>
        <v>Streetlight - HPS 100W - New</v>
      </c>
      <c r="B11" s="32" t="str">
        <f>MMap!F16</f>
        <v>Streetlight - HPS 100W - Tariff Relamp - to LED 58W - New</v>
      </c>
      <c r="C11" s="33">
        <f>MMap!G16*VLOOKUP(B11,MMap!$F$13:$AU$36,MATCH('M_Input (WT)(wo OM)'!$C$4,MMap!$F$12:$AU$12,0),FALSE)</f>
        <v>67.724999999999994</v>
      </c>
      <c r="D11" s="63">
        <f>MMap!L16</f>
        <v>11.627906976744185</v>
      </c>
      <c r="E11" s="35">
        <f>MMap!H16*VLOOKUP(B11,MMap!$F$13:$AU$36,MATCH('M_Input (WT)(wo OM)'!$C$4,MMap!$F$12:$AU$12,0),FALSE)</f>
        <v>-2.1479739877325699</v>
      </c>
      <c r="F11" s="35"/>
      <c r="G11" s="36" t="s">
        <v>525</v>
      </c>
      <c r="H11" s="11"/>
      <c r="I11" s="54"/>
      <c r="J11" s="34"/>
      <c r="K11" s="11"/>
      <c r="L11" s="11"/>
      <c r="M11" s="11"/>
      <c r="N11" s="11"/>
      <c r="O11" s="11"/>
      <c r="P11" s="11"/>
      <c r="Q11" s="38" t="s">
        <v>866</v>
      </c>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1"/>
      <c r="CI11" s="11"/>
      <c r="CJ11" s="11"/>
      <c r="CK11" s="11"/>
      <c r="CL11" s="11"/>
      <c r="CM11" s="11"/>
      <c r="CN11" s="11"/>
      <c r="CO11" s="11"/>
      <c r="CP11" s="11"/>
      <c r="CQ11" s="11"/>
      <c r="CR11" s="11"/>
      <c r="CS11" s="11"/>
      <c r="CT11" s="11"/>
      <c r="CU11" s="11"/>
      <c r="CV11" s="11"/>
      <c r="CW11" s="11"/>
      <c r="CX11" s="11"/>
      <c r="CY11" s="11"/>
      <c r="CZ11" s="11"/>
      <c r="DA11" s="11"/>
    </row>
    <row r="12" spans="1:105">
      <c r="A12" s="63" t="str">
        <f t="shared" si="0"/>
        <v>Streetlight - MH 200W  - New</v>
      </c>
      <c r="B12" s="32" t="str">
        <f>MMap!F17</f>
        <v>Streetlight - MH 200W - Group Relamp - to LED 135W - New</v>
      </c>
      <c r="C12" s="33">
        <f>MMap!G17*VLOOKUP(B12,MMap!$F$13:$AU$36,MATCH('M_Input (WT)(wo OM)'!$C$4,MMap!$F$12:$AU$12,0),FALSE)</f>
        <v>197.8</v>
      </c>
      <c r="D12" s="63">
        <f>MMap!L17</f>
        <v>11.627906976744185</v>
      </c>
      <c r="E12" s="35">
        <f>MMap!H17*VLOOKUP(B12,MMap!$F$13:$AU$36,MATCH('M_Input (WT)(wo OM)'!$C$4,MMap!$F$12:$AU$12,0),FALSE)</f>
        <v>1.0057886064783617</v>
      </c>
      <c r="F12" s="35"/>
      <c r="G12" s="36" t="s">
        <v>525</v>
      </c>
      <c r="H12" s="11"/>
      <c r="I12" s="54"/>
      <c r="J12" s="34"/>
      <c r="K12" s="11"/>
      <c r="L12" s="11"/>
      <c r="M12" s="11"/>
      <c r="N12" s="11"/>
      <c r="O12" s="11"/>
      <c r="P12" s="11"/>
      <c r="Q12" s="38" t="s">
        <v>866</v>
      </c>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c r="CO12" s="11"/>
      <c r="CP12" s="11"/>
      <c r="CQ12" s="11"/>
      <c r="CR12" s="11"/>
      <c r="CS12" s="11"/>
      <c r="CT12" s="11"/>
      <c r="CU12" s="11"/>
      <c r="CV12" s="11"/>
      <c r="CW12" s="11"/>
      <c r="CX12" s="11"/>
      <c r="CY12" s="11"/>
      <c r="CZ12" s="11"/>
      <c r="DA12" s="11"/>
    </row>
    <row r="13" spans="1:105">
      <c r="A13" s="63" t="str">
        <f t="shared" si="0"/>
        <v>Streetlight - MH 200W  - New</v>
      </c>
      <c r="B13" s="32" t="str">
        <f>MMap!F18</f>
        <v>Streetlight - MH 200W - Tariff Relamp - to LED 135W - New</v>
      </c>
      <c r="C13" s="33">
        <f>MMap!G18*VLOOKUP(B13,MMap!$F$13:$AU$36,MATCH('M_Input (WT)(wo OM)'!$C$4,MMap!$F$12:$AU$12,0),FALSE)</f>
        <v>197.8</v>
      </c>
      <c r="D13" s="63">
        <f>MMap!L18</f>
        <v>11.627906976744185</v>
      </c>
      <c r="E13" s="35">
        <f>MMap!H18*VLOOKUP(B13,MMap!$F$13:$AU$36,MATCH('M_Input (WT)(wo OM)'!$C$4,MMap!$F$12:$AU$12,0),FALSE)</f>
        <v>1.0057886064783617</v>
      </c>
      <c r="F13" s="35"/>
      <c r="G13" s="36" t="s">
        <v>525</v>
      </c>
      <c r="H13" s="11"/>
      <c r="I13" s="54"/>
      <c r="J13" s="34"/>
      <c r="K13" s="11"/>
      <c r="L13" s="11"/>
      <c r="M13" s="11"/>
      <c r="N13" s="11"/>
      <c r="O13" s="11"/>
      <c r="P13" s="11"/>
      <c r="Q13" s="38" t="s">
        <v>866</v>
      </c>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row>
    <row r="14" spans="1:105">
      <c r="A14" s="63" t="str">
        <f t="shared" si="0"/>
        <v>Streetlight - HPS 250W - New</v>
      </c>
      <c r="B14" s="32" t="str">
        <f>MMap!F19</f>
        <v>Streetlight - HPS 250W - Group Relamp - to LED 135W - New</v>
      </c>
      <c r="C14" s="33">
        <f>MMap!G19*VLOOKUP(B14,MMap!$F$13:$AU$36,MATCH('M_Input (WT)(wo OM)'!$C$4,MMap!$F$12:$AU$12,0),FALSE)</f>
        <v>333.25</v>
      </c>
      <c r="D14" s="63">
        <f>MMap!L19</f>
        <v>11.627906976744185</v>
      </c>
      <c r="E14" s="35">
        <f>MMap!H19*VLOOKUP(B14,MMap!$F$13:$AU$36,MATCH('M_Input (WT)(wo OM)'!$C$4,MMap!$F$12:$AU$12,0),FALSE)</f>
        <v>1.0057886064783617</v>
      </c>
      <c r="F14" s="35"/>
      <c r="G14" s="36" t="s">
        <v>525</v>
      </c>
      <c r="I14" s="54"/>
      <c r="J14" s="34"/>
      <c r="Q14" s="38" t="s">
        <v>866</v>
      </c>
    </row>
    <row r="15" spans="1:105">
      <c r="A15" s="63" t="str">
        <f t="shared" si="0"/>
        <v>Streetlight - HPS 250W - New</v>
      </c>
      <c r="B15" s="32" t="str">
        <f>MMap!F20</f>
        <v>Streetlight - HPS 250W - Tariff Relamp - to LED 135W - New</v>
      </c>
      <c r="C15" s="33">
        <f>MMap!G20*VLOOKUP(B15,MMap!$F$13:$AU$36,MATCH('M_Input (WT)(wo OM)'!$C$4,MMap!$F$12:$AU$12,0),FALSE)</f>
        <v>333.25</v>
      </c>
      <c r="D15" s="63">
        <f>MMap!L20</f>
        <v>11.627906976744185</v>
      </c>
      <c r="E15" s="35">
        <f>MMap!H20*VLOOKUP(B15,MMap!$F$13:$AU$36,MATCH('M_Input (WT)(wo OM)'!$C$4,MMap!$F$12:$AU$12,0),FALSE)</f>
        <v>1.0057886064783617</v>
      </c>
      <c r="F15" s="35"/>
      <c r="G15" s="36" t="s">
        <v>525</v>
      </c>
      <c r="I15" s="54"/>
      <c r="J15" s="34"/>
      <c r="Q15" s="38" t="s">
        <v>866</v>
      </c>
    </row>
    <row r="16" spans="1:105">
      <c r="A16" s="63" t="str">
        <f t="shared" si="0"/>
        <v>Streetlight - MH 400W  - New</v>
      </c>
      <c r="B16" s="32" t="str">
        <f>MMap!F21</f>
        <v>Streetlight - MH 400W - Group Relamp - to LED 180W - New</v>
      </c>
      <c r="C16" s="33">
        <f>MMap!G21*VLOOKUP(B16,MMap!$F$13:$AU$36,MATCH('M_Input (WT)(wo OM)'!$C$4,MMap!$F$12:$AU$12,0),FALSE)</f>
        <v>576.20000000000005</v>
      </c>
      <c r="D16" s="63">
        <f>MMap!L21</f>
        <v>11.627906976744185</v>
      </c>
      <c r="E16" s="35">
        <f>MMap!H21*VLOOKUP(B16,MMap!$F$13:$AU$36,MATCH('M_Input (WT)(wo OM)'!$C$4,MMap!$F$12:$AU$12,0),FALSE)</f>
        <v>67.011577212956723</v>
      </c>
      <c r="F16" s="35"/>
      <c r="G16" s="36" t="s">
        <v>525</v>
      </c>
      <c r="I16" s="54"/>
      <c r="J16" s="34"/>
      <c r="Q16" s="38" t="s">
        <v>866</v>
      </c>
    </row>
    <row r="17" spans="1:17">
      <c r="A17" s="63" t="str">
        <f t="shared" si="0"/>
        <v>Streetlight - MH 400W  - New</v>
      </c>
      <c r="B17" s="32" t="str">
        <f>MMap!F22</f>
        <v>Streetlight - MH 400W - Tariff Relamp - to LED 180W - New</v>
      </c>
      <c r="C17" s="33">
        <f>MMap!G22*VLOOKUP(B17,MMap!$F$13:$AU$36,MATCH('M_Input (WT)(wo OM)'!$C$4,MMap!$F$12:$AU$12,0),FALSE)</f>
        <v>576.20000000000005</v>
      </c>
      <c r="D17" s="63">
        <f>MMap!L22</f>
        <v>11.627906976744185</v>
      </c>
      <c r="E17" s="35">
        <f>MMap!H22*VLOOKUP(B17,MMap!$F$13:$AU$36,MATCH('M_Input (WT)(wo OM)'!$C$4,MMap!$F$12:$AU$12,0),FALSE)</f>
        <v>67.011577212956723</v>
      </c>
      <c r="F17" s="35"/>
      <c r="G17" s="36" t="s">
        <v>525</v>
      </c>
      <c r="I17" s="54"/>
      <c r="J17" s="34"/>
      <c r="Q17" s="38" t="s">
        <v>866</v>
      </c>
    </row>
    <row r="18" spans="1:17">
      <c r="A18" s="63" t="str">
        <f t="shared" si="0"/>
        <v>Streetlight - MH 1000W - New</v>
      </c>
      <c r="B18" s="32" t="str">
        <f>MMap!F23</f>
        <v>Streetlight - MH 1000W - Group Relamp - to LED 421W - New</v>
      </c>
      <c r="C18" s="33">
        <f>MMap!G23*VLOOKUP(B18,MMap!$F$13:$AU$36,MATCH('M_Input (WT)(wo OM)'!$C$4,MMap!$F$12:$AU$12,0),FALSE)</f>
        <v>1459.85</v>
      </c>
      <c r="D18" s="63">
        <f>MMap!L23</f>
        <v>11.627906976744185</v>
      </c>
      <c r="E18" s="35">
        <f>MMap!H23*VLOOKUP(B18,MMap!$F$13:$AU$36,MATCH('M_Input (WT)(wo OM)'!$C$4,MMap!$F$12:$AU$12,0),FALSE)</f>
        <v>266.0347316388702</v>
      </c>
      <c r="F18" s="35"/>
      <c r="G18" s="36" t="s">
        <v>525</v>
      </c>
      <c r="I18" s="54"/>
      <c r="J18" s="34"/>
      <c r="Q18" s="38" t="s">
        <v>866</v>
      </c>
    </row>
    <row r="19" spans="1:17">
      <c r="A19" s="63" t="str">
        <f t="shared" si="0"/>
        <v>Streetlight - MH 1000W - New</v>
      </c>
      <c r="B19" s="32" t="str">
        <f>MMap!F24</f>
        <v>Streetlight - MH 1000W - Tariff Relamp - to LED 421W - New</v>
      </c>
      <c r="C19" s="33">
        <f>MMap!G24*VLOOKUP(B19,MMap!$F$13:$AU$36,MATCH('M_Input (WT)(wo OM)'!$C$4,MMap!$F$12:$AU$12,0),FALSE)</f>
        <v>1459.85</v>
      </c>
      <c r="D19" s="63">
        <f>MMap!L24</f>
        <v>11.627906976744185</v>
      </c>
      <c r="E19" s="35">
        <f>MMap!H24*VLOOKUP(B19,MMap!$F$13:$AU$36,MATCH('M_Input (WT)(wo OM)'!$C$4,MMap!$F$12:$AU$12,0),FALSE)</f>
        <v>266.0347316388702</v>
      </c>
      <c r="F19" s="35"/>
      <c r="G19" s="36" t="s">
        <v>525</v>
      </c>
      <c r="I19" s="54"/>
      <c r="J19" s="34"/>
      <c r="Q19" s="38" t="s">
        <v>866</v>
      </c>
    </row>
    <row r="20" spans="1:17">
      <c r="A20" s="63" t="str">
        <f>LEFT(B20,22)&amp;" - NR"</f>
        <v>Streetlight - HPS 100W - NR</v>
      </c>
      <c r="B20" s="32" t="str">
        <f>MMap!F25</f>
        <v>Streetlight - HPS 100W - Group Relamp - to LED 42W - NR</v>
      </c>
      <c r="C20" s="33">
        <f>MMap!G25*VLOOKUP(B20,MMap!$F$13:$AU$36,MATCH('M_Input (WT)(wo OM)'!$C$4,MMap!$F$12:$AU$12,0),FALSE)</f>
        <v>84.924999999999983</v>
      </c>
      <c r="D20" s="63">
        <f>MMap!L25</f>
        <v>11.627906976744185</v>
      </c>
      <c r="E20" s="35">
        <f>MMap!H25*VLOOKUP(B20,MMap!$F$13:$AU$36,MATCH('M_Input (WT)(wo OM)'!$C$4,MMap!$F$12:$AU$12,0),FALSE)</f>
        <v>28.35202601226743</v>
      </c>
      <c r="F20" s="35"/>
      <c r="G20" s="36" t="s">
        <v>525</v>
      </c>
      <c r="I20" s="54"/>
      <c r="J20" s="34"/>
      <c r="Q20" s="38" t="s">
        <v>866</v>
      </c>
    </row>
    <row r="21" spans="1:17">
      <c r="A21" s="63" t="str">
        <f t="shared" ref="A21:A31" si="1">LEFT(B21,22)&amp;" - NR"</f>
        <v>Streetlight - HPS 100W - NR</v>
      </c>
      <c r="B21" s="32" t="str">
        <f>MMap!F26</f>
        <v>Streetlight - HPS 100W - Tariff Relamp - to LED 42W - NR</v>
      </c>
      <c r="C21" s="33">
        <f>MMap!G26*VLOOKUP(B21,MMap!$F$13:$AU$36,MATCH('M_Input (WT)(wo OM)'!$C$4,MMap!$F$12:$AU$12,0),FALSE)</f>
        <v>84.924999999999983</v>
      </c>
      <c r="D21" s="63">
        <f>MMap!L26</f>
        <v>11.627906976744185</v>
      </c>
      <c r="E21" s="35">
        <f>MMap!H26*VLOOKUP(B21,MMap!$F$13:$AU$36,MATCH('M_Input (WT)(wo OM)'!$C$4,MMap!$F$12:$AU$12,0),FALSE)</f>
        <v>28.35202601226743</v>
      </c>
      <c r="F21" s="35"/>
      <c r="G21" s="36" t="s">
        <v>525</v>
      </c>
      <c r="I21" s="54"/>
      <c r="J21" s="34"/>
      <c r="Q21" s="38" t="s">
        <v>866</v>
      </c>
    </row>
    <row r="22" spans="1:17">
      <c r="A22" s="63" t="str">
        <f t="shared" si="1"/>
        <v>Streetlight - HPS 100W - NR</v>
      </c>
      <c r="B22" s="32" t="str">
        <f>MMap!F27</f>
        <v>Streetlight - HPS 100W - Group Relamp - to LED 58W - NR</v>
      </c>
      <c r="C22" s="33">
        <f>MMap!G27*VLOOKUP(B22,MMap!$F$13:$AU$36,MATCH('M_Input (WT)(wo OM)'!$C$4,MMap!$F$12:$AU$12,0),FALSE)</f>
        <v>67.724999999999994</v>
      </c>
      <c r="D22" s="63">
        <f>MMap!L27</f>
        <v>11.627906976744185</v>
      </c>
      <c r="E22" s="35">
        <f>MMap!H27*VLOOKUP(B22,MMap!$F$13:$AU$36,MATCH('M_Input (WT)(wo OM)'!$C$4,MMap!$F$12:$AU$12,0),FALSE)</f>
        <v>28.35202601226743</v>
      </c>
      <c r="F22" s="35"/>
      <c r="G22" s="36" t="s">
        <v>525</v>
      </c>
      <c r="I22" s="54"/>
      <c r="J22" s="34"/>
      <c r="Q22" s="38" t="s">
        <v>866</v>
      </c>
    </row>
    <row r="23" spans="1:17">
      <c r="A23" s="63" t="str">
        <f t="shared" si="1"/>
        <v>Streetlight - HPS 100W - NR</v>
      </c>
      <c r="B23" s="32" t="str">
        <f>MMap!F28</f>
        <v>Streetlight - HPS 100W - Tariff Relamp - to LED 58W - NR</v>
      </c>
      <c r="C23" s="33">
        <f>MMap!G28*VLOOKUP(B23,MMap!$F$13:$AU$36,MATCH('M_Input (WT)(wo OM)'!$C$4,MMap!$F$12:$AU$12,0),FALSE)</f>
        <v>67.724999999999994</v>
      </c>
      <c r="D23" s="63">
        <f>MMap!L28</f>
        <v>11.627906976744185</v>
      </c>
      <c r="E23" s="35">
        <f>MMap!H28*VLOOKUP(B23,MMap!$F$13:$AU$36,MATCH('M_Input (WT)(wo OM)'!$C$4,MMap!$F$12:$AU$12,0),FALSE)</f>
        <v>28.35202601226743</v>
      </c>
      <c r="F23" s="35"/>
      <c r="G23" s="36" t="s">
        <v>525</v>
      </c>
      <c r="I23" s="54"/>
      <c r="J23" s="34"/>
      <c r="Q23" s="38" t="s">
        <v>866</v>
      </c>
    </row>
    <row r="24" spans="1:17">
      <c r="A24" s="63" t="str">
        <f t="shared" si="1"/>
        <v>Streetlight - MH 200W  - NR</v>
      </c>
      <c r="B24" s="32" t="str">
        <f>MMap!F29</f>
        <v>Streetlight - MH 200W - Group Relamp - to LED 135W - NR</v>
      </c>
      <c r="C24" s="33">
        <f>MMap!G29*VLOOKUP(B24,MMap!$F$13:$AU$36,MATCH('M_Input (WT)(wo OM)'!$C$4,MMap!$F$12:$AU$12,0),FALSE)</f>
        <v>197.8</v>
      </c>
      <c r="D24" s="63">
        <f>MMap!L29</f>
        <v>11.627906976744185</v>
      </c>
      <c r="E24" s="35">
        <f>MMap!H29*VLOOKUP(B24,MMap!$F$13:$AU$36,MATCH('M_Input (WT)(wo OM)'!$C$4,MMap!$F$12:$AU$12,0),FALSE)</f>
        <v>81.005788606478362</v>
      </c>
      <c r="F24" s="35"/>
      <c r="G24" s="36" t="s">
        <v>525</v>
      </c>
      <c r="I24" s="54"/>
      <c r="J24" s="34"/>
      <c r="Q24" s="38" t="s">
        <v>866</v>
      </c>
    </row>
    <row r="25" spans="1:17">
      <c r="A25" s="63" t="str">
        <f t="shared" si="1"/>
        <v>Streetlight - MH 200W  - NR</v>
      </c>
      <c r="B25" s="32" t="str">
        <f>MMap!F30</f>
        <v>Streetlight - MH 200W - Tariff Relamp - to LED 135W - NR</v>
      </c>
      <c r="C25" s="33">
        <f>MMap!G30*VLOOKUP(B25,MMap!$F$13:$AU$36,MATCH('M_Input (WT)(wo OM)'!$C$4,MMap!$F$12:$AU$12,0),FALSE)</f>
        <v>197.8</v>
      </c>
      <c r="D25" s="63">
        <f>MMap!L30</f>
        <v>11.627906976744185</v>
      </c>
      <c r="E25" s="35">
        <f>MMap!H30*VLOOKUP(B25,MMap!$F$13:$AU$36,MATCH('M_Input (WT)(wo OM)'!$C$4,MMap!$F$12:$AU$12,0),FALSE)</f>
        <v>81.005788606478362</v>
      </c>
      <c r="F25" s="35"/>
      <c r="G25" s="36" t="s">
        <v>525</v>
      </c>
      <c r="I25" s="54"/>
      <c r="J25" s="34"/>
      <c r="Q25" s="38" t="s">
        <v>866</v>
      </c>
    </row>
    <row r="26" spans="1:17">
      <c r="A26" s="63" t="str">
        <f t="shared" si="1"/>
        <v>Streetlight - HPS 250W - NR</v>
      </c>
      <c r="B26" s="32" t="str">
        <f>MMap!F31</f>
        <v>Streetlight - HPS 250W - Group Relamp - to LED 135W - NR</v>
      </c>
      <c r="C26" s="33">
        <f>MMap!G31*VLOOKUP(B26,MMap!$F$13:$AU$36,MATCH('M_Input (WT)(wo OM)'!$C$4,MMap!$F$12:$AU$12,0),FALSE)</f>
        <v>333.25</v>
      </c>
      <c r="D26" s="63">
        <f>MMap!L31</f>
        <v>11.627906976744185</v>
      </c>
      <c r="E26" s="35">
        <f>MMap!H31*VLOOKUP(B26,MMap!$F$13:$AU$36,MATCH('M_Input (WT)(wo OM)'!$C$4,MMap!$F$12:$AU$12,0),FALSE)</f>
        <v>81.005788606478362</v>
      </c>
      <c r="F26" s="35"/>
      <c r="G26" s="36" t="s">
        <v>525</v>
      </c>
      <c r="I26" s="54"/>
      <c r="J26" s="34"/>
      <c r="Q26" s="38" t="s">
        <v>866</v>
      </c>
    </row>
    <row r="27" spans="1:17">
      <c r="A27" s="63" t="str">
        <f t="shared" si="1"/>
        <v>Streetlight - HPS 250W - NR</v>
      </c>
      <c r="B27" s="32" t="str">
        <f>MMap!F32</f>
        <v>Streetlight - HPS 250W - Tariff Relamp - to LED 135W - NR</v>
      </c>
      <c r="C27" s="33">
        <f>MMap!G32*VLOOKUP(B27,MMap!$F$13:$AU$36,MATCH('M_Input (WT)(wo OM)'!$C$4,MMap!$F$12:$AU$12,0),FALSE)</f>
        <v>333.25</v>
      </c>
      <c r="D27" s="63">
        <f>MMap!L32</f>
        <v>11.627906976744185</v>
      </c>
      <c r="E27" s="35">
        <f>MMap!H32*VLOOKUP(B27,MMap!$F$13:$AU$36,MATCH('M_Input (WT)(wo OM)'!$C$4,MMap!$F$12:$AU$12,0),FALSE)</f>
        <v>81.005788606478362</v>
      </c>
      <c r="F27" s="35"/>
      <c r="G27" s="36" t="s">
        <v>525</v>
      </c>
      <c r="I27" s="54"/>
      <c r="J27" s="34"/>
      <c r="Q27" s="38" t="s">
        <v>866</v>
      </c>
    </row>
    <row r="28" spans="1:17">
      <c r="A28" s="63" t="str">
        <f t="shared" si="1"/>
        <v>Streetlight - MH 400W  - NR</v>
      </c>
      <c r="B28" s="32" t="str">
        <f>MMap!F33</f>
        <v>Streetlight - MH 400W - Group Relamp - to LED 180W - NR</v>
      </c>
      <c r="C28" s="33">
        <f>MMap!G33*VLOOKUP(B28,MMap!$F$13:$AU$36,MATCH('M_Input (WT)(wo OM)'!$C$4,MMap!$F$12:$AU$12,0),FALSE)</f>
        <v>576.20000000000005</v>
      </c>
      <c r="D28" s="63">
        <f>MMap!L33</f>
        <v>11.627906976744185</v>
      </c>
      <c r="E28" s="35">
        <f>MMap!H33*VLOOKUP(B28,MMap!$F$13:$AU$36,MATCH('M_Input (WT)(wo OM)'!$C$4,MMap!$F$12:$AU$12,0),FALSE)</f>
        <v>162.01157721295672</v>
      </c>
      <c r="F28" s="35"/>
      <c r="G28" s="36" t="s">
        <v>525</v>
      </c>
      <c r="I28" s="54"/>
      <c r="J28" s="34"/>
      <c r="Q28" s="38" t="s">
        <v>866</v>
      </c>
    </row>
    <row r="29" spans="1:17">
      <c r="A29" s="63" t="str">
        <f t="shared" si="1"/>
        <v>Streetlight - MH 400W  - NR</v>
      </c>
      <c r="B29" s="32" t="str">
        <f>MMap!F34</f>
        <v>Streetlight - MH 400W - Tariff Relamp - to LED 180W - NR</v>
      </c>
      <c r="C29" s="33">
        <f>MMap!G34*VLOOKUP(B29,MMap!$F$13:$AU$36,MATCH('M_Input (WT)(wo OM)'!$C$4,MMap!$F$12:$AU$12,0),FALSE)</f>
        <v>576.20000000000005</v>
      </c>
      <c r="D29" s="63">
        <f>MMap!L34</f>
        <v>11.627906976744185</v>
      </c>
      <c r="E29" s="35">
        <f>MMap!H34*VLOOKUP(B29,MMap!$F$13:$AU$36,MATCH('M_Input (WT)(wo OM)'!$C$4,MMap!$F$12:$AU$12,0),FALSE)</f>
        <v>162.01157721295672</v>
      </c>
      <c r="F29" s="35"/>
      <c r="G29" s="36" t="s">
        <v>525</v>
      </c>
      <c r="I29" s="54"/>
      <c r="J29" s="34"/>
      <c r="Q29" s="38" t="s">
        <v>866</v>
      </c>
    </row>
    <row r="30" spans="1:17">
      <c r="A30" s="63" t="str">
        <f t="shared" si="1"/>
        <v>Streetlight - MH 1000W - NR</v>
      </c>
      <c r="B30" s="32" t="str">
        <f>MMap!F35</f>
        <v>Streetlight - MH 1000W - Group Relamp - to LED 421W - NR</v>
      </c>
      <c r="C30" s="33">
        <f>MMap!G35*VLOOKUP(B30,MMap!$F$13:$AU$36,MATCH('M_Input (WT)(wo OM)'!$C$4,MMap!$F$12:$AU$12,0),FALSE)</f>
        <v>1459.85</v>
      </c>
      <c r="D30" s="63">
        <f>MMap!L35</f>
        <v>11.627906976744185</v>
      </c>
      <c r="E30" s="35">
        <f>MMap!H35*VLOOKUP(B30,MMap!$F$13:$AU$36,MATCH('M_Input (WT)(wo OM)'!$C$4,MMap!$F$12:$AU$12,0),FALSE)</f>
        <v>486.0347316388702</v>
      </c>
      <c r="F30" s="35"/>
      <c r="G30" s="36" t="s">
        <v>525</v>
      </c>
      <c r="I30" s="54"/>
      <c r="J30" s="34"/>
      <c r="Q30" s="38" t="s">
        <v>866</v>
      </c>
    </row>
    <row r="31" spans="1:17">
      <c r="A31" s="63" t="str">
        <f t="shared" si="1"/>
        <v>Streetlight - MH 1000W - NR</v>
      </c>
      <c r="B31" s="32" t="str">
        <f>MMap!F36</f>
        <v>Streetlight - MH 1000W - Tariff Relamp - to LED 421W - NR</v>
      </c>
      <c r="C31" s="33">
        <f>MMap!G36*VLOOKUP(B31,MMap!$F$13:$AU$36,MATCH('M_Input (WT)(wo OM)'!$C$4,MMap!$F$12:$AU$12,0),FALSE)</f>
        <v>1459.85</v>
      </c>
      <c r="D31" s="63">
        <f>MMap!L36</f>
        <v>11.627906976744185</v>
      </c>
      <c r="E31" s="35">
        <f>MMap!H36*VLOOKUP(B31,MMap!$F$13:$AU$36,MATCH('M_Input (WT)(wo OM)'!$C$4,MMap!$F$12:$AU$12,0),FALSE)</f>
        <v>486.0347316388702</v>
      </c>
      <c r="F31" s="35"/>
      <c r="G31" s="36" t="s">
        <v>525</v>
      </c>
      <c r="I31" s="54"/>
      <c r="J31" s="34"/>
      <c r="Q31" s="38" t="s">
        <v>866</v>
      </c>
    </row>
    <row r="34" spans="1:131">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row>
    <row r="35" spans="1:131">
      <c r="A35" s="365" t="s">
        <v>534</v>
      </c>
      <c r="B35" s="366"/>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row>
    <row r="36" spans="1:131">
      <c r="A36" s="11" t="s">
        <v>535</v>
      </c>
      <c r="B36" s="11" t="s">
        <v>536</v>
      </c>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row>
    <row r="37" spans="1:131">
      <c r="A37" s="11" t="s">
        <v>537</v>
      </c>
      <c r="B37" s="11" t="s">
        <v>1065</v>
      </c>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row>
    <row r="38" spans="1:131">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row>
    <row r="39" spans="1:131" ht="13.5" thickBot="1">
      <c r="A39" s="367" t="s">
        <v>538</v>
      </c>
      <c r="B39" s="368"/>
      <c r="C39" s="368"/>
      <c r="D39" s="368"/>
      <c r="E39" s="368"/>
      <c r="F39" s="368"/>
      <c r="G39" s="368"/>
      <c r="H39" s="368"/>
      <c r="I39" s="368"/>
      <c r="J39" s="368"/>
      <c r="K39" s="368"/>
      <c r="L39" s="368"/>
      <c r="M39" s="368"/>
      <c r="N39" s="368"/>
      <c r="O39" s="368"/>
      <c r="P39" s="368"/>
      <c r="Q39" s="368"/>
      <c r="R39" s="368"/>
      <c r="S39" s="368"/>
      <c r="T39" s="368"/>
      <c r="U39" s="368"/>
      <c r="V39" s="368"/>
      <c r="W39" s="368"/>
      <c r="X39" s="368"/>
      <c r="Y39" s="368"/>
      <c r="Z39" s="368"/>
      <c r="AA39" s="368"/>
      <c r="AB39" s="368"/>
      <c r="AC39" s="368"/>
      <c r="AD39" s="368"/>
      <c r="AE39" s="368"/>
      <c r="AF39" s="368"/>
      <c r="AG39" s="368"/>
      <c r="AH39" s="368"/>
      <c r="AI39" s="369"/>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row>
    <row r="40" spans="1:131">
      <c r="A40" s="11"/>
      <c r="B40" s="150" t="s">
        <v>539</v>
      </c>
      <c r="C40" s="151"/>
      <c r="D40" s="151" t="s">
        <v>539</v>
      </c>
      <c r="E40" s="152"/>
      <c r="F40" s="11"/>
      <c r="G40" s="150" t="s">
        <v>540</v>
      </c>
      <c r="H40" s="151"/>
      <c r="I40" s="151"/>
      <c r="J40" s="151"/>
      <c r="K40" s="151"/>
      <c r="L40" s="151"/>
      <c r="M40" s="151"/>
      <c r="N40" s="151"/>
      <c r="O40" s="152"/>
      <c r="P40" s="11"/>
      <c r="Q40" s="150" t="s">
        <v>541</v>
      </c>
      <c r="R40" s="151"/>
      <c r="S40" s="151"/>
      <c r="T40" s="151"/>
      <c r="U40" s="152"/>
      <c r="V40" s="11"/>
      <c r="W40" s="150" t="s">
        <v>542</v>
      </c>
      <c r="X40" s="152"/>
      <c r="Y40" s="11"/>
      <c r="Z40" s="150" t="s">
        <v>543</v>
      </c>
      <c r="AA40" s="151"/>
      <c r="AB40" s="152"/>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row>
    <row r="41" spans="1:131">
      <c r="A41" s="11"/>
      <c r="B41" s="148" t="s">
        <v>544</v>
      </c>
      <c r="C41" s="115" t="s">
        <v>545</v>
      </c>
      <c r="D41" s="115" t="s">
        <v>544</v>
      </c>
      <c r="E41" s="149" t="s">
        <v>545</v>
      </c>
      <c r="F41" s="11"/>
      <c r="G41" s="148" t="s">
        <v>546</v>
      </c>
      <c r="H41" s="115" t="s">
        <v>1066</v>
      </c>
      <c r="I41" s="115"/>
      <c r="J41" s="115"/>
      <c r="K41" s="115" t="s">
        <v>547</v>
      </c>
      <c r="L41" s="115"/>
      <c r="M41" s="115"/>
      <c r="N41" s="115"/>
      <c r="O41" s="149"/>
      <c r="P41" s="11"/>
      <c r="Q41" s="148"/>
      <c r="R41" s="115" t="s">
        <v>327</v>
      </c>
      <c r="S41" s="115" t="s">
        <v>548</v>
      </c>
      <c r="T41" s="115" t="s">
        <v>549</v>
      </c>
      <c r="U41" s="149" t="s">
        <v>550</v>
      </c>
      <c r="V41" s="11"/>
      <c r="W41" s="148" t="s">
        <v>551</v>
      </c>
      <c r="X41" s="149">
        <v>20</v>
      </c>
      <c r="Y41" s="11"/>
      <c r="Z41" s="148"/>
      <c r="AA41" s="115" t="s">
        <v>545</v>
      </c>
      <c r="AB41" s="149" t="s">
        <v>552</v>
      </c>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row>
    <row r="42" spans="1:131">
      <c r="A42" s="11"/>
      <c r="B42" s="148" t="s">
        <v>553</v>
      </c>
      <c r="C42" s="115" t="s">
        <v>554</v>
      </c>
      <c r="D42" s="115" t="s">
        <v>553</v>
      </c>
      <c r="E42" s="149" t="s">
        <v>554</v>
      </c>
      <c r="F42" s="11"/>
      <c r="G42" s="148" t="s">
        <v>555</v>
      </c>
      <c r="H42" s="115" t="s">
        <v>556</v>
      </c>
      <c r="I42" s="115"/>
      <c r="J42" s="115"/>
      <c r="K42" s="115" t="s">
        <v>557</v>
      </c>
      <c r="L42" s="115"/>
      <c r="M42" s="115"/>
      <c r="N42" s="115"/>
      <c r="O42" s="149"/>
      <c r="P42" s="11"/>
      <c r="Q42" s="148" t="s">
        <v>558</v>
      </c>
      <c r="R42" s="115">
        <v>6.8012888465852586E-2</v>
      </c>
      <c r="S42" s="115">
        <v>4.387844424080023E-2</v>
      </c>
      <c r="T42" s="115">
        <v>5.3289007766645871E-2</v>
      </c>
      <c r="U42" s="149">
        <v>5.447903102274565E-2</v>
      </c>
      <c r="V42" s="11"/>
      <c r="W42" s="148" t="s">
        <v>559</v>
      </c>
      <c r="X42" s="149">
        <v>2016</v>
      </c>
      <c r="Y42" s="11"/>
      <c r="Z42" s="148" t="s">
        <v>560</v>
      </c>
      <c r="AA42" s="115">
        <v>4.03890184699085E-3</v>
      </c>
      <c r="AB42" s="149">
        <v>0.01</v>
      </c>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row>
    <row r="43" spans="1:131">
      <c r="A43" s="11"/>
      <c r="B43" s="148" t="s">
        <v>561</v>
      </c>
      <c r="C43" s="115" t="s">
        <v>562</v>
      </c>
      <c r="D43" s="115" t="s">
        <v>561</v>
      </c>
      <c r="E43" s="149" t="s">
        <v>562</v>
      </c>
      <c r="F43" s="11"/>
      <c r="G43" s="148" t="s">
        <v>563</v>
      </c>
      <c r="H43" s="115" t="s">
        <v>564</v>
      </c>
      <c r="I43" s="115"/>
      <c r="J43" s="115"/>
      <c r="K43" s="115" t="s">
        <v>565</v>
      </c>
      <c r="L43" s="115"/>
      <c r="M43" s="115"/>
      <c r="N43" s="115"/>
      <c r="O43" s="149"/>
      <c r="P43" s="11"/>
      <c r="Q43" s="148" t="s">
        <v>566</v>
      </c>
      <c r="R43" s="115">
        <v>12</v>
      </c>
      <c r="S43" s="115">
        <v>12</v>
      </c>
      <c r="T43" s="115">
        <v>1</v>
      </c>
      <c r="U43" s="149">
        <v>1</v>
      </c>
      <c r="V43" s="11"/>
      <c r="W43" s="148" t="s">
        <v>567</v>
      </c>
      <c r="X43" s="149">
        <v>2016</v>
      </c>
      <c r="Y43" s="11"/>
      <c r="Z43" s="148" t="s">
        <v>568</v>
      </c>
      <c r="AA43" s="115">
        <v>26</v>
      </c>
      <c r="AB43" s="149">
        <v>0</v>
      </c>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row>
    <row r="44" spans="1:131" ht="13.5" thickBot="1">
      <c r="A44" s="11"/>
      <c r="B44" s="163" t="s">
        <v>569</v>
      </c>
      <c r="C44" s="370" t="s">
        <v>562</v>
      </c>
      <c r="D44" s="370" t="s">
        <v>569</v>
      </c>
      <c r="E44" s="371" t="s">
        <v>562</v>
      </c>
      <c r="F44" s="11"/>
      <c r="G44" s="148" t="s">
        <v>570</v>
      </c>
      <c r="H44" s="115" t="s">
        <v>571</v>
      </c>
      <c r="I44" s="115"/>
      <c r="J44" s="115"/>
      <c r="K44" s="115" t="s">
        <v>557</v>
      </c>
      <c r="L44" s="115"/>
      <c r="M44" s="115"/>
      <c r="N44" s="115"/>
      <c r="O44" s="149"/>
      <c r="P44" s="11"/>
      <c r="Q44" s="148"/>
      <c r="R44" s="115" t="s">
        <v>327</v>
      </c>
      <c r="S44" s="115" t="s">
        <v>548</v>
      </c>
      <c r="T44" s="115" t="s">
        <v>549</v>
      </c>
      <c r="U44" s="149" t="s">
        <v>550</v>
      </c>
      <c r="V44" s="11"/>
      <c r="W44" s="148" t="s">
        <v>572</v>
      </c>
      <c r="X44" s="149">
        <v>2012</v>
      </c>
      <c r="Y44" s="11"/>
      <c r="Z44" s="148" t="s">
        <v>573</v>
      </c>
      <c r="AA44" s="115">
        <v>0.9</v>
      </c>
      <c r="AB44" s="149" t="s">
        <v>574</v>
      </c>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row>
    <row r="45" spans="1:131">
      <c r="A45" s="11"/>
      <c r="B45" s="11"/>
      <c r="C45" s="11"/>
      <c r="D45" s="11"/>
      <c r="E45" s="11"/>
      <c r="F45" s="11"/>
      <c r="G45" s="148" t="s">
        <v>575</v>
      </c>
      <c r="H45" s="115" t="s">
        <v>564</v>
      </c>
      <c r="I45" s="115"/>
      <c r="J45" s="115"/>
      <c r="K45" s="115"/>
      <c r="L45" s="115"/>
      <c r="M45" s="115"/>
      <c r="N45" s="115"/>
      <c r="O45" s="149"/>
      <c r="P45" s="11"/>
      <c r="Q45" s="148" t="s">
        <v>576</v>
      </c>
      <c r="R45" s="115">
        <v>0.35</v>
      </c>
      <c r="S45" s="115">
        <v>0.19500000000000001</v>
      </c>
      <c r="T45" s="115">
        <v>0.45499999999999996</v>
      </c>
      <c r="U45" s="149">
        <v>0</v>
      </c>
      <c r="V45" s="11"/>
      <c r="W45" s="148" t="s">
        <v>577</v>
      </c>
      <c r="X45" s="149">
        <v>0.04</v>
      </c>
      <c r="Y45" s="11"/>
      <c r="Z45" s="148" t="s">
        <v>578</v>
      </c>
      <c r="AA45" s="115">
        <v>4.7399348199455904E-2</v>
      </c>
      <c r="AB45" s="149">
        <v>0</v>
      </c>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row>
    <row r="46" spans="1:131">
      <c r="A46" s="11"/>
      <c r="B46" s="11" t="s">
        <v>579</v>
      </c>
      <c r="C46" s="11" t="s">
        <v>545</v>
      </c>
      <c r="D46" s="11"/>
      <c r="E46" s="11"/>
      <c r="F46" s="11"/>
      <c r="G46" s="148" t="s">
        <v>580</v>
      </c>
      <c r="H46" s="115" t="s">
        <v>581</v>
      </c>
      <c r="I46" s="115"/>
      <c r="J46" s="115"/>
      <c r="K46" s="115" t="s">
        <v>582</v>
      </c>
      <c r="L46" s="115"/>
      <c r="M46" s="115"/>
      <c r="N46" s="115"/>
      <c r="O46" s="149"/>
      <c r="P46" s="11"/>
      <c r="Q46" s="148" t="s">
        <v>583</v>
      </c>
      <c r="R46" s="115">
        <v>1</v>
      </c>
      <c r="S46" s="115">
        <v>0</v>
      </c>
      <c r="T46" s="115">
        <v>0</v>
      </c>
      <c r="U46" s="149">
        <v>0</v>
      </c>
      <c r="V46" s="11"/>
      <c r="W46" s="148" t="s">
        <v>584</v>
      </c>
      <c r="X46" s="149">
        <v>0</v>
      </c>
      <c r="Y46" s="11"/>
      <c r="Z46" s="148" t="s">
        <v>585</v>
      </c>
      <c r="AA46" s="115">
        <v>31</v>
      </c>
      <c r="AB46" s="149">
        <v>0</v>
      </c>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row>
    <row r="47" spans="1:131">
      <c r="A47" s="11"/>
      <c r="B47" s="11" t="s">
        <v>586</v>
      </c>
      <c r="C47" s="11" t="s">
        <v>587</v>
      </c>
      <c r="D47" s="11"/>
      <c r="E47" s="11"/>
      <c r="F47" s="11"/>
      <c r="G47" s="148" t="s">
        <v>588</v>
      </c>
      <c r="H47" s="115" t="s">
        <v>582</v>
      </c>
      <c r="I47" s="115"/>
      <c r="J47" s="115"/>
      <c r="K47" s="115" t="s">
        <v>589</v>
      </c>
      <c r="L47" s="115"/>
      <c r="M47" s="115"/>
      <c r="N47" s="115"/>
      <c r="O47" s="149"/>
      <c r="P47" s="11"/>
      <c r="Q47" s="148" t="s">
        <v>590</v>
      </c>
      <c r="R47" s="115">
        <v>1</v>
      </c>
      <c r="S47" s="115">
        <v>0</v>
      </c>
      <c r="T47" s="115">
        <v>0</v>
      </c>
      <c r="U47" s="149">
        <v>0</v>
      </c>
      <c r="V47" s="11"/>
      <c r="W47" s="148" t="s">
        <v>591</v>
      </c>
      <c r="X47" s="149">
        <v>0.2</v>
      </c>
      <c r="Y47" s="11"/>
      <c r="Z47" s="148" t="s">
        <v>592</v>
      </c>
      <c r="AA47" s="115">
        <v>0.7</v>
      </c>
      <c r="AB47" s="149" t="s">
        <v>574</v>
      </c>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row>
    <row r="48" spans="1:131">
      <c r="A48" s="11"/>
      <c r="B48" s="11" t="s">
        <v>593</v>
      </c>
      <c r="C48" s="11" t="s">
        <v>594</v>
      </c>
      <c r="D48" s="11"/>
      <c r="E48" s="11"/>
      <c r="F48" s="11"/>
      <c r="G48" s="148" t="s">
        <v>595</v>
      </c>
      <c r="H48" s="115" t="s">
        <v>589</v>
      </c>
      <c r="I48" s="115"/>
      <c r="J48" s="115"/>
      <c r="K48" s="115" t="s">
        <v>596</v>
      </c>
      <c r="L48" s="115"/>
      <c r="M48" s="115"/>
      <c r="N48" s="115"/>
      <c r="O48" s="149"/>
      <c r="P48" s="11"/>
      <c r="Q48" s="148" t="s">
        <v>597</v>
      </c>
      <c r="R48" s="115"/>
      <c r="S48" s="115">
        <v>0.3</v>
      </c>
      <c r="T48" s="115">
        <v>0.7</v>
      </c>
      <c r="U48" s="149">
        <v>0</v>
      </c>
      <c r="V48" s="11"/>
      <c r="W48" s="148" t="s">
        <v>598</v>
      </c>
      <c r="X48" s="149">
        <v>0</v>
      </c>
      <c r="Y48" s="11"/>
      <c r="Z48" s="148" t="s">
        <v>599</v>
      </c>
      <c r="AA48" s="115">
        <v>0</v>
      </c>
      <c r="AB48" s="149">
        <v>0</v>
      </c>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row>
    <row r="49" spans="1:131" ht="13.5" thickBot="1">
      <c r="A49" s="11"/>
      <c r="B49" s="11" t="s">
        <v>600</v>
      </c>
      <c r="C49" s="11" t="s">
        <v>601</v>
      </c>
      <c r="D49" s="11"/>
      <c r="E49" s="11"/>
      <c r="F49" s="11"/>
      <c r="G49" s="163" t="s">
        <v>602</v>
      </c>
      <c r="H49" s="370" t="s">
        <v>596</v>
      </c>
      <c r="I49" s="370"/>
      <c r="J49" s="370"/>
      <c r="K49" s="370"/>
      <c r="L49" s="370"/>
      <c r="M49" s="370"/>
      <c r="N49" s="370"/>
      <c r="O49" s="371"/>
      <c r="P49" s="11"/>
      <c r="Q49" s="163" t="s">
        <v>603</v>
      </c>
      <c r="R49" s="370"/>
      <c r="S49" s="370">
        <v>20</v>
      </c>
      <c r="T49" s="370"/>
      <c r="U49" s="371"/>
      <c r="V49" s="11"/>
      <c r="W49" s="163" t="s">
        <v>604</v>
      </c>
      <c r="X49" s="371">
        <v>2018</v>
      </c>
      <c r="Y49" s="11"/>
      <c r="Z49" s="163" t="s">
        <v>605</v>
      </c>
      <c r="AA49" s="370">
        <v>0</v>
      </c>
      <c r="AB49" s="371">
        <v>0</v>
      </c>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row>
    <row r="50" spans="1:131">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row>
    <row r="51" spans="1:131">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row>
    <row r="52" spans="1:131">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row>
    <row r="53" spans="1:131">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row>
    <row r="54" spans="1:131">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row>
    <row r="55" spans="1:131">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row>
    <row r="56" spans="1:131">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row>
    <row r="57" spans="1:131" ht="13.5" thickBot="1">
      <c r="A57" s="367" t="s">
        <v>606</v>
      </c>
      <c r="B57" s="369"/>
      <c r="C57" s="32"/>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2"/>
      <c r="AI57" s="32"/>
      <c r="AJ57" s="32"/>
      <c r="AK57" s="32"/>
      <c r="AL57" s="32"/>
      <c r="AM57" s="32"/>
      <c r="AN57" s="32"/>
      <c r="AO57" s="32"/>
      <c r="AP57" s="32"/>
      <c r="AQ57" s="32"/>
      <c r="AR57" s="32"/>
      <c r="AS57" s="32"/>
      <c r="AT57" s="32"/>
      <c r="AU57" s="32"/>
      <c r="AV57" s="32"/>
      <c r="AW57" s="32"/>
      <c r="AX57" s="32"/>
      <c r="AY57" s="32"/>
      <c r="AZ57" s="32"/>
      <c r="BA57" s="32"/>
      <c r="BB57" s="32"/>
      <c r="BC57" s="32"/>
      <c r="BD57" s="32"/>
      <c r="BE57" s="32"/>
      <c r="BF57" s="32"/>
      <c r="BG57" s="32"/>
      <c r="BH57" s="32"/>
      <c r="BI57" s="32"/>
      <c r="BJ57" s="32"/>
      <c r="BK57" s="32"/>
      <c r="BL57" s="32"/>
      <c r="BM57" s="32"/>
      <c r="BN57" s="32"/>
      <c r="BO57" s="32"/>
      <c r="BP57" s="32"/>
      <c r="BQ57" s="32"/>
      <c r="BR57" s="32"/>
      <c r="BS57" s="32"/>
      <c r="BT57" s="32"/>
      <c r="BU57" s="32"/>
      <c r="BV57" s="32"/>
      <c r="BW57" s="32"/>
      <c r="BX57" s="32"/>
      <c r="BY57" s="32"/>
      <c r="BZ57" s="32"/>
      <c r="CA57" s="32"/>
      <c r="CB57" s="32"/>
      <c r="CC57" s="32"/>
      <c r="CD57" s="32"/>
      <c r="CE57" s="32"/>
      <c r="CF57" s="32"/>
      <c r="CG57" s="32"/>
      <c r="CH57" s="32"/>
      <c r="CI57" s="32"/>
      <c r="CJ57" s="32"/>
      <c r="CK57" s="32"/>
      <c r="CL57" s="32"/>
      <c r="CM57" s="32"/>
      <c r="CN57" s="32"/>
      <c r="CO57" s="32"/>
      <c r="CP57" s="32"/>
      <c r="CQ57" s="32"/>
      <c r="CR57" s="32"/>
      <c r="CS57" s="32"/>
      <c r="CT57" s="32"/>
      <c r="CU57" s="32"/>
      <c r="CV57" s="32"/>
      <c r="CW57" s="32"/>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row>
    <row r="58" spans="1:131" ht="26.25" thickBot="1">
      <c r="A58" s="372" t="s">
        <v>291</v>
      </c>
      <c r="B58" s="373"/>
      <c r="C58" s="374" t="s">
        <v>292</v>
      </c>
      <c r="D58" s="375"/>
      <c r="E58" s="375"/>
      <c r="F58" s="375"/>
      <c r="G58" s="375"/>
      <c r="H58" s="375"/>
      <c r="I58" s="375"/>
      <c r="J58" s="375"/>
      <c r="K58" s="376"/>
      <c r="L58" s="374" t="s">
        <v>102</v>
      </c>
      <c r="M58" s="375"/>
      <c r="N58" s="375"/>
      <c r="O58" s="375"/>
      <c r="P58" s="375"/>
      <c r="Q58" s="376"/>
      <c r="R58" s="374" t="s">
        <v>293</v>
      </c>
      <c r="S58" s="375"/>
      <c r="T58" s="375"/>
      <c r="U58" s="376"/>
      <c r="V58" s="374" t="s">
        <v>294</v>
      </c>
      <c r="W58" s="375"/>
      <c r="X58" s="375"/>
      <c r="Y58" s="376"/>
      <c r="Z58" s="374" t="s">
        <v>295</v>
      </c>
      <c r="AA58" s="375"/>
      <c r="AB58" s="375"/>
      <c r="AC58" s="376"/>
      <c r="AD58" s="374" t="s">
        <v>296</v>
      </c>
      <c r="AE58" s="375"/>
      <c r="AF58" s="375"/>
      <c r="AG58" s="376"/>
      <c r="AH58" s="374" t="s">
        <v>297</v>
      </c>
      <c r="AI58" s="375"/>
      <c r="AJ58" s="375"/>
      <c r="AK58" s="375"/>
      <c r="AL58" s="376"/>
      <c r="AM58" s="374" t="s">
        <v>298</v>
      </c>
      <c r="AN58" s="375"/>
      <c r="AO58" s="375"/>
      <c r="AP58" s="375"/>
      <c r="AQ58" s="375"/>
      <c r="AR58" s="375"/>
      <c r="AS58" s="376"/>
      <c r="AT58" s="374" t="s">
        <v>299</v>
      </c>
      <c r="AU58" s="375"/>
      <c r="AV58" s="375"/>
      <c r="AW58" s="375"/>
      <c r="AX58" s="375"/>
      <c r="AY58" s="375"/>
      <c r="AZ58" s="376"/>
      <c r="BA58" s="374" t="s">
        <v>300</v>
      </c>
      <c r="BB58" s="375"/>
      <c r="BC58" s="375"/>
      <c r="BD58" s="375"/>
      <c r="BE58" s="375"/>
      <c r="BF58" s="376"/>
      <c r="BG58" s="374" t="s">
        <v>301</v>
      </c>
      <c r="BH58" s="376"/>
      <c r="BI58" s="374" t="s">
        <v>302</v>
      </c>
      <c r="BJ58" s="375"/>
      <c r="BK58" s="375"/>
      <c r="BL58" s="375"/>
      <c r="BM58" s="376"/>
      <c r="BN58" s="374" t="s">
        <v>303</v>
      </c>
      <c r="BO58" s="375"/>
      <c r="BP58" s="375"/>
      <c r="BQ58" s="375"/>
      <c r="BR58" s="375"/>
      <c r="BS58" s="375"/>
      <c r="BT58" s="375"/>
      <c r="BU58" s="375"/>
      <c r="BV58" s="375"/>
      <c r="BW58" s="375"/>
      <c r="BX58" s="375"/>
      <c r="BY58" s="375"/>
      <c r="BZ58" s="375"/>
      <c r="CA58" s="375"/>
      <c r="CB58" s="375"/>
      <c r="CC58" s="376"/>
      <c r="CD58" s="374" t="s">
        <v>304</v>
      </c>
      <c r="CE58" s="376"/>
      <c r="CF58" s="374" t="s">
        <v>305</v>
      </c>
      <c r="CG58" s="375"/>
      <c r="CH58" s="375"/>
      <c r="CI58" s="375"/>
      <c r="CJ58" s="375"/>
      <c r="CK58" s="376"/>
      <c r="CL58" s="377"/>
      <c r="CM58" s="374" t="s">
        <v>15</v>
      </c>
      <c r="CN58" s="375"/>
      <c r="CO58" s="375"/>
      <c r="CP58" s="376"/>
      <c r="CQ58" s="374" t="s">
        <v>306</v>
      </c>
      <c r="CR58" s="375"/>
      <c r="CS58" s="375"/>
      <c r="CT58" s="375"/>
      <c r="CU58" s="376"/>
      <c r="CV58" s="374" t="s">
        <v>307</v>
      </c>
      <c r="CW58" s="376"/>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row>
    <row r="59" spans="1:131" ht="127.5">
      <c r="A59" s="378" t="s">
        <v>308</v>
      </c>
      <c r="B59" s="379" t="s">
        <v>309</v>
      </c>
      <c r="C59" s="380" t="s">
        <v>8</v>
      </c>
      <c r="D59" s="380" t="s">
        <v>310</v>
      </c>
      <c r="E59" s="380" t="s">
        <v>311</v>
      </c>
      <c r="F59" s="380" t="s">
        <v>312</v>
      </c>
      <c r="G59" s="380" t="s">
        <v>313</v>
      </c>
      <c r="H59" s="380" t="s">
        <v>314</v>
      </c>
      <c r="I59" s="380" t="s">
        <v>315</v>
      </c>
      <c r="J59" s="380" t="s">
        <v>316</v>
      </c>
      <c r="K59" s="380" t="s">
        <v>317</v>
      </c>
      <c r="L59" s="380" t="s">
        <v>318</v>
      </c>
      <c r="M59" s="380" t="s">
        <v>319</v>
      </c>
      <c r="N59" s="380" t="s">
        <v>320</v>
      </c>
      <c r="O59" s="380" t="s">
        <v>321</v>
      </c>
      <c r="P59" s="380" t="s">
        <v>322</v>
      </c>
      <c r="Q59" s="380" t="s">
        <v>323</v>
      </c>
      <c r="R59" s="380" t="s">
        <v>324</v>
      </c>
      <c r="S59" s="380" t="s">
        <v>325</v>
      </c>
      <c r="T59" s="380" t="s">
        <v>326</v>
      </c>
      <c r="U59" s="380" t="s">
        <v>327</v>
      </c>
      <c r="V59" s="380" t="s">
        <v>324</v>
      </c>
      <c r="W59" s="380" t="s">
        <v>325</v>
      </c>
      <c r="X59" s="380" t="s">
        <v>326</v>
      </c>
      <c r="Y59" s="380" t="s">
        <v>327</v>
      </c>
      <c r="Z59" s="380" t="s">
        <v>324</v>
      </c>
      <c r="AA59" s="380" t="s">
        <v>325</v>
      </c>
      <c r="AB59" s="380" t="s">
        <v>326</v>
      </c>
      <c r="AC59" s="380" t="s">
        <v>327</v>
      </c>
      <c r="AD59" s="380" t="s">
        <v>324</v>
      </c>
      <c r="AE59" s="380" t="s">
        <v>325</v>
      </c>
      <c r="AF59" s="380" t="s">
        <v>326</v>
      </c>
      <c r="AG59" s="380" t="s">
        <v>327</v>
      </c>
      <c r="AH59" s="380" t="s">
        <v>324</v>
      </c>
      <c r="AI59" s="380" t="s">
        <v>325</v>
      </c>
      <c r="AJ59" s="380" t="s">
        <v>326</v>
      </c>
      <c r="AK59" s="380" t="s">
        <v>327</v>
      </c>
      <c r="AL59" s="380" t="s">
        <v>156</v>
      </c>
      <c r="AM59" s="380" t="s">
        <v>328</v>
      </c>
      <c r="AN59" s="380" t="s">
        <v>329</v>
      </c>
      <c r="AO59" s="380" t="s">
        <v>330</v>
      </c>
      <c r="AP59" s="380" t="s">
        <v>331</v>
      </c>
      <c r="AQ59" s="380" t="s">
        <v>332</v>
      </c>
      <c r="AR59" s="380" t="s">
        <v>333</v>
      </c>
      <c r="AS59" s="380" t="s">
        <v>334</v>
      </c>
      <c r="AT59" s="380" t="s">
        <v>335</v>
      </c>
      <c r="AU59" s="380" t="s">
        <v>336</v>
      </c>
      <c r="AV59" s="380" t="s">
        <v>337</v>
      </c>
      <c r="AW59" s="380" t="s">
        <v>338</v>
      </c>
      <c r="AX59" s="380" t="s">
        <v>339</v>
      </c>
      <c r="AY59" s="380" t="s">
        <v>340</v>
      </c>
      <c r="AZ59" s="380" t="s">
        <v>341</v>
      </c>
      <c r="BA59" s="380" t="s">
        <v>342</v>
      </c>
      <c r="BB59" s="380" t="s">
        <v>343</v>
      </c>
      <c r="BC59" s="380" t="s">
        <v>344</v>
      </c>
      <c r="BD59" s="380" t="s">
        <v>345</v>
      </c>
      <c r="BE59" s="380" t="s">
        <v>346</v>
      </c>
      <c r="BF59" s="380" t="s">
        <v>347</v>
      </c>
      <c r="BG59" s="380" t="s">
        <v>348</v>
      </c>
      <c r="BH59" s="380" t="s">
        <v>349</v>
      </c>
      <c r="BI59" s="380" t="s">
        <v>350</v>
      </c>
      <c r="BJ59" s="380" t="s">
        <v>351</v>
      </c>
      <c r="BK59" s="380" t="s">
        <v>352</v>
      </c>
      <c r="BL59" s="380" t="s">
        <v>353</v>
      </c>
      <c r="BM59" s="380" t="s">
        <v>354</v>
      </c>
      <c r="BN59" s="380" t="s">
        <v>355</v>
      </c>
      <c r="BO59" s="380" t="s">
        <v>356</v>
      </c>
      <c r="BP59" s="380" t="s">
        <v>357</v>
      </c>
      <c r="BQ59" s="380" t="s">
        <v>358</v>
      </c>
      <c r="BR59" s="380" t="s">
        <v>359</v>
      </c>
      <c r="BS59" s="380" t="s">
        <v>360</v>
      </c>
      <c r="BT59" s="380" t="s">
        <v>361</v>
      </c>
      <c r="BU59" s="380" t="s">
        <v>362</v>
      </c>
      <c r="BV59" s="380" t="s">
        <v>363</v>
      </c>
      <c r="BW59" s="380" t="s">
        <v>364</v>
      </c>
      <c r="BX59" s="380" t="s">
        <v>365</v>
      </c>
      <c r="BY59" s="380" t="s">
        <v>366</v>
      </c>
      <c r="BZ59" s="380" t="s">
        <v>367</v>
      </c>
      <c r="CA59" s="380" t="s">
        <v>368</v>
      </c>
      <c r="CB59" s="380" t="s">
        <v>369</v>
      </c>
      <c r="CC59" s="380" t="s">
        <v>370</v>
      </c>
      <c r="CD59" s="380" t="s">
        <v>371</v>
      </c>
      <c r="CE59" s="380" t="s">
        <v>372</v>
      </c>
      <c r="CF59" s="380" t="s">
        <v>373</v>
      </c>
      <c r="CG59" s="380" t="s">
        <v>374</v>
      </c>
      <c r="CH59" s="380" t="s">
        <v>375</v>
      </c>
      <c r="CI59" s="380" t="s">
        <v>607</v>
      </c>
      <c r="CJ59" s="380" t="s">
        <v>608</v>
      </c>
      <c r="CK59" s="380" t="s">
        <v>609</v>
      </c>
      <c r="CL59" s="380"/>
      <c r="CM59" s="380" t="s">
        <v>376</v>
      </c>
      <c r="CN59" s="380" t="s">
        <v>377</v>
      </c>
      <c r="CO59" s="380" t="s">
        <v>378</v>
      </c>
      <c r="CP59" s="380" t="s">
        <v>379</v>
      </c>
      <c r="CQ59" s="380" t="s">
        <v>380</v>
      </c>
      <c r="CR59" s="380" t="s">
        <v>381</v>
      </c>
      <c r="CS59" s="380" t="s">
        <v>382</v>
      </c>
      <c r="CT59" s="380" t="s">
        <v>383</v>
      </c>
      <c r="CU59" s="380" t="s">
        <v>384</v>
      </c>
      <c r="CV59" s="380" t="s">
        <v>385</v>
      </c>
      <c r="CW59" s="381" t="s">
        <v>386</v>
      </c>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row>
    <row r="60" spans="1:131">
      <c r="A60" s="11" t="s">
        <v>663</v>
      </c>
      <c r="B60" s="11" t="s">
        <v>526</v>
      </c>
      <c r="C60" s="32">
        <v>11.627906976744185</v>
      </c>
      <c r="D60" s="32">
        <v>84.924999999999983</v>
      </c>
      <c r="E60" s="32">
        <v>0</v>
      </c>
      <c r="F60" s="32">
        <v>-2.1479739877325699</v>
      </c>
      <c r="G60" s="32">
        <v>0</v>
      </c>
      <c r="H60" s="32">
        <v>0</v>
      </c>
      <c r="I60" s="32" t="s">
        <v>525</v>
      </c>
      <c r="J60" s="32"/>
      <c r="K60" s="32"/>
      <c r="L60" s="32">
        <v>91.04790429173427</v>
      </c>
      <c r="M60" s="32">
        <v>2.1251923908164289E-2</v>
      </c>
      <c r="N60" s="32">
        <v>2.1098537051683956E-2</v>
      </c>
      <c r="O60" s="32">
        <v>0</v>
      </c>
      <c r="P60" s="32">
        <v>0</v>
      </c>
      <c r="Q60" s="32">
        <v>0</v>
      </c>
      <c r="R60" s="32">
        <v>-0.4283347068690555</v>
      </c>
      <c r="S60" s="32">
        <v>-0.98981635823323932</v>
      </c>
      <c r="T60" s="32">
        <v>0</v>
      </c>
      <c r="U60" s="32">
        <v>-2.0953372285613403</v>
      </c>
      <c r="V60" s="32" t="s">
        <v>610</v>
      </c>
      <c r="W60" s="32" t="s">
        <v>610</v>
      </c>
      <c r="X60" s="32" t="s">
        <v>610</v>
      </c>
      <c r="Y60" s="32" t="s">
        <v>610</v>
      </c>
      <c r="Z60" s="32">
        <v>0</v>
      </c>
      <c r="AA60" s="32">
        <v>0</v>
      </c>
      <c r="AB60" s="32">
        <v>0</v>
      </c>
      <c r="AC60" s="32">
        <v>0</v>
      </c>
      <c r="AD60" s="32">
        <v>0</v>
      </c>
      <c r="AE60" s="32">
        <v>0</v>
      </c>
      <c r="AF60" s="32">
        <v>0</v>
      </c>
      <c r="AG60" s="32">
        <v>0</v>
      </c>
      <c r="AH60" s="32">
        <v>-0.4283347068690555</v>
      </c>
      <c r="AI60" s="32">
        <v>-0.98981635823323932</v>
      </c>
      <c r="AJ60" s="32">
        <v>0</v>
      </c>
      <c r="AK60" s="32">
        <v>-2.0953372285613403</v>
      </c>
      <c r="AL60" s="32">
        <v>-3.5134882936636354</v>
      </c>
      <c r="AM60" s="32">
        <v>43.640183554751601</v>
      </c>
      <c r="AN60" s="32">
        <v>7.5093351156297174</v>
      </c>
      <c r="AO60" s="32">
        <v>0</v>
      </c>
      <c r="AP60" s="32">
        <v>0</v>
      </c>
      <c r="AQ60" s="32">
        <v>51.149518670381319</v>
      </c>
      <c r="AR60" s="32">
        <v>-0.4283347068690555</v>
      </c>
      <c r="AS60" s="382">
        <v>9999</v>
      </c>
      <c r="AT60" s="32">
        <v>43.640183554751601</v>
      </c>
      <c r="AU60" s="32">
        <v>8.8888161219470927</v>
      </c>
      <c r="AV60" s="32">
        <v>0</v>
      </c>
      <c r="AW60" s="32">
        <v>0</v>
      </c>
      <c r="AX60" s="32">
        <v>52.528999676698696</v>
      </c>
      <c r="AY60" s="32">
        <v>-0.98981635823323932</v>
      </c>
      <c r="AZ60" s="382">
        <v>9999</v>
      </c>
      <c r="BA60" s="32">
        <v>43.640183554751601</v>
      </c>
      <c r="BB60" s="32">
        <v>16.398151237576812</v>
      </c>
      <c r="BC60" s="32">
        <v>0</v>
      </c>
      <c r="BD60" s="32">
        <v>0</v>
      </c>
      <c r="BE60" s="32">
        <v>60.038334792328413</v>
      </c>
      <c r="BF60" s="32">
        <v>-1.4181510651022948</v>
      </c>
      <c r="BG60" s="32">
        <v>-14.398516012126633</v>
      </c>
      <c r="BH60" s="382">
        <v>9999</v>
      </c>
      <c r="BI60" s="32">
        <v>-0.34616521602668637</v>
      </c>
      <c r="BJ60" s="32">
        <v>-0.79993516280553101</v>
      </c>
      <c r="BK60" s="32">
        <v>0</v>
      </c>
      <c r="BL60" s="32">
        <v>-1.6933786890060101</v>
      </c>
      <c r="BM60" s="32">
        <v>-2.8394790678382278</v>
      </c>
      <c r="BN60" s="32">
        <v>43.640183554751601</v>
      </c>
      <c r="BO60" s="32">
        <v>0</v>
      </c>
      <c r="BP60" s="32">
        <v>16.398151237576812</v>
      </c>
      <c r="BQ60" s="32">
        <v>0</v>
      </c>
      <c r="BR60" s="32">
        <v>0</v>
      </c>
      <c r="BS60" s="32">
        <v>0</v>
      </c>
      <c r="BT60" s="32">
        <v>0</v>
      </c>
      <c r="BU60" s="32">
        <v>0</v>
      </c>
      <c r="BV60" s="32">
        <v>0</v>
      </c>
      <c r="BW60" s="32">
        <v>0</v>
      </c>
      <c r="BX60" s="32">
        <v>-3.5134882936636354</v>
      </c>
      <c r="BY60" s="32"/>
      <c r="BZ60" s="32">
        <v>0</v>
      </c>
      <c r="CA60" s="32">
        <v>0</v>
      </c>
      <c r="CB60" s="32">
        <v>60.038334792328413</v>
      </c>
      <c r="CC60" s="32">
        <v>-3.5134882936636354</v>
      </c>
      <c r="CD60" s="382">
        <v>9999</v>
      </c>
      <c r="CE60" s="32">
        <v>-16.091894701132642</v>
      </c>
      <c r="CF60" s="32">
        <v>0.86495738240238373</v>
      </c>
      <c r="CG60" s="32">
        <v>0</v>
      </c>
      <c r="CH60" s="32">
        <v>0.86495738240238373</v>
      </c>
      <c r="CI60" s="32">
        <v>4.3247754538573782E-2</v>
      </c>
      <c r="CJ60" s="32">
        <v>0</v>
      </c>
      <c r="CK60" s="32">
        <v>4.3247754538573782E-2</v>
      </c>
      <c r="CL60" s="32"/>
      <c r="CM60" s="32">
        <v>0</v>
      </c>
      <c r="CN60" s="32"/>
      <c r="CO60" s="32">
        <v>0</v>
      </c>
      <c r="CP60" s="32">
        <v>0</v>
      </c>
      <c r="CQ60" s="32">
        <v>0</v>
      </c>
      <c r="CR60" s="32">
        <v>0</v>
      </c>
      <c r="CS60" s="32">
        <v>0</v>
      </c>
      <c r="CT60" s="32">
        <v>0</v>
      </c>
      <c r="CU60" s="32">
        <v>0</v>
      </c>
      <c r="CV60" s="32">
        <v>9999</v>
      </c>
      <c r="CW60" s="382">
        <v>9999</v>
      </c>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row>
    <row r="61" spans="1:131">
      <c r="A61" s="11" t="s">
        <v>663</v>
      </c>
      <c r="B61" s="11" t="s">
        <v>527</v>
      </c>
      <c r="C61" s="32">
        <v>11.627906976744185</v>
      </c>
      <c r="D61" s="32">
        <v>84.924999999999983</v>
      </c>
      <c r="E61" s="32">
        <v>0</v>
      </c>
      <c r="F61" s="32">
        <v>-2.1479739877325699</v>
      </c>
      <c r="G61" s="32">
        <v>0</v>
      </c>
      <c r="H61" s="32">
        <v>0</v>
      </c>
      <c r="I61" s="32" t="s">
        <v>525</v>
      </c>
      <c r="J61" s="32"/>
      <c r="K61" s="32"/>
      <c r="L61" s="32">
        <v>91.04790429173427</v>
      </c>
      <c r="M61" s="32">
        <v>2.1251923908164289E-2</v>
      </c>
      <c r="N61" s="32">
        <v>2.1098537051683956E-2</v>
      </c>
      <c r="O61" s="32">
        <v>0</v>
      </c>
      <c r="P61" s="32">
        <v>0</v>
      </c>
      <c r="Q61" s="32">
        <v>0</v>
      </c>
      <c r="R61" s="32">
        <v>-0.4283347068690555</v>
      </c>
      <c r="S61" s="32">
        <v>-0.98981635823323932</v>
      </c>
      <c r="T61" s="32">
        <v>0</v>
      </c>
      <c r="U61" s="32">
        <v>-2.0953372285613403</v>
      </c>
      <c r="V61" s="32" t="s">
        <v>610</v>
      </c>
      <c r="W61" s="32" t="s">
        <v>610</v>
      </c>
      <c r="X61" s="32" t="s">
        <v>610</v>
      </c>
      <c r="Y61" s="32" t="s">
        <v>610</v>
      </c>
      <c r="Z61" s="32">
        <v>0</v>
      </c>
      <c r="AA61" s="32">
        <v>0</v>
      </c>
      <c r="AB61" s="32">
        <v>0</v>
      </c>
      <c r="AC61" s="32">
        <v>0</v>
      </c>
      <c r="AD61" s="32">
        <v>0</v>
      </c>
      <c r="AE61" s="32">
        <v>0</v>
      </c>
      <c r="AF61" s="32">
        <v>0</v>
      </c>
      <c r="AG61" s="32">
        <v>0</v>
      </c>
      <c r="AH61" s="32">
        <v>-0.4283347068690555</v>
      </c>
      <c r="AI61" s="32">
        <v>-0.98981635823323932</v>
      </c>
      <c r="AJ61" s="32">
        <v>0</v>
      </c>
      <c r="AK61" s="32">
        <v>-2.0953372285613403</v>
      </c>
      <c r="AL61" s="32">
        <v>-3.5134882936636354</v>
      </c>
      <c r="AM61" s="32">
        <v>43.640183554751601</v>
      </c>
      <c r="AN61" s="32">
        <v>7.5093351156297174</v>
      </c>
      <c r="AO61" s="32">
        <v>0</v>
      </c>
      <c r="AP61" s="32">
        <v>0</v>
      </c>
      <c r="AQ61" s="32">
        <v>51.149518670381319</v>
      </c>
      <c r="AR61" s="32">
        <v>-0.4283347068690555</v>
      </c>
      <c r="AS61" s="382">
        <v>9999</v>
      </c>
      <c r="AT61" s="32">
        <v>43.640183554751601</v>
      </c>
      <c r="AU61" s="32">
        <v>8.8888161219470927</v>
      </c>
      <c r="AV61" s="32">
        <v>0</v>
      </c>
      <c r="AW61" s="32">
        <v>0</v>
      </c>
      <c r="AX61" s="32">
        <v>52.528999676698696</v>
      </c>
      <c r="AY61" s="32">
        <v>-0.98981635823323932</v>
      </c>
      <c r="AZ61" s="382">
        <v>9999</v>
      </c>
      <c r="BA61" s="32">
        <v>43.640183554751601</v>
      </c>
      <c r="BB61" s="32">
        <v>16.398151237576812</v>
      </c>
      <c r="BC61" s="32">
        <v>0</v>
      </c>
      <c r="BD61" s="32">
        <v>0</v>
      </c>
      <c r="BE61" s="32">
        <v>60.038334792328413</v>
      </c>
      <c r="BF61" s="32">
        <v>-1.4181510651022948</v>
      </c>
      <c r="BG61" s="32">
        <v>-14.398516012126633</v>
      </c>
      <c r="BH61" s="382">
        <v>9999</v>
      </c>
      <c r="BI61" s="32">
        <v>-0.34616521602668637</v>
      </c>
      <c r="BJ61" s="32">
        <v>-0.79993516280553101</v>
      </c>
      <c r="BK61" s="32">
        <v>0</v>
      </c>
      <c r="BL61" s="32">
        <v>-1.6933786890060101</v>
      </c>
      <c r="BM61" s="32">
        <v>-2.8394790678382278</v>
      </c>
      <c r="BN61" s="32">
        <v>43.640183554751601</v>
      </c>
      <c r="BO61" s="32">
        <v>0</v>
      </c>
      <c r="BP61" s="32">
        <v>16.398151237576812</v>
      </c>
      <c r="BQ61" s="32">
        <v>0</v>
      </c>
      <c r="BR61" s="32">
        <v>0</v>
      </c>
      <c r="BS61" s="32">
        <v>0</v>
      </c>
      <c r="BT61" s="32">
        <v>0</v>
      </c>
      <c r="BU61" s="32">
        <v>0</v>
      </c>
      <c r="BV61" s="32">
        <v>0</v>
      </c>
      <c r="BW61" s="32">
        <v>0</v>
      </c>
      <c r="BX61" s="32">
        <v>-3.5134882936636354</v>
      </c>
      <c r="BY61" s="32"/>
      <c r="BZ61" s="32">
        <v>0</v>
      </c>
      <c r="CA61" s="32">
        <v>0</v>
      </c>
      <c r="CB61" s="32">
        <v>60.038334792328413</v>
      </c>
      <c r="CC61" s="32">
        <v>-3.5134882936636354</v>
      </c>
      <c r="CD61" s="382">
        <v>9999</v>
      </c>
      <c r="CE61" s="32">
        <v>-16.091894701132642</v>
      </c>
      <c r="CF61" s="32">
        <v>0.86495738240238373</v>
      </c>
      <c r="CG61" s="32">
        <v>0</v>
      </c>
      <c r="CH61" s="32">
        <v>0.86495738240238373</v>
      </c>
      <c r="CI61" s="32">
        <v>4.3247754538573782E-2</v>
      </c>
      <c r="CJ61" s="32">
        <v>0</v>
      </c>
      <c r="CK61" s="32">
        <v>4.3247754538573782E-2</v>
      </c>
      <c r="CL61" s="32"/>
      <c r="CM61" s="32">
        <v>0</v>
      </c>
      <c r="CN61" s="32"/>
      <c r="CO61" s="32">
        <v>0</v>
      </c>
      <c r="CP61" s="32">
        <v>0</v>
      </c>
      <c r="CQ61" s="32">
        <v>0</v>
      </c>
      <c r="CR61" s="32">
        <v>0</v>
      </c>
      <c r="CS61" s="32">
        <v>0</v>
      </c>
      <c r="CT61" s="32">
        <v>0</v>
      </c>
      <c r="CU61" s="32">
        <v>0</v>
      </c>
      <c r="CV61" s="32">
        <v>9999</v>
      </c>
      <c r="CW61" s="382">
        <v>9999</v>
      </c>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row>
    <row r="62" spans="1:131">
      <c r="A62" s="11" t="s">
        <v>663</v>
      </c>
      <c r="B62" s="11" t="s">
        <v>528</v>
      </c>
      <c r="C62" s="32">
        <v>11.627906976744185</v>
      </c>
      <c r="D62" s="32">
        <v>67.724999999999994</v>
      </c>
      <c r="E62" s="32">
        <v>0</v>
      </c>
      <c r="F62" s="32">
        <v>-2.1479739877325699</v>
      </c>
      <c r="G62" s="32">
        <v>0</v>
      </c>
      <c r="H62" s="32">
        <v>0</v>
      </c>
      <c r="I62" s="32" t="s">
        <v>525</v>
      </c>
      <c r="J62" s="32"/>
      <c r="K62" s="32"/>
      <c r="L62" s="32">
        <v>72.607822409864042</v>
      </c>
      <c r="M62" s="32">
        <v>1.6947736787523423E-2</v>
      </c>
      <c r="N62" s="32">
        <v>1.6825415623494804E-2</v>
      </c>
      <c r="O62" s="32">
        <v>0</v>
      </c>
      <c r="P62" s="32">
        <v>0</v>
      </c>
      <c r="Q62" s="32">
        <v>0</v>
      </c>
      <c r="R62" s="32">
        <v>-0.4283347068690555</v>
      </c>
      <c r="S62" s="32">
        <v>-0.98981635823323932</v>
      </c>
      <c r="T62" s="32">
        <v>0</v>
      </c>
      <c r="U62" s="32">
        <v>-2.0953372285613403</v>
      </c>
      <c r="V62" s="32" t="s">
        <v>610</v>
      </c>
      <c r="W62" s="32" t="s">
        <v>610</v>
      </c>
      <c r="X62" s="32" t="s">
        <v>610</v>
      </c>
      <c r="Y62" s="32" t="s">
        <v>610</v>
      </c>
      <c r="Z62" s="32">
        <v>0</v>
      </c>
      <c r="AA62" s="32">
        <v>0</v>
      </c>
      <c r="AB62" s="32">
        <v>0</v>
      </c>
      <c r="AC62" s="32">
        <v>0</v>
      </c>
      <c r="AD62" s="32">
        <v>0</v>
      </c>
      <c r="AE62" s="32">
        <v>0</v>
      </c>
      <c r="AF62" s="32">
        <v>0</v>
      </c>
      <c r="AG62" s="32">
        <v>0</v>
      </c>
      <c r="AH62" s="32">
        <v>-0.4283347068690555</v>
      </c>
      <c r="AI62" s="32">
        <v>-0.98981635823323932</v>
      </c>
      <c r="AJ62" s="32">
        <v>0</v>
      </c>
      <c r="AK62" s="32">
        <v>-2.0953372285613403</v>
      </c>
      <c r="AL62" s="32">
        <v>-3.5134882936636354</v>
      </c>
      <c r="AM62" s="32">
        <v>34.801665366447452</v>
      </c>
      <c r="AN62" s="32">
        <v>5.9884571175274965</v>
      </c>
      <c r="AO62" s="32">
        <v>0</v>
      </c>
      <c r="AP62" s="32">
        <v>0</v>
      </c>
      <c r="AQ62" s="32">
        <v>40.790122483974947</v>
      </c>
      <c r="AR62" s="32">
        <v>-0.4283347068690555</v>
      </c>
      <c r="AS62" s="382">
        <v>9999</v>
      </c>
      <c r="AT62" s="32">
        <v>34.801665366447452</v>
      </c>
      <c r="AU62" s="32">
        <v>7.0885495656033806</v>
      </c>
      <c r="AV62" s="32">
        <v>0</v>
      </c>
      <c r="AW62" s="32">
        <v>0</v>
      </c>
      <c r="AX62" s="32">
        <v>41.890214932050831</v>
      </c>
      <c r="AY62" s="32">
        <v>-0.98981635823323932</v>
      </c>
      <c r="AZ62" s="382">
        <v>9999</v>
      </c>
      <c r="BA62" s="32">
        <v>34.801665366447452</v>
      </c>
      <c r="BB62" s="32">
        <v>13.077006683130877</v>
      </c>
      <c r="BC62" s="32">
        <v>0</v>
      </c>
      <c r="BD62" s="32">
        <v>0</v>
      </c>
      <c r="BE62" s="32">
        <v>47.878672049578327</v>
      </c>
      <c r="BF62" s="32">
        <v>-1.4181510651022948</v>
      </c>
      <c r="BG62" s="32">
        <v>-14.689589124211004</v>
      </c>
      <c r="BH62" s="382">
        <v>9999</v>
      </c>
      <c r="BI62" s="32">
        <v>-0.43408019152552735</v>
      </c>
      <c r="BJ62" s="32">
        <v>-1.0030932993910626</v>
      </c>
      <c r="BK62" s="32">
        <v>0</v>
      </c>
      <c r="BL62" s="32">
        <v>-2.1234431179599174</v>
      </c>
      <c r="BM62" s="32">
        <v>-3.5606166088765074</v>
      </c>
      <c r="BN62" s="32">
        <v>34.801665366447452</v>
      </c>
      <c r="BO62" s="32">
        <v>0</v>
      </c>
      <c r="BP62" s="32">
        <v>13.077006683130877</v>
      </c>
      <c r="BQ62" s="32">
        <v>0</v>
      </c>
      <c r="BR62" s="32">
        <v>0</v>
      </c>
      <c r="BS62" s="32">
        <v>0</v>
      </c>
      <c r="BT62" s="32">
        <v>0</v>
      </c>
      <c r="BU62" s="32">
        <v>0</v>
      </c>
      <c r="BV62" s="32">
        <v>0</v>
      </c>
      <c r="BW62" s="32">
        <v>0</v>
      </c>
      <c r="BX62" s="32">
        <v>-3.5134882936636354</v>
      </c>
      <c r="BY62" s="32"/>
      <c r="BZ62" s="32">
        <v>0</v>
      </c>
      <c r="CA62" s="32">
        <v>0</v>
      </c>
      <c r="CB62" s="32">
        <v>47.878672049578327</v>
      </c>
      <c r="CC62" s="32">
        <v>-3.5134882936636354</v>
      </c>
      <c r="CD62" s="382">
        <v>9999</v>
      </c>
      <c r="CE62" s="32">
        <v>-16.813032242170923</v>
      </c>
      <c r="CF62" s="32">
        <v>0.68977614039683877</v>
      </c>
      <c r="CG62" s="32">
        <v>0</v>
      </c>
      <c r="CH62" s="32">
        <v>0.68977614039683877</v>
      </c>
      <c r="CI62" s="32">
        <v>3.4488715644685433E-2</v>
      </c>
      <c r="CJ62" s="32">
        <v>0</v>
      </c>
      <c r="CK62" s="32">
        <v>3.4488715644685433E-2</v>
      </c>
      <c r="CL62" s="32"/>
      <c r="CM62" s="32">
        <v>0</v>
      </c>
      <c r="CN62" s="32"/>
      <c r="CO62" s="32">
        <v>0</v>
      </c>
      <c r="CP62" s="32">
        <v>0</v>
      </c>
      <c r="CQ62" s="32">
        <v>0</v>
      </c>
      <c r="CR62" s="32">
        <v>0</v>
      </c>
      <c r="CS62" s="32">
        <v>0</v>
      </c>
      <c r="CT62" s="32">
        <v>0</v>
      </c>
      <c r="CU62" s="32">
        <v>0</v>
      </c>
      <c r="CV62" s="32">
        <v>9999</v>
      </c>
      <c r="CW62" s="382">
        <v>9999</v>
      </c>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row>
    <row r="63" spans="1:131">
      <c r="A63" s="11" t="s">
        <v>663</v>
      </c>
      <c r="B63" s="11" t="s">
        <v>529</v>
      </c>
      <c r="C63" s="32">
        <v>11.627906976744185</v>
      </c>
      <c r="D63" s="32">
        <v>67.724999999999994</v>
      </c>
      <c r="E63" s="32">
        <v>0</v>
      </c>
      <c r="F63" s="32">
        <v>-2.1479739877325699</v>
      </c>
      <c r="G63" s="32">
        <v>0</v>
      </c>
      <c r="H63" s="32">
        <v>0</v>
      </c>
      <c r="I63" s="32" t="s">
        <v>525</v>
      </c>
      <c r="J63" s="32"/>
      <c r="K63" s="32"/>
      <c r="L63" s="32">
        <v>72.607822409864042</v>
      </c>
      <c r="M63" s="32">
        <v>1.6947736787523423E-2</v>
      </c>
      <c r="N63" s="32">
        <v>1.6825415623494804E-2</v>
      </c>
      <c r="O63" s="32">
        <v>0</v>
      </c>
      <c r="P63" s="32">
        <v>0</v>
      </c>
      <c r="Q63" s="32">
        <v>0</v>
      </c>
      <c r="R63" s="32">
        <v>-0.4283347068690555</v>
      </c>
      <c r="S63" s="32">
        <v>-0.98981635823323932</v>
      </c>
      <c r="T63" s="32">
        <v>0</v>
      </c>
      <c r="U63" s="32">
        <v>-2.0953372285613403</v>
      </c>
      <c r="V63" s="32" t="s">
        <v>610</v>
      </c>
      <c r="W63" s="32" t="s">
        <v>610</v>
      </c>
      <c r="X63" s="32" t="s">
        <v>610</v>
      </c>
      <c r="Y63" s="32" t="s">
        <v>610</v>
      </c>
      <c r="Z63" s="32">
        <v>0</v>
      </c>
      <c r="AA63" s="32">
        <v>0</v>
      </c>
      <c r="AB63" s="32">
        <v>0</v>
      </c>
      <c r="AC63" s="32">
        <v>0</v>
      </c>
      <c r="AD63" s="32">
        <v>0</v>
      </c>
      <c r="AE63" s="32">
        <v>0</v>
      </c>
      <c r="AF63" s="32">
        <v>0</v>
      </c>
      <c r="AG63" s="32">
        <v>0</v>
      </c>
      <c r="AH63" s="32">
        <v>-0.4283347068690555</v>
      </c>
      <c r="AI63" s="32">
        <v>-0.98981635823323932</v>
      </c>
      <c r="AJ63" s="32">
        <v>0</v>
      </c>
      <c r="AK63" s="32">
        <v>-2.0953372285613403</v>
      </c>
      <c r="AL63" s="32">
        <v>-3.5134882936636354</v>
      </c>
      <c r="AM63" s="32">
        <v>34.801665366447452</v>
      </c>
      <c r="AN63" s="32">
        <v>5.9884571175274965</v>
      </c>
      <c r="AO63" s="32">
        <v>0</v>
      </c>
      <c r="AP63" s="32">
        <v>0</v>
      </c>
      <c r="AQ63" s="32">
        <v>40.790122483974947</v>
      </c>
      <c r="AR63" s="32">
        <v>-0.4283347068690555</v>
      </c>
      <c r="AS63" s="382">
        <v>9999</v>
      </c>
      <c r="AT63" s="32">
        <v>34.801665366447452</v>
      </c>
      <c r="AU63" s="32">
        <v>7.0885495656033806</v>
      </c>
      <c r="AV63" s="32">
        <v>0</v>
      </c>
      <c r="AW63" s="32">
        <v>0</v>
      </c>
      <c r="AX63" s="32">
        <v>41.890214932050831</v>
      </c>
      <c r="AY63" s="32">
        <v>-0.98981635823323932</v>
      </c>
      <c r="AZ63" s="382">
        <v>9999</v>
      </c>
      <c r="BA63" s="32">
        <v>34.801665366447452</v>
      </c>
      <c r="BB63" s="32">
        <v>13.077006683130877</v>
      </c>
      <c r="BC63" s="32">
        <v>0</v>
      </c>
      <c r="BD63" s="32">
        <v>0</v>
      </c>
      <c r="BE63" s="32">
        <v>47.878672049578327</v>
      </c>
      <c r="BF63" s="32">
        <v>-1.4181510651022948</v>
      </c>
      <c r="BG63" s="32">
        <v>-14.689589124211004</v>
      </c>
      <c r="BH63" s="382">
        <v>9999</v>
      </c>
      <c r="BI63" s="32">
        <v>-0.43408019152552735</v>
      </c>
      <c r="BJ63" s="32">
        <v>-1.0030932993910626</v>
      </c>
      <c r="BK63" s="32">
        <v>0</v>
      </c>
      <c r="BL63" s="32">
        <v>-2.1234431179599174</v>
      </c>
      <c r="BM63" s="32">
        <v>-3.5606166088765074</v>
      </c>
      <c r="BN63" s="32">
        <v>34.801665366447452</v>
      </c>
      <c r="BO63" s="32">
        <v>0</v>
      </c>
      <c r="BP63" s="32">
        <v>13.077006683130877</v>
      </c>
      <c r="BQ63" s="32">
        <v>0</v>
      </c>
      <c r="BR63" s="32">
        <v>0</v>
      </c>
      <c r="BS63" s="32">
        <v>0</v>
      </c>
      <c r="BT63" s="32">
        <v>0</v>
      </c>
      <c r="BU63" s="32">
        <v>0</v>
      </c>
      <c r="BV63" s="32">
        <v>0</v>
      </c>
      <c r="BW63" s="32">
        <v>0</v>
      </c>
      <c r="BX63" s="32">
        <v>-3.5134882936636354</v>
      </c>
      <c r="BY63" s="32"/>
      <c r="BZ63" s="32">
        <v>0</v>
      </c>
      <c r="CA63" s="32">
        <v>0</v>
      </c>
      <c r="CB63" s="32">
        <v>47.878672049578327</v>
      </c>
      <c r="CC63" s="32">
        <v>-3.5134882936636354</v>
      </c>
      <c r="CD63" s="382">
        <v>9999</v>
      </c>
      <c r="CE63" s="32">
        <v>-16.813032242170923</v>
      </c>
      <c r="CF63" s="32">
        <v>0.68977614039683877</v>
      </c>
      <c r="CG63" s="32">
        <v>0</v>
      </c>
      <c r="CH63" s="32">
        <v>0.68977614039683877</v>
      </c>
      <c r="CI63" s="32">
        <v>3.4488715644685433E-2</v>
      </c>
      <c r="CJ63" s="32">
        <v>0</v>
      </c>
      <c r="CK63" s="32">
        <v>3.4488715644685433E-2</v>
      </c>
      <c r="CL63" s="32"/>
      <c r="CM63" s="32">
        <v>0</v>
      </c>
      <c r="CN63" s="32"/>
      <c r="CO63" s="32">
        <v>0</v>
      </c>
      <c r="CP63" s="32">
        <v>0</v>
      </c>
      <c r="CQ63" s="32">
        <v>0</v>
      </c>
      <c r="CR63" s="32">
        <v>0</v>
      </c>
      <c r="CS63" s="32">
        <v>0</v>
      </c>
      <c r="CT63" s="32">
        <v>0</v>
      </c>
      <c r="CU63" s="32">
        <v>0</v>
      </c>
      <c r="CV63" s="32">
        <v>9999</v>
      </c>
      <c r="CW63" s="382">
        <v>9999</v>
      </c>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row>
    <row r="64" spans="1:131">
      <c r="A64" s="11" t="s">
        <v>664</v>
      </c>
      <c r="B64" s="11" t="s">
        <v>835</v>
      </c>
      <c r="C64" s="32">
        <v>11.627906976744185</v>
      </c>
      <c r="D64" s="32">
        <v>197.8</v>
      </c>
      <c r="E64" s="32">
        <v>0</v>
      </c>
      <c r="F64" s="32">
        <v>1.0057886064783617</v>
      </c>
      <c r="G64" s="32">
        <v>0</v>
      </c>
      <c r="H64" s="32">
        <v>0</v>
      </c>
      <c r="I64" s="32" t="s">
        <v>525</v>
      </c>
      <c r="J64" s="32"/>
      <c r="K64" s="32"/>
      <c r="L64" s="32">
        <v>212.06094164150772</v>
      </c>
      <c r="M64" s="32">
        <v>4.9498151887370001E-2</v>
      </c>
      <c r="N64" s="32">
        <v>4.9140896424175309E-2</v>
      </c>
      <c r="O64" s="32">
        <v>0</v>
      </c>
      <c r="P64" s="32">
        <v>0</v>
      </c>
      <c r="Q64" s="32">
        <v>0</v>
      </c>
      <c r="R64" s="32">
        <v>0.20056768396106978</v>
      </c>
      <c r="S64" s="32">
        <v>0.46348141146150862</v>
      </c>
      <c r="T64" s="32">
        <v>0</v>
      </c>
      <c r="U64" s="32">
        <v>0.98114144922286151</v>
      </c>
      <c r="V64" s="32" t="s">
        <v>610</v>
      </c>
      <c r="W64" s="32" t="s">
        <v>610</v>
      </c>
      <c r="X64" s="32" t="s">
        <v>610</v>
      </c>
      <c r="Y64" s="32" t="s">
        <v>610</v>
      </c>
      <c r="Z64" s="32">
        <v>0</v>
      </c>
      <c r="AA64" s="32">
        <v>0</v>
      </c>
      <c r="AB64" s="32">
        <v>0</v>
      </c>
      <c r="AC64" s="32">
        <v>0</v>
      </c>
      <c r="AD64" s="32">
        <v>0</v>
      </c>
      <c r="AE64" s="32">
        <v>0</v>
      </c>
      <c r="AF64" s="32">
        <v>0</v>
      </c>
      <c r="AG64" s="32">
        <v>0</v>
      </c>
      <c r="AH64" s="32">
        <v>0.20056768396106978</v>
      </c>
      <c r="AI64" s="32">
        <v>0.46348141146150862</v>
      </c>
      <c r="AJ64" s="32">
        <v>0</v>
      </c>
      <c r="AK64" s="32">
        <v>0.98114144922286151</v>
      </c>
      <c r="AL64" s="32">
        <v>1.6451905446454398</v>
      </c>
      <c r="AM64" s="32">
        <v>101.64295916549729</v>
      </c>
      <c r="AN64" s="32">
        <v>17.490096978175551</v>
      </c>
      <c r="AO64" s="32">
        <v>0</v>
      </c>
      <c r="AP64" s="32">
        <v>0</v>
      </c>
      <c r="AQ64" s="32">
        <v>119.13305614367283</v>
      </c>
      <c r="AR64" s="32">
        <v>0.20056768396106978</v>
      </c>
      <c r="AS64" s="382">
        <v>593.97931805802068</v>
      </c>
      <c r="AT64" s="32">
        <v>101.64295916549729</v>
      </c>
      <c r="AU64" s="32">
        <v>20.703065397952734</v>
      </c>
      <c r="AV64" s="32">
        <v>0</v>
      </c>
      <c r="AW64" s="32">
        <v>0</v>
      </c>
      <c r="AX64" s="32">
        <v>122.34602456345002</v>
      </c>
      <c r="AY64" s="32">
        <v>0.46348141146150862</v>
      </c>
      <c r="AZ64" s="382">
        <v>263.97180455986995</v>
      </c>
      <c r="BA64" s="32">
        <v>101.64295916549729</v>
      </c>
      <c r="BB64" s="32">
        <v>38.193162376128285</v>
      </c>
      <c r="BC64" s="32">
        <v>0</v>
      </c>
      <c r="BD64" s="32">
        <v>0</v>
      </c>
      <c r="BE64" s="32">
        <v>139.83612154162557</v>
      </c>
      <c r="BF64" s="32">
        <v>0.66404909542257839</v>
      </c>
      <c r="BG64" s="32">
        <v>-13.022001232758853</v>
      </c>
      <c r="BH64" s="382">
        <v>210.58099846162517</v>
      </c>
      <c r="BI64" s="32">
        <v>6.9593773992400743E-2</v>
      </c>
      <c r="BJ64" s="32">
        <v>0.16082062654316689</v>
      </c>
      <c r="BK64" s="32">
        <v>0</v>
      </c>
      <c r="BL64" s="32">
        <v>0.34044036867397731</v>
      </c>
      <c r="BM64" s="32">
        <v>0.57085476920954492</v>
      </c>
      <c r="BN64" s="32">
        <v>101.64295916549729</v>
      </c>
      <c r="BO64" s="32">
        <v>0</v>
      </c>
      <c r="BP64" s="32">
        <v>38.193162376128285</v>
      </c>
      <c r="BQ64" s="32">
        <v>0</v>
      </c>
      <c r="BR64" s="32">
        <v>0</v>
      </c>
      <c r="BS64" s="32">
        <v>0</v>
      </c>
      <c r="BT64" s="32">
        <v>0</v>
      </c>
      <c r="BU64" s="32">
        <v>0</v>
      </c>
      <c r="BV64" s="32">
        <v>0</v>
      </c>
      <c r="BW64" s="32">
        <v>0</v>
      </c>
      <c r="BX64" s="32">
        <v>1.6451905446454398</v>
      </c>
      <c r="BY64" s="32"/>
      <c r="BZ64" s="32">
        <v>0</v>
      </c>
      <c r="CA64" s="32">
        <v>0</v>
      </c>
      <c r="CB64" s="32">
        <v>139.83612154162557</v>
      </c>
      <c r="CC64" s="32">
        <v>1.6451905446454398</v>
      </c>
      <c r="CD64" s="382">
        <v>84.996915400922205</v>
      </c>
      <c r="CE64" s="32">
        <v>-12.681560864084878</v>
      </c>
      <c r="CF64" s="32">
        <v>2.0145842830637801</v>
      </c>
      <c r="CG64" s="32">
        <v>0</v>
      </c>
      <c r="CH64" s="32">
        <v>2.0145842830637801</v>
      </c>
      <c r="CI64" s="32">
        <v>0.10072894727971618</v>
      </c>
      <c r="CJ64" s="32">
        <v>0</v>
      </c>
      <c r="CK64" s="32">
        <v>0.10072894727971618</v>
      </c>
      <c r="CL64" s="32"/>
      <c r="CM64" s="32">
        <v>0</v>
      </c>
      <c r="CN64" s="32"/>
      <c r="CO64" s="32">
        <v>0</v>
      </c>
      <c r="CP64" s="32">
        <v>0</v>
      </c>
      <c r="CQ64" s="32">
        <v>0</v>
      </c>
      <c r="CR64" s="32">
        <v>0</v>
      </c>
      <c r="CS64" s="32">
        <v>0</v>
      </c>
      <c r="CT64" s="32">
        <v>0</v>
      </c>
      <c r="CU64" s="32">
        <v>0</v>
      </c>
      <c r="CV64" s="32">
        <v>9999</v>
      </c>
      <c r="CW64" s="382">
        <v>9999</v>
      </c>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row>
    <row r="65" spans="1:131">
      <c r="A65" s="11" t="s">
        <v>664</v>
      </c>
      <c r="B65" s="11" t="s">
        <v>836</v>
      </c>
      <c r="C65" s="32">
        <v>11.627906976744185</v>
      </c>
      <c r="D65" s="32">
        <v>197.8</v>
      </c>
      <c r="E65" s="32">
        <v>0</v>
      </c>
      <c r="F65" s="32">
        <v>1.0057886064783617</v>
      </c>
      <c r="G65" s="32">
        <v>0</v>
      </c>
      <c r="H65" s="32">
        <v>0</v>
      </c>
      <c r="I65" s="32" t="s">
        <v>525</v>
      </c>
      <c r="J65" s="32"/>
      <c r="K65" s="32"/>
      <c r="L65" s="32">
        <v>212.06094164150772</v>
      </c>
      <c r="M65" s="32">
        <v>4.9498151887370001E-2</v>
      </c>
      <c r="N65" s="32">
        <v>4.9140896424175309E-2</v>
      </c>
      <c r="O65" s="32">
        <v>0</v>
      </c>
      <c r="P65" s="32">
        <v>0</v>
      </c>
      <c r="Q65" s="32">
        <v>0</v>
      </c>
      <c r="R65" s="32">
        <v>0.20056768396106978</v>
      </c>
      <c r="S65" s="32">
        <v>0.46348141146150862</v>
      </c>
      <c r="T65" s="32">
        <v>0</v>
      </c>
      <c r="U65" s="32">
        <v>0.98114144922286151</v>
      </c>
      <c r="V65" s="32" t="s">
        <v>610</v>
      </c>
      <c r="W65" s="32" t="s">
        <v>610</v>
      </c>
      <c r="X65" s="32" t="s">
        <v>610</v>
      </c>
      <c r="Y65" s="32" t="s">
        <v>610</v>
      </c>
      <c r="Z65" s="32">
        <v>0</v>
      </c>
      <c r="AA65" s="32">
        <v>0</v>
      </c>
      <c r="AB65" s="32">
        <v>0</v>
      </c>
      <c r="AC65" s="32">
        <v>0</v>
      </c>
      <c r="AD65" s="32">
        <v>0</v>
      </c>
      <c r="AE65" s="32">
        <v>0</v>
      </c>
      <c r="AF65" s="32">
        <v>0</v>
      </c>
      <c r="AG65" s="32">
        <v>0</v>
      </c>
      <c r="AH65" s="32">
        <v>0.20056768396106978</v>
      </c>
      <c r="AI65" s="32">
        <v>0.46348141146150862</v>
      </c>
      <c r="AJ65" s="32">
        <v>0</v>
      </c>
      <c r="AK65" s="32">
        <v>0.98114144922286151</v>
      </c>
      <c r="AL65" s="32">
        <v>1.6451905446454398</v>
      </c>
      <c r="AM65" s="32">
        <v>101.64295916549729</v>
      </c>
      <c r="AN65" s="32">
        <v>17.490096978175551</v>
      </c>
      <c r="AO65" s="32">
        <v>0</v>
      </c>
      <c r="AP65" s="32">
        <v>0</v>
      </c>
      <c r="AQ65" s="32">
        <v>119.13305614367283</v>
      </c>
      <c r="AR65" s="32">
        <v>0.20056768396106978</v>
      </c>
      <c r="AS65" s="382">
        <v>593.97931805802068</v>
      </c>
      <c r="AT65" s="32">
        <v>101.64295916549729</v>
      </c>
      <c r="AU65" s="32">
        <v>20.703065397952734</v>
      </c>
      <c r="AV65" s="32">
        <v>0</v>
      </c>
      <c r="AW65" s="32">
        <v>0</v>
      </c>
      <c r="AX65" s="32">
        <v>122.34602456345002</v>
      </c>
      <c r="AY65" s="32">
        <v>0.46348141146150862</v>
      </c>
      <c r="AZ65" s="382">
        <v>263.97180455986995</v>
      </c>
      <c r="BA65" s="32">
        <v>101.64295916549729</v>
      </c>
      <c r="BB65" s="32">
        <v>38.193162376128285</v>
      </c>
      <c r="BC65" s="32">
        <v>0</v>
      </c>
      <c r="BD65" s="32">
        <v>0</v>
      </c>
      <c r="BE65" s="32">
        <v>139.83612154162557</v>
      </c>
      <c r="BF65" s="32">
        <v>0.66404909542257839</v>
      </c>
      <c r="BG65" s="32">
        <v>-13.022001232758853</v>
      </c>
      <c r="BH65" s="382">
        <v>210.58099846162517</v>
      </c>
      <c r="BI65" s="32">
        <v>6.9593773992400743E-2</v>
      </c>
      <c r="BJ65" s="32">
        <v>0.16082062654316689</v>
      </c>
      <c r="BK65" s="32">
        <v>0</v>
      </c>
      <c r="BL65" s="32">
        <v>0.34044036867397731</v>
      </c>
      <c r="BM65" s="32">
        <v>0.57085476920954492</v>
      </c>
      <c r="BN65" s="32">
        <v>101.64295916549729</v>
      </c>
      <c r="BO65" s="32">
        <v>0</v>
      </c>
      <c r="BP65" s="32">
        <v>38.193162376128285</v>
      </c>
      <c r="BQ65" s="32">
        <v>0</v>
      </c>
      <c r="BR65" s="32">
        <v>0</v>
      </c>
      <c r="BS65" s="32">
        <v>0</v>
      </c>
      <c r="BT65" s="32">
        <v>0</v>
      </c>
      <c r="BU65" s="32">
        <v>0</v>
      </c>
      <c r="BV65" s="32">
        <v>0</v>
      </c>
      <c r="BW65" s="32">
        <v>0</v>
      </c>
      <c r="BX65" s="32">
        <v>1.6451905446454398</v>
      </c>
      <c r="BY65" s="32"/>
      <c r="BZ65" s="32">
        <v>0</v>
      </c>
      <c r="CA65" s="32">
        <v>0</v>
      </c>
      <c r="CB65" s="32">
        <v>139.83612154162557</v>
      </c>
      <c r="CC65" s="32">
        <v>1.6451905446454398</v>
      </c>
      <c r="CD65" s="382">
        <v>84.996915400922205</v>
      </c>
      <c r="CE65" s="32">
        <v>-12.681560864084878</v>
      </c>
      <c r="CF65" s="32">
        <v>2.0145842830637801</v>
      </c>
      <c r="CG65" s="32">
        <v>0</v>
      </c>
      <c r="CH65" s="32">
        <v>2.0145842830637801</v>
      </c>
      <c r="CI65" s="32">
        <v>0.10072894727971618</v>
      </c>
      <c r="CJ65" s="32">
        <v>0</v>
      </c>
      <c r="CK65" s="32">
        <v>0.10072894727971618</v>
      </c>
      <c r="CL65" s="32"/>
      <c r="CM65" s="32">
        <v>0</v>
      </c>
      <c r="CN65" s="32"/>
      <c r="CO65" s="32">
        <v>0</v>
      </c>
      <c r="CP65" s="32">
        <v>0</v>
      </c>
      <c r="CQ65" s="32">
        <v>0</v>
      </c>
      <c r="CR65" s="32">
        <v>0</v>
      </c>
      <c r="CS65" s="32">
        <v>0</v>
      </c>
      <c r="CT65" s="32">
        <v>0</v>
      </c>
      <c r="CU65" s="32">
        <v>0</v>
      </c>
      <c r="CV65" s="32">
        <v>9999</v>
      </c>
      <c r="CW65" s="382">
        <v>9999</v>
      </c>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row>
    <row r="66" spans="1:131">
      <c r="A66" s="11" t="s">
        <v>665</v>
      </c>
      <c r="B66" s="11" t="s">
        <v>837</v>
      </c>
      <c r="C66" s="32">
        <v>11.627906976744185</v>
      </c>
      <c r="D66" s="32">
        <v>333.25</v>
      </c>
      <c r="E66" s="32">
        <v>0</v>
      </c>
      <c r="F66" s="32">
        <v>1.0057886064783617</v>
      </c>
      <c r="G66" s="32">
        <v>0</v>
      </c>
      <c r="H66" s="32">
        <v>0</v>
      </c>
      <c r="I66" s="32" t="s">
        <v>525</v>
      </c>
      <c r="J66" s="32"/>
      <c r="K66" s="32"/>
      <c r="L66" s="32">
        <v>357.27658646123581</v>
      </c>
      <c r="M66" s="32">
        <v>8.3393625462416854E-2</v>
      </c>
      <c r="N66" s="32">
        <v>8.2791727671164911E-2</v>
      </c>
      <c r="O66" s="32">
        <v>0</v>
      </c>
      <c r="P66" s="32">
        <v>0</v>
      </c>
      <c r="Q66" s="32">
        <v>0</v>
      </c>
      <c r="R66" s="32">
        <v>0.20056768396106978</v>
      </c>
      <c r="S66" s="32">
        <v>0.46348141146150862</v>
      </c>
      <c r="T66" s="32">
        <v>0</v>
      </c>
      <c r="U66" s="32">
        <v>0.98114144922286151</v>
      </c>
      <c r="V66" s="32" t="s">
        <v>610</v>
      </c>
      <c r="W66" s="32" t="s">
        <v>610</v>
      </c>
      <c r="X66" s="32" t="s">
        <v>610</v>
      </c>
      <c r="Y66" s="32" t="s">
        <v>610</v>
      </c>
      <c r="Z66" s="32">
        <v>0</v>
      </c>
      <c r="AA66" s="32">
        <v>0</v>
      </c>
      <c r="AB66" s="32">
        <v>0</v>
      </c>
      <c r="AC66" s="32">
        <v>0</v>
      </c>
      <c r="AD66" s="32">
        <v>0</v>
      </c>
      <c r="AE66" s="32">
        <v>0</v>
      </c>
      <c r="AF66" s="32">
        <v>0</v>
      </c>
      <c r="AG66" s="32">
        <v>0</v>
      </c>
      <c r="AH66" s="32">
        <v>0.20056768396106978</v>
      </c>
      <c r="AI66" s="32">
        <v>0.46348141146150862</v>
      </c>
      <c r="AJ66" s="32">
        <v>0</v>
      </c>
      <c r="AK66" s="32">
        <v>0.98114144922286151</v>
      </c>
      <c r="AL66" s="32">
        <v>1.6451905446454398</v>
      </c>
      <c r="AM66" s="32">
        <v>171.24628989839229</v>
      </c>
      <c r="AN66" s="32">
        <v>29.467011213230535</v>
      </c>
      <c r="AO66" s="32">
        <v>0</v>
      </c>
      <c r="AP66" s="32">
        <v>0</v>
      </c>
      <c r="AQ66" s="32">
        <v>200.71330111162283</v>
      </c>
      <c r="AR66" s="32">
        <v>0.20056768396106978</v>
      </c>
      <c r="AS66" s="382">
        <v>1000.7260249890571</v>
      </c>
      <c r="AT66" s="32">
        <v>171.24628989839229</v>
      </c>
      <c r="AU66" s="32">
        <v>34.880164529159487</v>
      </c>
      <c r="AV66" s="32">
        <v>0</v>
      </c>
      <c r="AW66" s="32">
        <v>0</v>
      </c>
      <c r="AX66" s="32">
        <v>206.12645442755178</v>
      </c>
      <c r="AY66" s="32">
        <v>0.46348141146150862</v>
      </c>
      <c r="AZ66" s="382">
        <v>444.73510550847681</v>
      </c>
      <c r="BA66" s="32">
        <v>171.24628989839229</v>
      </c>
      <c r="BB66" s="32">
        <v>64.347175742390021</v>
      </c>
      <c r="BC66" s="32">
        <v>0</v>
      </c>
      <c r="BD66" s="32">
        <v>0</v>
      </c>
      <c r="BE66" s="32">
        <v>235.59346564078231</v>
      </c>
      <c r="BF66" s="32">
        <v>0.66404909542257839</v>
      </c>
      <c r="BG66" s="32">
        <v>-13.11565353749266</v>
      </c>
      <c r="BH66" s="382">
        <v>354.78320392991213</v>
      </c>
      <c r="BI66" s="32">
        <v>4.1307272305166898E-2</v>
      </c>
      <c r="BJ66" s="32">
        <v>9.5454823496589389E-2</v>
      </c>
      <c r="BK66" s="32">
        <v>0</v>
      </c>
      <c r="BL66" s="32">
        <v>0.20206783172907042</v>
      </c>
      <c r="BM66" s="32">
        <v>0.33882992753082664</v>
      </c>
      <c r="BN66" s="32">
        <v>171.24628989839229</v>
      </c>
      <c r="BO66" s="32">
        <v>0</v>
      </c>
      <c r="BP66" s="32">
        <v>64.347175742390021</v>
      </c>
      <c r="BQ66" s="32">
        <v>0</v>
      </c>
      <c r="BR66" s="32">
        <v>0</v>
      </c>
      <c r="BS66" s="32">
        <v>0</v>
      </c>
      <c r="BT66" s="32">
        <v>0</v>
      </c>
      <c r="BU66" s="32">
        <v>0</v>
      </c>
      <c r="BV66" s="32">
        <v>0</v>
      </c>
      <c r="BW66" s="32">
        <v>0</v>
      </c>
      <c r="BX66" s="32">
        <v>1.6451905446454398</v>
      </c>
      <c r="BY66" s="32"/>
      <c r="BZ66" s="32">
        <v>0</v>
      </c>
      <c r="CA66" s="32">
        <v>0</v>
      </c>
      <c r="CB66" s="32">
        <v>235.59346564078231</v>
      </c>
      <c r="CC66" s="32">
        <v>1.6451905446454398</v>
      </c>
      <c r="CD66" s="382">
        <v>143.20132486024943</v>
      </c>
      <c r="CE66" s="32">
        <v>-12.913585705763591</v>
      </c>
      <c r="CF66" s="32">
        <v>3.394136563857463</v>
      </c>
      <c r="CG66" s="32">
        <v>0</v>
      </c>
      <c r="CH66" s="32">
        <v>3.394136563857463</v>
      </c>
      <c r="CI66" s="32">
        <v>0.16970637856908702</v>
      </c>
      <c r="CJ66" s="32">
        <v>0</v>
      </c>
      <c r="CK66" s="32">
        <v>0.16970637856908702</v>
      </c>
      <c r="CL66" s="32"/>
      <c r="CM66" s="32">
        <v>0</v>
      </c>
      <c r="CN66" s="32"/>
      <c r="CO66" s="32">
        <v>0</v>
      </c>
      <c r="CP66" s="32">
        <v>0</v>
      </c>
      <c r="CQ66" s="32">
        <v>0</v>
      </c>
      <c r="CR66" s="32">
        <v>0</v>
      </c>
      <c r="CS66" s="32">
        <v>0</v>
      </c>
      <c r="CT66" s="32">
        <v>0</v>
      </c>
      <c r="CU66" s="32">
        <v>0</v>
      </c>
      <c r="CV66" s="32">
        <v>9999</v>
      </c>
      <c r="CW66" s="382">
        <v>9999</v>
      </c>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row>
    <row r="67" spans="1:131">
      <c r="A67" s="11" t="s">
        <v>665</v>
      </c>
      <c r="B67" s="11" t="s">
        <v>838</v>
      </c>
      <c r="C67" s="32">
        <v>11.627906976744185</v>
      </c>
      <c r="D67" s="32">
        <v>333.25</v>
      </c>
      <c r="E67" s="32">
        <v>0</v>
      </c>
      <c r="F67" s="32">
        <v>1.0057886064783617</v>
      </c>
      <c r="G67" s="32">
        <v>0</v>
      </c>
      <c r="H67" s="32">
        <v>0</v>
      </c>
      <c r="I67" s="32" t="s">
        <v>525</v>
      </c>
      <c r="J67" s="32"/>
      <c r="K67" s="32"/>
      <c r="L67" s="32">
        <v>357.27658646123581</v>
      </c>
      <c r="M67" s="32">
        <v>8.3393625462416854E-2</v>
      </c>
      <c r="N67" s="32">
        <v>8.2791727671164911E-2</v>
      </c>
      <c r="O67" s="32">
        <v>0</v>
      </c>
      <c r="P67" s="32">
        <v>0</v>
      </c>
      <c r="Q67" s="32">
        <v>0</v>
      </c>
      <c r="R67" s="32">
        <v>0.20056768396106978</v>
      </c>
      <c r="S67" s="32">
        <v>0.46348141146150862</v>
      </c>
      <c r="T67" s="32">
        <v>0</v>
      </c>
      <c r="U67" s="32">
        <v>0.98114144922286151</v>
      </c>
      <c r="V67" s="32" t="s">
        <v>610</v>
      </c>
      <c r="W67" s="32" t="s">
        <v>610</v>
      </c>
      <c r="X67" s="32" t="s">
        <v>610</v>
      </c>
      <c r="Y67" s="32" t="s">
        <v>610</v>
      </c>
      <c r="Z67" s="32">
        <v>0</v>
      </c>
      <c r="AA67" s="32">
        <v>0</v>
      </c>
      <c r="AB67" s="32">
        <v>0</v>
      </c>
      <c r="AC67" s="32">
        <v>0</v>
      </c>
      <c r="AD67" s="32">
        <v>0</v>
      </c>
      <c r="AE67" s="32">
        <v>0</v>
      </c>
      <c r="AF67" s="32">
        <v>0</v>
      </c>
      <c r="AG67" s="32">
        <v>0</v>
      </c>
      <c r="AH67" s="32">
        <v>0.20056768396106978</v>
      </c>
      <c r="AI67" s="32">
        <v>0.46348141146150862</v>
      </c>
      <c r="AJ67" s="32">
        <v>0</v>
      </c>
      <c r="AK67" s="32">
        <v>0.98114144922286151</v>
      </c>
      <c r="AL67" s="32">
        <v>1.6451905446454398</v>
      </c>
      <c r="AM67" s="32">
        <v>171.24628989839229</v>
      </c>
      <c r="AN67" s="32">
        <v>29.467011213230535</v>
      </c>
      <c r="AO67" s="32">
        <v>0</v>
      </c>
      <c r="AP67" s="32">
        <v>0</v>
      </c>
      <c r="AQ67" s="32">
        <v>200.71330111162283</v>
      </c>
      <c r="AR67" s="32">
        <v>0.20056768396106978</v>
      </c>
      <c r="AS67" s="382">
        <v>1000.7260249890571</v>
      </c>
      <c r="AT67" s="32">
        <v>171.24628989839229</v>
      </c>
      <c r="AU67" s="32">
        <v>34.880164529159487</v>
      </c>
      <c r="AV67" s="32">
        <v>0</v>
      </c>
      <c r="AW67" s="32">
        <v>0</v>
      </c>
      <c r="AX67" s="32">
        <v>206.12645442755178</v>
      </c>
      <c r="AY67" s="32">
        <v>0.46348141146150862</v>
      </c>
      <c r="AZ67" s="382">
        <v>444.73510550847681</v>
      </c>
      <c r="BA67" s="32">
        <v>171.24628989839229</v>
      </c>
      <c r="BB67" s="32">
        <v>64.347175742390021</v>
      </c>
      <c r="BC67" s="32">
        <v>0</v>
      </c>
      <c r="BD67" s="32">
        <v>0</v>
      </c>
      <c r="BE67" s="32">
        <v>235.59346564078231</v>
      </c>
      <c r="BF67" s="32">
        <v>0.66404909542257839</v>
      </c>
      <c r="BG67" s="32">
        <v>-13.11565353749266</v>
      </c>
      <c r="BH67" s="382">
        <v>354.78320392991213</v>
      </c>
      <c r="BI67" s="32">
        <v>4.1307272305166898E-2</v>
      </c>
      <c r="BJ67" s="32">
        <v>9.5454823496589389E-2</v>
      </c>
      <c r="BK67" s="32">
        <v>0</v>
      </c>
      <c r="BL67" s="32">
        <v>0.20206783172907042</v>
      </c>
      <c r="BM67" s="32">
        <v>0.33882992753082664</v>
      </c>
      <c r="BN67" s="32">
        <v>171.24628989839229</v>
      </c>
      <c r="BO67" s="32">
        <v>0</v>
      </c>
      <c r="BP67" s="32">
        <v>64.347175742390021</v>
      </c>
      <c r="BQ67" s="32">
        <v>0</v>
      </c>
      <c r="BR67" s="32">
        <v>0</v>
      </c>
      <c r="BS67" s="32">
        <v>0</v>
      </c>
      <c r="BT67" s="32">
        <v>0</v>
      </c>
      <c r="BU67" s="32">
        <v>0</v>
      </c>
      <c r="BV67" s="32">
        <v>0</v>
      </c>
      <c r="BW67" s="32">
        <v>0</v>
      </c>
      <c r="BX67" s="32">
        <v>1.6451905446454398</v>
      </c>
      <c r="BY67" s="32"/>
      <c r="BZ67" s="32">
        <v>0</v>
      </c>
      <c r="CA67" s="32">
        <v>0</v>
      </c>
      <c r="CB67" s="32">
        <v>235.59346564078231</v>
      </c>
      <c r="CC67" s="32">
        <v>1.6451905446454398</v>
      </c>
      <c r="CD67" s="382">
        <v>143.20132486024943</v>
      </c>
      <c r="CE67" s="32">
        <v>-12.913585705763591</v>
      </c>
      <c r="CF67" s="32">
        <v>3.394136563857463</v>
      </c>
      <c r="CG67" s="32">
        <v>0</v>
      </c>
      <c r="CH67" s="32">
        <v>3.394136563857463</v>
      </c>
      <c r="CI67" s="32">
        <v>0.16970637856908702</v>
      </c>
      <c r="CJ67" s="32">
        <v>0</v>
      </c>
      <c r="CK67" s="32">
        <v>0.16970637856908702</v>
      </c>
      <c r="CL67" s="32"/>
      <c r="CM67" s="32">
        <v>0</v>
      </c>
      <c r="CN67" s="32"/>
      <c r="CO67" s="32">
        <v>0</v>
      </c>
      <c r="CP67" s="32">
        <v>0</v>
      </c>
      <c r="CQ67" s="32">
        <v>0</v>
      </c>
      <c r="CR67" s="32">
        <v>0</v>
      </c>
      <c r="CS67" s="32">
        <v>0</v>
      </c>
      <c r="CT67" s="32">
        <v>0</v>
      </c>
      <c r="CU67" s="32">
        <v>0</v>
      </c>
      <c r="CV67" s="32">
        <v>9999</v>
      </c>
      <c r="CW67" s="382">
        <v>9999</v>
      </c>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row>
    <row r="68" spans="1:131">
      <c r="A68" s="11" t="s">
        <v>666</v>
      </c>
      <c r="B68" s="11" t="s">
        <v>950</v>
      </c>
      <c r="C68" s="32">
        <v>11.627906976744185</v>
      </c>
      <c r="D68" s="32">
        <v>576.20000000000005</v>
      </c>
      <c r="E68" s="32">
        <v>0</v>
      </c>
      <c r="F68" s="32">
        <v>67.011577212956723</v>
      </c>
      <c r="G68" s="32">
        <v>0</v>
      </c>
      <c r="H68" s="32">
        <v>0</v>
      </c>
      <c r="I68" s="32" t="s">
        <v>525</v>
      </c>
      <c r="J68" s="32"/>
      <c r="K68" s="32"/>
      <c r="L68" s="32">
        <v>617.74274304265293</v>
      </c>
      <c r="M68" s="32">
        <v>0.14419026854146913</v>
      </c>
      <c r="N68" s="32">
        <v>0.14314956784433677</v>
      </c>
      <c r="O68" s="32">
        <v>0</v>
      </c>
      <c r="P68" s="32">
        <v>0</v>
      </c>
      <c r="Q68" s="32">
        <v>0</v>
      </c>
      <c r="R68" s="32">
        <v>13.363003670563335</v>
      </c>
      <c r="S68" s="32">
        <v>30.879868981287014</v>
      </c>
      <c r="T68" s="32">
        <v>0</v>
      </c>
      <c r="U68" s="32">
        <v>65.369438028968688</v>
      </c>
      <c r="V68" s="32" t="s">
        <v>610</v>
      </c>
      <c r="W68" s="32" t="s">
        <v>610</v>
      </c>
      <c r="X68" s="32" t="s">
        <v>610</v>
      </c>
      <c r="Y68" s="32" t="s">
        <v>610</v>
      </c>
      <c r="Z68" s="32">
        <v>0</v>
      </c>
      <c r="AA68" s="32">
        <v>0</v>
      </c>
      <c r="AB68" s="32">
        <v>0</v>
      </c>
      <c r="AC68" s="32">
        <v>0</v>
      </c>
      <c r="AD68" s="32">
        <v>0</v>
      </c>
      <c r="AE68" s="32">
        <v>0</v>
      </c>
      <c r="AF68" s="32">
        <v>0</v>
      </c>
      <c r="AG68" s="32">
        <v>0</v>
      </c>
      <c r="AH68" s="32">
        <v>13.363003670563335</v>
      </c>
      <c r="AI68" s="32">
        <v>30.879868981287014</v>
      </c>
      <c r="AJ68" s="32">
        <v>0</v>
      </c>
      <c r="AK68" s="32">
        <v>65.369438028968688</v>
      </c>
      <c r="AL68" s="32">
        <v>109.61231068081904</v>
      </c>
      <c r="AM68" s="32">
        <v>296.09035930818806</v>
      </c>
      <c r="AN68" s="32">
        <v>50.949412936424423</v>
      </c>
      <c r="AO68" s="32">
        <v>0</v>
      </c>
      <c r="AP68" s="32">
        <v>0</v>
      </c>
      <c r="AQ68" s="32">
        <v>347.03977224461249</v>
      </c>
      <c r="AR68" s="32">
        <v>13.363003670563335</v>
      </c>
      <c r="AS68" s="382">
        <v>25.97019209154962</v>
      </c>
      <c r="AT68" s="32">
        <v>296.09035930818806</v>
      </c>
      <c r="AU68" s="32">
        <v>60.308929637514488</v>
      </c>
      <c r="AV68" s="32">
        <v>0</v>
      </c>
      <c r="AW68" s="32">
        <v>0</v>
      </c>
      <c r="AX68" s="32">
        <v>356.39928894570255</v>
      </c>
      <c r="AY68" s="32">
        <v>30.879868981287014</v>
      </c>
      <c r="AZ68" s="382">
        <v>11.541476719401823</v>
      </c>
      <c r="BA68" s="32">
        <v>296.09035930818806</v>
      </c>
      <c r="BB68" s="32">
        <v>111.2583425739389</v>
      </c>
      <c r="BC68" s="32">
        <v>0</v>
      </c>
      <c r="BD68" s="32">
        <v>0</v>
      </c>
      <c r="BE68" s="32">
        <v>407.34870188212699</v>
      </c>
      <c r="BF68" s="32">
        <v>44.242872651850348</v>
      </c>
      <c r="BG68" s="32">
        <v>-7.9824743090869168</v>
      </c>
      <c r="BH68" s="382">
        <v>9.2071033697919393</v>
      </c>
      <c r="BI68" s="32">
        <v>1.5917195479867428</v>
      </c>
      <c r="BJ68" s="32">
        <v>3.6782217762207599</v>
      </c>
      <c r="BK68" s="32">
        <v>0</v>
      </c>
      <c r="BL68" s="32">
        <v>7.7864090227576117</v>
      </c>
      <c r="BM68" s="32">
        <v>13.056350346965113</v>
      </c>
      <c r="BN68" s="32">
        <v>296.09035930818806</v>
      </c>
      <c r="BO68" s="32">
        <v>0</v>
      </c>
      <c r="BP68" s="32">
        <v>111.2583425739389</v>
      </c>
      <c r="BQ68" s="32">
        <v>0</v>
      </c>
      <c r="BR68" s="32">
        <v>0</v>
      </c>
      <c r="BS68" s="32">
        <v>0</v>
      </c>
      <c r="BT68" s="32">
        <v>0</v>
      </c>
      <c r="BU68" s="32">
        <v>0</v>
      </c>
      <c r="BV68" s="32">
        <v>0</v>
      </c>
      <c r="BW68" s="32">
        <v>0</v>
      </c>
      <c r="BX68" s="32">
        <v>109.61231068081904</v>
      </c>
      <c r="BY68" s="32"/>
      <c r="BZ68" s="32">
        <v>0</v>
      </c>
      <c r="CA68" s="32">
        <v>0</v>
      </c>
      <c r="CB68" s="32">
        <v>407.34870188212699</v>
      </c>
      <c r="CC68" s="32">
        <v>109.61231068081904</v>
      </c>
      <c r="CD68" s="382">
        <v>3.716267811088199</v>
      </c>
      <c r="CE68" s="32">
        <v>-0.19606528632930242</v>
      </c>
      <c r="CF68" s="32">
        <v>5.8685716071857978</v>
      </c>
      <c r="CG68" s="32">
        <v>0</v>
      </c>
      <c r="CH68" s="32">
        <v>5.8685716071857978</v>
      </c>
      <c r="CI68" s="32">
        <v>0.29342780294526022</v>
      </c>
      <c r="CJ68" s="32">
        <v>0</v>
      </c>
      <c r="CK68" s="32">
        <v>0.29342780294526022</v>
      </c>
      <c r="CL68" s="32"/>
      <c r="CM68" s="32">
        <v>0</v>
      </c>
      <c r="CN68" s="32"/>
      <c r="CO68" s="32">
        <v>0</v>
      </c>
      <c r="CP68" s="32">
        <v>0</v>
      </c>
      <c r="CQ68" s="32">
        <v>0</v>
      </c>
      <c r="CR68" s="32">
        <v>0</v>
      </c>
      <c r="CS68" s="32">
        <v>0</v>
      </c>
      <c r="CT68" s="32">
        <v>0</v>
      </c>
      <c r="CU68" s="32">
        <v>0</v>
      </c>
      <c r="CV68" s="32">
        <v>9999</v>
      </c>
      <c r="CW68" s="382">
        <v>9999</v>
      </c>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row>
    <row r="69" spans="1:131">
      <c r="A69" s="11" t="s">
        <v>666</v>
      </c>
      <c r="B69" s="11" t="s">
        <v>951</v>
      </c>
      <c r="C69" s="32">
        <v>11.627906976744185</v>
      </c>
      <c r="D69" s="32">
        <v>576.20000000000005</v>
      </c>
      <c r="E69" s="32">
        <v>0</v>
      </c>
      <c r="F69" s="32">
        <v>67.011577212956723</v>
      </c>
      <c r="G69" s="32">
        <v>0</v>
      </c>
      <c r="H69" s="32">
        <v>0</v>
      </c>
      <c r="I69" s="32" t="s">
        <v>525</v>
      </c>
      <c r="J69" s="32"/>
      <c r="K69" s="32"/>
      <c r="L69" s="32">
        <v>617.74274304265293</v>
      </c>
      <c r="M69" s="32">
        <v>0.14419026854146913</v>
      </c>
      <c r="N69" s="32">
        <v>0.14314956784433677</v>
      </c>
      <c r="O69" s="32">
        <v>0</v>
      </c>
      <c r="P69" s="32">
        <v>0</v>
      </c>
      <c r="Q69" s="32">
        <v>0</v>
      </c>
      <c r="R69" s="32">
        <v>13.363003670563335</v>
      </c>
      <c r="S69" s="32">
        <v>30.879868981287014</v>
      </c>
      <c r="T69" s="32">
        <v>0</v>
      </c>
      <c r="U69" s="32">
        <v>65.369438028968688</v>
      </c>
      <c r="V69" s="32" t="s">
        <v>610</v>
      </c>
      <c r="W69" s="32" t="s">
        <v>610</v>
      </c>
      <c r="X69" s="32" t="s">
        <v>610</v>
      </c>
      <c r="Y69" s="32" t="s">
        <v>610</v>
      </c>
      <c r="Z69" s="32">
        <v>0</v>
      </c>
      <c r="AA69" s="32">
        <v>0</v>
      </c>
      <c r="AB69" s="32">
        <v>0</v>
      </c>
      <c r="AC69" s="32">
        <v>0</v>
      </c>
      <c r="AD69" s="32">
        <v>0</v>
      </c>
      <c r="AE69" s="32">
        <v>0</v>
      </c>
      <c r="AF69" s="32">
        <v>0</v>
      </c>
      <c r="AG69" s="32">
        <v>0</v>
      </c>
      <c r="AH69" s="32">
        <v>13.363003670563335</v>
      </c>
      <c r="AI69" s="32">
        <v>30.879868981287014</v>
      </c>
      <c r="AJ69" s="32">
        <v>0</v>
      </c>
      <c r="AK69" s="32">
        <v>65.369438028968688</v>
      </c>
      <c r="AL69" s="32">
        <v>109.61231068081904</v>
      </c>
      <c r="AM69" s="32">
        <v>296.09035930818806</v>
      </c>
      <c r="AN69" s="32">
        <v>50.949412936424423</v>
      </c>
      <c r="AO69" s="32">
        <v>0</v>
      </c>
      <c r="AP69" s="32">
        <v>0</v>
      </c>
      <c r="AQ69" s="32">
        <v>347.03977224461249</v>
      </c>
      <c r="AR69" s="32">
        <v>13.363003670563335</v>
      </c>
      <c r="AS69" s="382">
        <v>25.97019209154962</v>
      </c>
      <c r="AT69" s="32">
        <v>296.09035930818806</v>
      </c>
      <c r="AU69" s="32">
        <v>60.308929637514488</v>
      </c>
      <c r="AV69" s="32">
        <v>0</v>
      </c>
      <c r="AW69" s="32">
        <v>0</v>
      </c>
      <c r="AX69" s="32">
        <v>356.39928894570255</v>
      </c>
      <c r="AY69" s="32">
        <v>30.879868981287014</v>
      </c>
      <c r="AZ69" s="382">
        <v>11.541476719401823</v>
      </c>
      <c r="BA69" s="32">
        <v>296.09035930818806</v>
      </c>
      <c r="BB69" s="32">
        <v>111.2583425739389</v>
      </c>
      <c r="BC69" s="32">
        <v>0</v>
      </c>
      <c r="BD69" s="32">
        <v>0</v>
      </c>
      <c r="BE69" s="32">
        <v>407.34870188212699</v>
      </c>
      <c r="BF69" s="32">
        <v>44.242872651850348</v>
      </c>
      <c r="BG69" s="32">
        <v>-7.9824743090869168</v>
      </c>
      <c r="BH69" s="382">
        <v>9.2071033697919393</v>
      </c>
      <c r="BI69" s="32">
        <v>1.5917195479867428</v>
      </c>
      <c r="BJ69" s="32">
        <v>3.6782217762207599</v>
      </c>
      <c r="BK69" s="32">
        <v>0</v>
      </c>
      <c r="BL69" s="32">
        <v>7.7864090227576117</v>
      </c>
      <c r="BM69" s="32">
        <v>13.056350346965113</v>
      </c>
      <c r="BN69" s="32">
        <v>296.09035930818806</v>
      </c>
      <c r="BO69" s="32">
        <v>0</v>
      </c>
      <c r="BP69" s="32">
        <v>111.2583425739389</v>
      </c>
      <c r="BQ69" s="32">
        <v>0</v>
      </c>
      <c r="BR69" s="32">
        <v>0</v>
      </c>
      <c r="BS69" s="32">
        <v>0</v>
      </c>
      <c r="BT69" s="32">
        <v>0</v>
      </c>
      <c r="BU69" s="32">
        <v>0</v>
      </c>
      <c r="BV69" s="32">
        <v>0</v>
      </c>
      <c r="BW69" s="32">
        <v>0</v>
      </c>
      <c r="BX69" s="32">
        <v>109.61231068081904</v>
      </c>
      <c r="BY69" s="32"/>
      <c r="BZ69" s="32">
        <v>0</v>
      </c>
      <c r="CA69" s="32">
        <v>0</v>
      </c>
      <c r="CB69" s="32">
        <v>407.34870188212699</v>
      </c>
      <c r="CC69" s="32">
        <v>109.61231068081904</v>
      </c>
      <c r="CD69" s="382">
        <v>3.716267811088199</v>
      </c>
      <c r="CE69" s="32">
        <v>-0.19606528632930242</v>
      </c>
      <c r="CF69" s="32">
        <v>5.8685716071857978</v>
      </c>
      <c r="CG69" s="32">
        <v>0</v>
      </c>
      <c r="CH69" s="32">
        <v>5.8685716071857978</v>
      </c>
      <c r="CI69" s="32">
        <v>0.29342780294526022</v>
      </c>
      <c r="CJ69" s="32">
        <v>0</v>
      </c>
      <c r="CK69" s="32">
        <v>0.29342780294526022</v>
      </c>
      <c r="CL69" s="32"/>
      <c r="CM69" s="32">
        <v>0</v>
      </c>
      <c r="CN69" s="32"/>
      <c r="CO69" s="32">
        <v>0</v>
      </c>
      <c r="CP69" s="32">
        <v>0</v>
      </c>
      <c r="CQ69" s="32">
        <v>0</v>
      </c>
      <c r="CR69" s="32">
        <v>0</v>
      </c>
      <c r="CS69" s="32">
        <v>0</v>
      </c>
      <c r="CT69" s="32">
        <v>0</v>
      </c>
      <c r="CU69" s="32">
        <v>0</v>
      </c>
      <c r="CV69" s="32">
        <v>9999</v>
      </c>
      <c r="CW69" s="382">
        <v>9999</v>
      </c>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row>
    <row r="70" spans="1:131">
      <c r="A70" s="11" t="s">
        <v>667</v>
      </c>
      <c r="B70" s="11" t="s">
        <v>867</v>
      </c>
      <c r="C70" s="32">
        <v>11.627906976744185</v>
      </c>
      <c r="D70" s="32">
        <v>1459.85</v>
      </c>
      <c r="E70" s="32">
        <v>0</v>
      </c>
      <c r="F70" s="32">
        <v>266.0347316388702</v>
      </c>
      <c r="G70" s="32">
        <v>0</v>
      </c>
      <c r="H70" s="32">
        <v>0</v>
      </c>
      <c r="I70" s="32" t="s">
        <v>525</v>
      </c>
      <c r="J70" s="32"/>
      <c r="K70" s="32"/>
      <c r="L70" s="32">
        <v>1565.101949723736</v>
      </c>
      <c r="M70" s="32">
        <v>0.36531788186439379</v>
      </c>
      <c r="N70" s="32">
        <v>0.36268118121755466</v>
      </c>
      <c r="O70" s="32">
        <v>0</v>
      </c>
      <c r="P70" s="32">
        <v>0</v>
      </c>
      <c r="Q70" s="32">
        <v>0</v>
      </c>
      <c r="R70" s="32">
        <v>53.050879314331205</v>
      </c>
      <c r="S70" s="32">
        <v>122.59251310222503</v>
      </c>
      <c r="T70" s="32">
        <v>0</v>
      </c>
      <c r="U70" s="32">
        <v>259.51546921742903</v>
      </c>
      <c r="V70" s="32" t="s">
        <v>610</v>
      </c>
      <c r="W70" s="32" t="s">
        <v>610</v>
      </c>
      <c r="X70" s="32" t="s">
        <v>610</v>
      </c>
      <c r="Y70" s="32" t="s">
        <v>610</v>
      </c>
      <c r="Z70" s="32">
        <v>0</v>
      </c>
      <c r="AA70" s="32">
        <v>0</v>
      </c>
      <c r="AB70" s="32">
        <v>0</v>
      </c>
      <c r="AC70" s="32">
        <v>0</v>
      </c>
      <c r="AD70" s="32">
        <v>0</v>
      </c>
      <c r="AE70" s="32">
        <v>0</v>
      </c>
      <c r="AF70" s="32">
        <v>0</v>
      </c>
      <c r="AG70" s="32">
        <v>0</v>
      </c>
      <c r="AH70" s="32">
        <v>53.050879314331205</v>
      </c>
      <c r="AI70" s="32">
        <v>122.59251310222503</v>
      </c>
      <c r="AJ70" s="32">
        <v>0</v>
      </c>
      <c r="AK70" s="32">
        <v>259.51546921742903</v>
      </c>
      <c r="AL70" s="32">
        <v>435.15886163398523</v>
      </c>
      <c r="AM70" s="32">
        <v>750.16923123231277</v>
      </c>
      <c r="AN70" s="32">
        <v>129.08452008892601</v>
      </c>
      <c r="AO70" s="32">
        <v>0</v>
      </c>
      <c r="AP70" s="32">
        <v>0</v>
      </c>
      <c r="AQ70" s="32">
        <v>879.25375132123872</v>
      </c>
      <c r="AR70" s="32">
        <v>53.050879314331205</v>
      </c>
      <c r="AS70" s="382">
        <v>16.573782804080995</v>
      </c>
      <c r="AT70" s="32">
        <v>750.16923123231277</v>
      </c>
      <c r="AU70" s="32">
        <v>152.79762396967291</v>
      </c>
      <c r="AV70" s="32">
        <v>0</v>
      </c>
      <c r="AW70" s="32">
        <v>0</v>
      </c>
      <c r="AX70" s="32">
        <v>902.96685520198571</v>
      </c>
      <c r="AY70" s="32">
        <v>122.59251310222503</v>
      </c>
      <c r="AZ70" s="382">
        <v>7.3655954377004864</v>
      </c>
      <c r="BA70" s="32">
        <v>750.16923123231277</v>
      </c>
      <c r="BB70" s="32">
        <v>281.8821440585989</v>
      </c>
      <c r="BC70" s="32">
        <v>0</v>
      </c>
      <c r="BD70" s="32">
        <v>0</v>
      </c>
      <c r="BE70" s="32">
        <v>1032.0513752909117</v>
      </c>
      <c r="BF70" s="32">
        <v>175.64339241655622</v>
      </c>
      <c r="BG70" s="32">
        <v>-4.9947118779897046</v>
      </c>
      <c r="BH70" s="382">
        <v>5.8758337623273444</v>
      </c>
      <c r="BI70" s="32">
        <v>2.4941356421608059</v>
      </c>
      <c r="BJ70" s="32">
        <v>5.7635681131439069</v>
      </c>
      <c r="BK70" s="32">
        <v>0</v>
      </c>
      <c r="BL70" s="32">
        <v>12.200868106863254</v>
      </c>
      <c r="BM70" s="32">
        <v>20.458571862167965</v>
      </c>
      <c r="BN70" s="32">
        <v>750.16923123231277</v>
      </c>
      <c r="BO70" s="32">
        <v>0</v>
      </c>
      <c r="BP70" s="32">
        <v>281.8821440585989</v>
      </c>
      <c r="BQ70" s="32">
        <v>0</v>
      </c>
      <c r="BR70" s="32">
        <v>0</v>
      </c>
      <c r="BS70" s="32">
        <v>0</v>
      </c>
      <c r="BT70" s="32">
        <v>0</v>
      </c>
      <c r="BU70" s="32">
        <v>0</v>
      </c>
      <c r="BV70" s="32">
        <v>0</v>
      </c>
      <c r="BW70" s="32">
        <v>0</v>
      </c>
      <c r="BX70" s="32">
        <v>435.15886163398523</v>
      </c>
      <c r="BY70" s="32"/>
      <c r="BZ70" s="32">
        <v>0</v>
      </c>
      <c r="CA70" s="32">
        <v>0</v>
      </c>
      <c r="CB70" s="32">
        <v>1032.0513752909117</v>
      </c>
      <c r="CC70" s="32">
        <v>435.15886163398523</v>
      </c>
      <c r="CD70" s="382">
        <v>2.3716657668779737</v>
      </c>
      <c r="CE70" s="32">
        <v>7.2061562288735477</v>
      </c>
      <c r="CF70" s="32">
        <v>14.868507915220775</v>
      </c>
      <c r="CG70" s="32">
        <v>0</v>
      </c>
      <c r="CH70" s="32">
        <v>14.868507915220775</v>
      </c>
      <c r="CI70" s="32">
        <v>0.74342342611877466</v>
      </c>
      <c r="CJ70" s="32">
        <v>0</v>
      </c>
      <c r="CK70" s="32">
        <v>0.74342342611877466</v>
      </c>
      <c r="CL70" s="32"/>
      <c r="CM70" s="32">
        <v>0</v>
      </c>
      <c r="CN70" s="32"/>
      <c r="CO70" s="32">
        <v>0</v>
      </c>
      <c r="CP70" s="32">
        <v>0</v>
      </c>
      <c r="CQ70" s="32">
        <v>0</v>
      </c>
      <c r="CR70" s="32">
        <v>0</v>
      </c>
      <c r="CS70" s="32">
        <v>0</v>
      </c>
      <c r="CT70" s="32">
        <v>0</v>
      </c>
      <c r="CU70" s="32">
        <v>0</v>
      </c>
      <c r="CV70" s="32">
        <v>9999</v>
      </c>
      <c r="CW70" s="382">
        <v>9999</v>
      </c>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row>
    <row r="71" spans="1:131">
      <c r="A71" s="11" t="s">
        <v>667</v>
      </c>
      <c r="B71" s="11" t="s">
        <v>868</v>
      </c>
      <c r="C71" s="32">
        <v>11.627906976744185</v>
      </c>
      <c r="D71" s="32">
        <v>1459.85</v>
      </c>
      <c r="E71" s="32">
        <v>0</v>
      </c>
      <c r="F71" s="32">
        <v>266.0347316388702</v>
      </c>
      <c r="G71" s="32">
        <v>0</v>
      </c>
      <c r="H71" s="32">
        <v>0</v>
      </c>
      <c r="I71" s="32" t="s">
        <v>525</v>
      </c>
      <c r="J71" s="32"/>
      <c r="K71" s="32"/>
      <c r="L71" s="32">
        <v>1565.101949723736</v>
      </c>
      <c r="M71" s="32">
        <v>0.36531788186439379</v>
      </c>
      <c r="N71" s="32">
        <v>0.36268118121755466</v>
      </c>
      <c r="O71" s="32">
        <v>0</v>
      </c>
      <c r="P71" s="32">
        <v>0</v>
      </c>
      <c r="Q71" s="32">
        <v>0</v>
      </c>
      <c r="R71" s="32">
        <v>53.050879314331205</v>
      </c>
      <c r="S71" s="32">
        <v>122.59251310222503</v>
      </c>
      <c r="T71" s="32">
        <v>0</v>
      </c>
      <c r="U71" s="32">
        <v>259.51546921742903</v>
      </c>
      <c r="V71" s="32" t="s">
        <v>610</v>
      </c>
      <c r="W71" s="32" t="s">
        <v>610</v>
      </c>
      <c r="X71" s="32" t="s">
        <v>610</v>
      </c>
      <c r="Y71" s="32" t="s">
        <v>610</v>
      </c>
      <c r="Z71" s="32">
        <v>0</v>
      </c>
      <c r="AA71" s="32">
        <v>0</v>
      </c>
      <c r="AB71" s="32">
        <v>0</v>
      </c>
      <c r="AC71" s="32">
        <v>0</v>
      </c>
      <c r="AD71" s="32">
        <v>0</v>
      </c>
      <c r="AE71" s="32">
        <v>0</v>
      </c>
      <c r="AF71" s="32">
        <v>0</v>
      </c>
      <c r="AG71" s="32">
        <v>0</v>
      </c>
      <c r="AH71" s="32">
        <v>53.050879314331205</v>
      </c>
      <c r="AI71" s="32">
        <v>122.59251310222503</v>
      </c>
      <c r="AJ71" s="32">
        <v>0</v>
      </c>
      <c r="AK71" s="32">
        <v>259.51546921742903</v>
      </c>
      <c r="AL71" s="32">
        <v>435.15886163398523</v>
      </c>
      <c r="AM71" s="32">
        <v>750.16923123231277</v>
      </c>
      <c r="AN71" s="32">
        <v>129.08452008892601</v>
      </c>
      <c r="AO71" s="32">
        <v>0</v>
      </c>
      <c r="AP71" s="32">
        <v>0</v>
      </c>
      <c r="AQ71" s="32">
        <v>879.25375132123872</v>
      </c>
      <c r="AR71" s="32">
        <v>53.050879314331205</v>
      </c>
      <c r="AS71" s="382">
        <v>16.573782804080995</v>
      </c>
      <c r="AT71" s="32">
        <v>750.16923123231277</v>
      </c>
      <c r="AU71" s="32">
        <v>152.79762396967291</v>
      </c>
      <c r="AV71" s="32">
        <v>0</v>
      </c>
      <c r="AW71" s="32">
        <v>0</v>
      </c>
      <c r="AX71" s="32">
        <v>902.96685520198571</v>
      </c>
      <c r="AY71" s="32">
        <v>122.59251310222503</v>
      </c>
      <c r="AZ71" s="382">
        <v>7.3655954377004864</v>
      </c>
      <c r="BA71" s="32">
        <v>750.16923123231277</v>
      </c>
      <c r="BB71" s="32">
        <v>281.8821440585989</v>
      </c>
      <c r="BC71" s="32">
        <v>0</v>
      </c>
      <c r="BD71" s="32">
        <v>0</v>
      </c>
      <c r="BE71" s="32">
        <v>1032.0513752909117</v>
      </c>
      <c r="BF71" s="32">
        <v>175.64339241655622</v>
      </c>
      <c r="BG71" s="32">
        <v>-4.9947118779897046</v>
      </c>
      <c r="BH71" s="382">
        <v>5.8758337623273444</v>
      </c>
      <c r="BI71" s="32">
        <v>2.4941356421608059</v>
      </c>
      <c r="BJ71" s="32">
        <v>5.7635681131439069</v>
      </c>
      <c r="BK71" s="32">
        <v>0</v>
      </c>
      <c r="BL71" s="32">
        <v>12.200868106863254</v>
      </c>
      <c r="BM71" s="32">
        <v>20.458571862167965</v>
      </c>
      <c r="BN71" s="32">
        <v>750.16923123231277</v>
      </c>
      <c r="BO71" s="32">
        <v>0</v>
      </c>
      <c r="BP71" s="32">
        <v>281.8821440585989</v>
      </c>
      <c r="BQ71" s="32">
        <v>0</v>
      </c>
      <c r="BR71" s="32">
        <v>0</v>
      </c>
      <c r="BS71" s="32">
        <v>0</v>
      </c>
      <c r="BT71" s="32">
        <v>0</v>
      </c>
      <c r="BU71" s="32">
        <v>0</v>
      </c>
      <c r="BV71" s="32">
        <v>0</v>
      </c>
      <c r="BW71" s="32">
        <v>0</v>
      </c>
      <c r="BX71" s="32">
        <v>435.15886163398523</v>
      </c>
      <c r="BY71" s="32"/>
      <c r="BZ71" s="32">
        <v>0</v>
      </c>
      <c r="CA71" s="32">
        <v>0</v>
      </c>
      <c r="CB71" s="32">
        <v>1032.0513752909117</v>
      </c>
      <c r="CC71" s="32">
        <v>435.15886163398523</v>
      </c>
      <c r="CD71" s="382">
        <v>2.3716657668779737</v>
      </c>
      <c r="CE71" s="32">
        <v>7.2061562288735477</v>
      </c>
      <c r="CF71" s="32">
        <v>14.868507915220775</v>
      </c>
      <c r="CG71" s="32">
        <v>0</v>
      </c>
      <c r="CH71" s="32">
        <v>14.868507915220775</v>
      </c>
      <c r="CI71" s="32">
        <v>0.74342342611877466</v>
      </c>
      <c r="CJ71" s="32">
        <v>0</v>
      </c>
      <c r="CK71" s="32">
        <v>0.74342342611877466</v>
      </c>
      <c r="CL71" s="32"/>
      <c r="CM71" s="32">
        <v>0</v>
      </c>
      <c r="CN71" s="32"/>
      <c r="CO71" s="32">
        <v>0</v>
      </c>
      <c r="CP71" s="32">
        <v>0</v>
      </c>
      <c r="CQ71" s="32">
        <v>0</v>
      </c>
      <c r="CR71" s="32">
        <v>0</v>
      </c>
      <c r="CS71" s="32">
        <v>0</v>
      </c>
      <c r="CT71" s="32">
        <v>0</v>
      </c>
      <c r="CU71" s="32">
        <v>0</v>
      </c>
      <c r="CV71" s="32">
        <v>9999</v>
      </c>
      <c r="CW71" s="382">
        <v>9999</v>
      </c>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row>
    <row r="72" spans="1:131">
      <c r="A72" s="11" t="s">
        <v>668</v>
      </c>
      <c r="B72" s="11" t="s">
        <v>530</v>
      </c>
      <c r="C72" s="32">
        <v>11.627906976744185</v>
      </c>
      <c r="D72" s="32">
        <v>84.924999999999983</v>
      </c>
      <c r="E72" s="32">
        <v>0</v>
      </c>
      <c r="F72" s="32">
        <v>28.35202601226743</v>
      </c>
      <c r="G72" s="32">
        <v>0</v>
      </c>
      <c r="H72" s="32">
        <v>0</v>
      </c>
      <c r="I72" s="32" t="s">
        <v>525</v>
      </c>
      <c r="J72" s="32"/>
      <c r="K72" s="32"/>
      <c r="L72" s="32">
        <v>91.04790429173427</v>
      </c>
      <c r="M72" s="32">
        <v>2.1251923908164289E-2</v>
      </c>
      <c r="N72" s="32">
        <v>2.1098537051683956E-2</v>
      </c>
      <c r="O72" s="32">
        <v>0</v>
      </c>
      <c r="P72" s="32">
        <v>0</v>
      </c>
      <c r="Q72" s="32">
        <v>0</v>
      </c>
      <c r="R72" s="32">
        <v>5.6537727274471976</v>
      </c>
      <c r="S72" s="32">
        <v>13.065008839152943</v>
      </c>
      <c r="T72" s="32">
        <v>0</v>
      </c>
      <c r="U72" s="32">
        <v>27.657250948068672</v>
      </c>
      <c r="V72" s="32" t="s">
        <v>610</v>
      </c>
      <c r="W72" s="32" t="s">
        <v>610</v>
      </c>
      <c r="X72" s="32" t="s">
        <v>610</v>
      </c>
      <c r="Y72" s="32" t="s">
        <v>610</v>
      </c>
      <c r="Z72" s="32">
        <v>0</v>
      </c>
      <c r="AA72" s="32">
        <v>0</v>
      </c>
      <c r="AB72" s="32">
        <v>0</v>
      </c>
      <c r="AC72" s="32">
        <v>0</v>
      </c>
      <c r="AD72" s="32">
        <v>0</v>
      </c>
      <c r="AE72" s="32">
        <v>0</v>
      </c>
      <c r="AF72" s="32">
        <v>0</v>
      </c>
      <c r="AG72" s="32">
        <v>0</v>
      </c>
      <c r="AH72" s="32">
        <v>5.6537727274471976</v>
      </c>
      <c r="AI72" s="32">
        <v>13.065008839152943</v>
      </c>
      <c r="AJ72" s="32">
        <v>0</v>
      </c>
      <c r="AK72" s="32">
        <v>27.657250948068672</v>
      </c>
      <c r="AL72" s="32">
        <v>46.376032514668815</v>
      </c>
      <c r="AM72" s="32">
        <v>43.640183554751601</v>
      </c>
      <c r="AN72" s="32">
        <v>7.5093351156297174</v>
      </c>
      <c r="AO72" s="32">
        <v>0</v>
      </c>
      <c r="AP72" s="32">
        <v>0</v>
      </c>
      <c r="AQ72" s="32">
        <v>51.149518670381319</v>
      </c>
      <c r="AR72" s="32">
        <v>5.6537727274471976</v>
      </c>
      <c r="AS72" s="382">
        <v>9.0469711352328179</v>
      </c>
      <c r="AT72" s="32">
        <v>43.640183554751601</v>
      </c>
      <c r="AU72" s="32">
        <v>8.8888161219470927</v>
      </c>
      <c r="AV72" s="32">
        <v>0</v>
      </c>
      <c r="AW72" s="32">
        <v>0</v>
      </c>
      <c r="AX72" s="32">
        <v>52.528999676698696</v>
      </c>
      <c r="AY72" s="32">
        <v>13.065008839152943</v>
      </c>
      <c r="AZ72" s="382">
        <v>4.020586616006022</v>
      </c>
      <c r="BA72" s="32">
        <v>43.640183554751601</v>
      </c>
      <c r="BB72" s="32">
        <v>16.398151237576812</v>
      </c>
      <c r="BC72" s="32">
        <v>0</v>
      </c>
      <c r="BD72" s="32">
        <v>0</v>
      </c>
      <c r="BE72" s="32">
        <v>60.038334792328413</v>
      </c>
      <c r="BF72" s="32">
        <v>18.718781566600143</v>
      </c>
      <c r="BG72" s="32">
        <v>1.8754527389022013</v>
      </c>
      <c r="BH72" s="382">
        <v>3.2073847637313428</v>
      </c>
      <c r="BI72" s="32">
        <v>4.56918252519952</v>
      </c>
      <c r="BJ72" s="32">
        <v>10.558685846997095</v>
      </c>
      <c r="BK72" s="32">
        <v>0</v>
      </c>
      <c r="BL72" s="32">
        <v>22.351628517623933</v>
      </c>
      <c r="BM72" s="32">
        <v>37.479496889820545</v>
      </c>
      <c r="BN72" s="32">
        <v>43.640183554751601</v>
      </c>
      <c r="BO72" s="32">
        <v>0</v>
      </c>
      <c r="BP72" s="32">
        <v>16.398151237576812</v>
      </c>
      <c r="BQ72" s="32">
        <v>0</v>
      </c>
      <c r="BR72" s="32">
        <v>0</v>
      </c>
      <c r="BS72" s="32">
        <v>0</v>
      </c>
      <c r="BT72" s="32">
        <v>0</v>
      </c>
      <c r="BU72" s="32">
        <v>0</v>
      </c>
      <c r="BV72" s="32">
        <v>0</v>
      </c>
      <c r="BW72" s="32">
        <v>0</v>
      </c>
      <c r="BX72" s="32">
        <v>46.376032514668815</v>
      </c>
      <c r="BY72" s="32"/>
      <c r="BZ72" s="32">
        <v>0</v>
      </c>
      <c r="CA72" s="32">
        <v>0</v>
      </c>
      <c r="CB72" s="32">
        <v>60.038334792328413</v>
      </c>
      <c r="CC72" s="32">
        <v>46.376032514668815</v>
      </c>
      <c r="CD72" s="382">
        <v>1.2945983417908418</v>
      </c>
      <c r="CE72" s="32">
        <v>24.227081256526134</v>
      </c>
      <c r="CF72" s="32">
        <v>0.86495738240238373</v>
      </c>
      <c r="CG72" s="32">
        <v>0</v>
      </c>
      <c r="CH72" s="32">
        <v>0.86495738240238373</v>
      </c>
      <c r="CI72" s="32">
        <v>4.3247754538573782E-2</v>
      </c>
      <c r="CJ72" s="32">
        <v>0</v>
      </c>
      <c r="CK72" s="32">
        <v>4.3247754538573782E-2</v>
      </c>
      <c r="CL72" s="32"/>
      <c r="CM72" s="32">
        <v>0</v>
      </c>
      <c r="CN72" s="32"/>
      <c r="CO72" s="32">
        <v>0</v>
      </c>
      <c r="CP72" s="32">
        <v>0</v>
      </c>
      <c r="CQ72" s="32">
        <v>0</v>
      </c>
      <c r="CR72" s="32">
        <v>0</v>
      </c>
      <c r="CS72" s="32">
        <v>0</v>
      </c>
      <c r="CT72" s="32">
        <v>0</v>
      </c>
      <c r="CU72" s="32">
        <v>0</v>
      </c>
      <c r="CV72" s="32">
        <v>9999</v>
      </c>
      <c r="CW72" s="382">
        <v>9999</v>
      </c>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row>
    <row r="73" spans="1:131">
      <c r="A73" s="11" t="s">
        <v>668</v>
      </c>
      <c r="B73" s="11" t="s">
        <v>531</v>
      </c>
      <c r="C73" s="32">
        <v>11.627906976744185</v>
      </c>
      <c r="D73" s="32">
        <v>84.924999999999983</v>
      </c>
      <c r="E73" s="32">
        <v>0</v>
      </c>
      <c r="F73" s="32">
        <v>28.35202601226743</v>
      </c>
      <c r="G73" s="32">
        <v>0</v>
      </c>
      <c r="H73" s="32">
        <v>0</v>
      </c>
      <c r="I73" s="32" t="s">
        <v>525</v>
      </c>
      <c r="J73" s="32"/>
      <c r="K73" s="32"/>
      <c r="L73" s="32">
        <v>91.04790429173427</v>
      </c>
      <c r="M73" s="32">
        <v>2.1251923908164289E-2</v>
      </c>
      <c r="N73" s="32">
        <v>2.1098537051683956E-2</v>
      </c>
      <c r="O73" s="32">
        <v>0</v>
      </c>
      <c r="P73" s="32">
        <v>0</v>
      </c>
      <c r="Q73" s="32">
        <v>0</v>
      </c>
      <c r="R73" s="32">
        <v>5.6537727274471976</v>
      </c>
      <c r="S73" s="32">
        <v>13.065008839152943</v>
      </c>
      <c r="T73" s="32">
        <v>0</v>
      </c>
      <c r="U73" s="32">
        <v>27.657250948068672</v>
      </c>
      <c r="V73" s="32" t="s">
        <v>610</v>
      </c>
      <c r="W73" s="32" t="s">
        <v>610</v>
      </c>
      <c r="X73" s="32" t="s">
        <v>610</v>
      </c>
      <c r="Y73" s="32" t="s">
        <v>610</v>
      </c>
      <c r="Z73" s="32">
        <v>0</v>
      </c>
      <c r="AA73" s="32">
        <v>0</v>
      </c>
      <c r="AB73" s="32">
        <v>0</v>
      </c>
      <c r="AC73" s="32">
        <v>0</v>
      </c>
      <c r="AD73" s="32">
        <v>0</v>
      </c>
      <c r="AE73" s="32">
        <v>0</v>
      </c>
      <c r="AF73" s="32">
        <v>0</v>
      </c>
      <c r="AG73" s="32">
        <v>0</v>
      </c>
      <c r="AH73" s="32">
        <v>5.6537727274471976</v>
      </c>
      <c r="AI73" s="32">
        <v>13.065008839152943</v>
      </c>
      <c r="AJ73" s="32">
        <v>0</v>
      </c>
      <c r="AK73" s="32">
        <v>27.657250948068672</v>
      </c>
      <c r="AL73" s="32">
        <v>46.376032514668815</v>
      </c>
      <c r="AM73" s="32">
        <v>43.640183554751601</v>
      </c>
      <c r="AN73" s="32">
        <v>7.5093351156297174</v>
      </c>
      <c r="AO73" s="32">
        <v>0</v>
      </c>
      <c r="AP73" s="32">
        <v>0</v>
      </c>
      <c r="AQ73" s="32">
        <v>51.149518670381319</v>
      </c>
      <c r="AR73" s="32">
        <v>5.6537727274471976</v>
      </c>
      <c r="AS73" s="382">
        <v>9.0469711352328179</v>
      </c>
      <c r="AT73" s="32">
        <v>43.640183554751601</v>
      </c>
      <c r="AU73" s="32">
        <v>8.8888161219470927</v>
      </c>
      <c r="AV73" s="32">
        <v>0</v>
      </c>
      <c r="AW73" s="32">
        <v>0</v>
      </c>
      <c r="AX73" s="32">
        <v>52.528999676698696</v>
      </c>
      <c r="AY73" s="32">
        <v>13.065008839152943</v>
      </c>
      <c r="AZ73" s="382">
        <v>4.020586616006022</v>
      </c>
      <c r="BA73" s="32">
        <v>43.640183554751601</v>
      </c>
      <c r="BB73" s="32">
        <v>16.398151237576812</v>
      </c>
      <c r="BC73" s="32">
        <v>0</v>
      </c>
      <c r="BD73" s="32">
        <v>0</v>
      </c>
      <c r="BE73" s="32">
        <v>60.038334792328413</v>
      </c>
      <c r="BF73" s="32">
        <v>18.718781566600143</v>
      </c>
      <c r="BG73" s="32">
        <v>1.8754527389022013</v>
      </c>
      <c r="BH73" s="382">
        <v>3.2073847637313428</v>
      </c>
      <c r="BI73" s="32">
        <v>4.56918252519952</v>
      </c>
      <c r="BJ73" s="32">
        <v>10.558685846997095</v>
      </c>
      <c r="BK73" s="32">
        <v>0</v>
      </c>
      <c r="BL73" s="32">
        <v>22.351628517623933</v>
      </c>
      <c r="BM73" s="32">
        <v>37.479496889820545</v>
      </c>
      <c r="BN73" s="32">
        <v>43.640183554751601</v>
      </c>
      <c r="BO73" s="32">
        <v>0</v>
      </c>
      <c r="BP73" s="32">
        <v>16.398151237576812</v>
      </c>
      <c r="BQ73" s="32">
        <v>0</v>
      </c>
      <c r="BR73" s="32">
        <v>0</v>
      </c>
      <c r="BS73" s="32">
        <v>0</v>
      </c>
      <c r="BT73" s="32">
        <v>0</v>
      </c>
      <c r="BU73" s="32">
        <v>0</v>
      </c>
      <c r="BV73" s="32">
        <v>0</v>
      </c>
      <c r="BW73" s="32">
        <v>0</v>
      </c>
      <c r="BX73" s="32">
        <v>46.376032514668815</v>
      </c>
      <c r="BY73" s="32"/>
      <c r="BZ73" s="32">
        <v>0</v>
      </c>
      <c r="CA73" s="32">
        <v>0</v>
      </c>
      <c r="CB73" s="32">
        <v>60.038334792328413</v>
      </c>
      <c r="CC73" s="32">
        <v>46.376032514668815</v>
      </c>
      <c r="CD73" s="382">
        <v>1.2945983417908418</v>
      </c>
      <c r="CE73" s="32">
        <v>24.227081256526134</v>
      </c>
      <c r="CF73" s="32">
        <v>0.86495738240238373</v>
      </c>
      <c r="CG73" s="32">
        <v>0</v>
      </c>
      <c r="CH73" s="32">
        <v>0.86495738240238373</v>
      </c>
      <c r="CI73" s="32">
        <v>4.3247754538573782E-2</v>
      </c>
      <c r="CJ73" s="32">
        <v>0</v>
      </c>
      <c r="CK73" s="32">
        <v>4.3247754538573782E-2</v>
      </c>
      <c r="CL73" s="32"/>
      <c r="CM73" s="32">
        <v>0</v>
      </c>
      <c r="CN73" s="32"/>
      <c r="CO73" s="32">
        <v>0</v>
      </c>
      <c r="CP73" s="32">
        <v>0</v>
      </c>
      <c r="CQ73" s="32">
        <v>0</v>
      </c>
      <c r="CR73" s="32">
        <v>0</v>
      </c>
      <c r="CS73" s="32">
        <v>0</v>
      </c>
      <c r="CT73" s="32">
        <v>0</v>
      </c>
      <c r="CU73" s="32">
        <v>0</v>
      </c>
      <c r="CV73" s="32">
        <v>9999</v>
      </c>
      <c r="CW73" s="382">
        <v>9999</v>
      </c>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row>
    <row r="74" spans="1:131">
      <c r="A74" s="11" t="s">
        <v>668</v>
      </c>
      <c r="B74" s="11" t="s">
        <v>532</v>
      </c>
      <c r="C74" s="32">
        <v>11.627906976744185</v>
      </c>
      <c r="D74" s="32">
        <v>67.724999999999994</v>
      </c>
      <c r="E74" s="32">
        <v>0</v>
      </c>
      <c r="F74" s="32">
        <v>28.35202601226743</v>
      </c>
      <c r="G74" s="32">
        <v>0</v>
      </c>
      <c r="H74" s="32">
        <v>0</v>
      </c>
      <c r="I74" s="32" t="s">
        <v>525</v>
      </c>
      <c r="J74" s="32"/>
      <c r="K74" s="32"/>
      <c r="L74" s="32">
        <v>72.607822409864042</v>
      </c>
      <c r="M74" s="32">
        <v>1.6947736787523423E-2</v>
      </c>
      <c r="N74" s="32">
        <v>1.6825415623494804E-2</v>
      </c>
      <c r="O74" s="32">
        <v>0</v>
      </c>
      <c r="P74" s="32">
        <v>0</v>
      </c>
      <c r="Q74" s="32">
        <v>0</v>
      </c>
      <c r="R74" s="32">
        <v>5.6537727274471976</v>
      </c>
      <c r="S74" s="32">
        <v>13.065008839152943</v>
      </c>
      <c r="T74" s="32">
        <v>0</v>
      </c>
      <c r="U74" s="32">
        <v>27.657250948068672</v>
      </c>
      <c r="V74" s="32" t="s">
        <v>610</v>
      </c>
      <c r="W74" s="32" t="s">
        <v>610</v>
      </c>
      <c r="X74" s="32" t="s">
        <v>610</v>
      </c>
      <c r="Y74" s="32" t="s">
        <v>610</v>
      </c>
      <c r="Z74" s="32">
        <v>0</v>
      </c>
      <c r="AA74" s="32">
        <v>0</v>
      </c>
      <c r="AB74" s="32">
        <v>0</v>
      </c>
      <c r="AC74" s="32">
        <v>0</v>
      </c>
      <c r="AD74" s="32">
        <v>0</v>
      </c>
      <c r="AE74" s="32">
        <v>0</v>
      </c>
      <c r="AF74" s="32">
        <v>0</v>
      </c>
      <c r="AG74" s="32">
        <v>0</v>
      </c>
      <c r="AH74" s="32">
        <v>5.6537727274471976</v>
      </c>
      <c r="AI74" s="32">
        <v>13.065008839152943</v>
      </c>
      <c r="AJ74" s="32">
        <v>0</v>
      </c>
      <c r="AK74" s="32">
        <v>27.657250948068672</v>
      </c>
      <c r="AL74" s="32">
        <v>46.376032514668815</v>
      </c>
      <c r="AM74" s="32">
        <v>34.801665366447452</v>
      </c>
      <c r="AN74" s="32">
        <v>5.9884571175274965</v>
      </c>
      <c r="AO74" s="32">
        <v>0</v>
      </c>
      <c r="AP74" s="32">
        <v>0</v>
      </c>
      <c r="AQ74" s="32">
        <v>40.790122483974947</v>
      </c>
      <c r="AR74" s="32">
        <v>5.6537727274471976</v>
      </c>
      <c r="AS74" s="382">
        <v>7.2146731837932547</v>
      </c>
      <c r="AT74" s="32">
        <v>34.801665366447452</v>
      </c>
      <c r="AU74" s="32">
        <v>7.0885495656033806</v>
      </c>
      <c r="AV74" s="32">
        <v>0</v>
      </c>
      <c r="AW74" s="32">
        <v>0</v>
      </c>
      <c r="AX74" s="32">
        <v>41.890214932050831</v>
      </c>
      <c r="AY74" s="32">
        <v>13.065008839152943</v>
      </c>
      <c r="AZ74" s="382">
        <v>3.2062905925111291</v>
      </c>
      <c r="BA74" s="32">
        <v>34.801665366447452</v>
      </c>
      <c r="BB74" s="32">
        <v>13.077006683130877</v>
      </c>
      <c r="BC74" s="32">
        <v>0</v>
      </c>
      <c r="BD74" s="32">
        <v>0</v>
      </c>
      <c r="BE74" s="32">
        <v>47.878672049578327</v>
      </c>
      <c r="BF74" s="32">
        <v>18.718781566600143</v>
      </c>
      <c r="BG74" s="32">
        <v>5.7174510556505487</v>
      </c>
      <c r="BH74" s="382">
        <v>2.5577878495579047</v>
      </c>
      <c r="BI74" s="32">
        <v>5.7296098331866991</v>
      </c>
      <c r="BJ74" s="32">
        <v>13.240256855758261</v>
      </c>
      <c r="BK74" s="32">
        <v>0</v>
      </c>
      <c r="BL74" s="32">
        <v>28.028232585591915</v>
      </c>
      <c r="BM74" s="32">
        <v>46.998099274536877</v>
      </c>
      <c r="BN74" s="32">
        <v>34.801665366447452</v>
      </c>
      <c r="BO74" s="32">
        <v>0</v>
      </c>
      <c r="BP74" s="32">
        <v>13.077006683130877</v>
      </c>
      <c r="BQ74" s="32">
        <v>0</v>
      </c>
      <c r="BR74" s="32">
        <v>0</v>
      </c>
      <c r="BS74" s="32">
        <v>0</v>
      </c>
      <c r="BT74" s="32">
        <v>0</v>
      </c>
      <c r="BU74" s="32">
        <v>0</v>
      </c>
      <c r="BV74" s="32">
        <v>0</v>
      </c>
      <c r="BW74" s="32">
        <v>0</v>
      </c>
      <c r="BX74" s="32">
        <v>46.376032514668815</v>
      </c>
      <c r="BY74" s="32"/>
      <c r="BZ74" s="32">
        <v>0</v>
      </c>
      <c r="CA74" s="32">
        <v>0</v>
      </c>
      <c r="CB74" s="32">
        <v>47.878672049578327</v>
      </c>
      <c r="CC74" s="32">
        <v>46.376032514668815</v>
      </c>
      <c r="CD74" s="382">
        <v>1.0324012092762405</v>
      </c>
      <c r="CE74" s="32">
        <v>33.745683641242465</v>
      </c>
      <c r="CF74" s="32">
        <v>0.68977614039683877</v>
      </c>
      <c r="CG74" s="32">
        <v>0</v>
      </c>
      <c r="CH74" s="32">
        <v>0.68977614039683877</v>
      </c>
      <c r="CI74" s="32">
        <v>3.4488715644685433E-2</v>
      </c>
      <c r="CJ74" s="32">
        <v>0</v>
      </c>
      <c r="CK74" s="32">
        <v>3.4488715644685433E-2</v>
      </c>
      <c r="CL74" s="32"/>
      <c r="CM74" s="32">
        <v>0</v>
      </c>
      <c r="CN74" s="32"/>
      <c r="CO74" s="32">
        <v>0</v>
      </c>
      <c r="CP74" s="32">
        <v>0</v>
      </c>
      <c r="CQ74" s="32">
        <v>0</v>
      </c>
      <c r="CR74" s="32">
        <v>0</v>
      </c>
      <c r="CS74" s="32">
        <v>0</v>
      </c>
      <c r="CT74" s="32">
        <v>0</v>
      </c>
      <c r="CU74" s="32">
        <v>0</v>
      </c>
      <c r="CV74" s="32">
        <v>9999</v>
      </c>
      <c r="CW74" s="382">
        <v>9999</v>
      </c>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row>
    <row r="75" spans="1:131">
      <c r="A75" s="11" t="s">
        <v>668</v>
      </c>
      <c r="B75" s="11" t="s">
        <v>533</v>
      </c>
      <c r="C75" s="32">
        <v>11.627906976744185</v>
      </c>
      <c r="D75" s="32">
        <v>67.724999999999994</v>
      </c>
      <c r="E75" s="32">
        <v>0</v>
      </c>
      <c r="F75" s="32">
        <v>28.35202601226743</v>
      </c>
      <c r="G75" s="32">
        <v>0</v>
      </c>
      <c r="H75" s="32">
        <v>0</v>
      </c>
      <c r="I75" s="32" t="s">
        <v>525</v>
      </c>
      <c r="J75" s="32"/>
      <c r="K75" s="32"/>
      <c r="L75" s="32">
        <v>72.607822409864042</v>
      </c>
      <c r="M75" s="32">
        <v>1.6947736787523423E-2</v>
      </c>
      <c r="N75" s="32">
        <v>1.6825415623494804E-2</v>
      </c>
      <c r="O75" s="32">
        <v>0</v>
      </c>
      <c r="P75" s="32">
        <v>0</v>
      </c>
      <c r="Q75" s="32">
        <v>0</v>
      </c>
      <c r="R75" s="32">
        <v>5.6537727274471976</v>
      </c>
      <c r="S75" s="32">
        <v>13.065008839152943</v>
      </c>
      <c r="T75" s="32">
        <v>0</v>
      </c>
      <c r="U75" s="32">
        <v>27.657250948068672</v>
      </c>
      <c r="V75" s="32" t="s">
        <v>610</v>
      </c>
      <c r="W75" s="32" t="s">
        <v>610</v>
      </c>
      <c r="X75" s="32" t="s">
        <v>610</v>
      </c>
      <c r="Y75" s="32" t="s">
        <v>610</v>
      </c>
      <c r="Z75" s="32">
        <v>0</v>
      </c>
      <c r="AA75" s="32">
        <v>0</v>
      </c>
      <c r="AB75" s="32">
        <v>0</v>
      </c>
      <c r="AC75" s="32">
        <v>0</v>
      </c>
      <c r="AD75" s="32">
        <v>0</v>
      </c>
      <c r="AE75" s="32">
        <v>0</v>
      </c>
      <c r="AF75" s="32">
        <v>0</v>
      </c>
      <c r="AG75" s="32">
        <v>0</v>
      </c>
      <c r="AH75" s="32">
        <v>5.6537727274471976</v>
      </c>
      <c r="AI75" s="32">
        <v>13.065008839152943</v>
      </c>
      <c r="AJ75" s="32">
        <v>0</v>
      </c>
      <c r="AK75" s="32">
        <v>27.657250948068672</v>
      </c>
      <c r="AL75" s="32">
        <v>46.376032514668815</v>
      </c>
      <c r="AM75" s="32">
        <v>34.801665366447452</v>
      </c>
      <c r="AN75" s="32">
        <v>5.9884571175274965</v>
      </c>
      <c r="AO75" s="32">
        <v>0</v>
      </c>
      <c r="AP75" s="32">
        <v>0</v>
      </c>
      <c r="AQ75" s="32">
        <v>40.790122483974947</v>
      </c>
      <c r="AR75" s="32">
        <v>5.6537727274471976</v>
      </c>
      <c r="AS75" s="382">
        <v>7.2146731837932547</v>
      </c>
      <c r="AT75" s="32">
        <v>34.801665366447452</v>
      </c>
      <c r="AU75" s="32">
        <v>7.0885495656033806</v>
      </c>
      <c r="AV75" s="32">
        <v>0</v>
      </c>
      <c r="AW75" s="32">
        <v>0</v>
      </c>
      <c r="AX75" s="32">
        <v>41.890214932050831</v>
      </c>
      <c r="AY75" s="32">
        <v>13.065008839152943</v>
      </c>
      <c r="AZ75" s="382">
        <v>3.2062905925111291</v>
      </c>
      <c r="BA75" s="32">
        <v>34.801665366447452</v>
      </c>
      <c r="BB75" s="32">
        <v>13.077006683130877</v>
      </c>
      <c r="BC75" s="32">
        <v>0</v>
      </c>
      <c r="BD75" s="32">
        <v>0</v>
      </c>
      <c r="BE75" s="32">
        <v>47.878672049578327</v>
      </c>
      <c r="BF75" s="32">
        <v>18.718781566600143</v>
      </c>
      <c r="BG75" s="32">
        <v>5.7174510556505487</v>
      </c>
      <c r="BH75" s="382">
        <v>2.5577878495579047</v>
      </c>
      <c r="BI75" s="32">
        <v>5.7296098331866991</v>
      </c>
      <c r="BJ75" s="32">
        <v>13.240256855758261</v>
      </c>
      <c r="BK75" s="32">
        <v>0</v>
      </c>
      <c r="BL75" s="32">
        <v>28.028232585591915</v>
      </c>
      <c r="BM75" s="32">
        <v>46.998099274536877</v>
      </c>
      <c r="BN75" s="32">
        <v>34.801665366447452</v>
      </c>
      <c r="BO75" s="32">
        <v>0</v>
      </c>
      <c r="BP75" s="32">
        <v>13.077006683130877</v>
      </c>
      <c r="BQ75" s="32">
        <v>0</v>
      </c>
      <c r="BR75" s="32">
        <v>0</v>
      </c>
      <c r="BS75" s="32">
        <v>0</v>
      </c>
      <c r="BT75" s="32">
        <v>0</v>
      </c>
      <c r="BU75" s="32">
        <v>0</v>
      </c>
      <c r="BV75" s="32">
        <v>0</v>
      </c>
      <c r="BW75" s="32">
        <v>0</v>
      </c>
      <c r="BX75" s="32">
        <v>46.376032514668815</v>
      </c>
      <c r="BY75" s="32"/>
      <c r="BZ75" s="32">
        <v>0</v>
      </c>
      <c r="CA75" s="32">
        <v>0</v>
      </c>
      <c r="CB75" s="32">
        <v>47.878672049578327</v>
      </c>
      <c r="CC75" s="32">
        <v>46.376032514668815</v>
      </c>
      <c r="CD75" s="382">
        <v>1.0324012092762405</v>
      </c>
      <c r="CE75" s="32">
        <v>33.745683641242465</v>
      </c>
      <c r="CF75" s="32">
        <v>0.68977614039683877</v>
      </c>
      <c r="CG75" s="32">
        <v>0</v>
      </c>
      <c r="CH75" s="32">
        <v>0.68977614039683877</v>
      </c>
      <c r="CI75" s="32">
        <v>3.4488715644685433E-2</v>
      </c>
      <c r="CJ75" s="32">
        <v>0</v>
      </c>
      <c r="CK75" s="32">
        <v>3.4488715644685433E-2</v>
      </c>
      <c r="CL75" s="32"/>
      <c r="CM75" s="32">
        <v>0</v>
      </c>
      <c r="CN75" s="32"/>
      <c r="CO75" s="32">
        <v>0</v>
      </c>
      <c r="CP75" s="32">
        <v>0</v>
      </c>
      <c r="CQ75" s="32">
        <v>0</v>
      </c>
      <c r="CR75" s="32">
        <v>0</v>
      </c>
      <c r="CS75" s="32">
        <v>0</v>
      </c>
      <c r="CT75" s="32">
        <v>0</v>
      </c>
      <c r="CU75" s="32">
        <v>0</v>
      </c>
      <c r="CV75" s="32">
        <v>9999</v>
      </c>
      <c r="CW75" s="382">
        <v>9999</v>
      </c>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row>
    <row r="76" spans="1:131">
      <c r="A76" s="11" t="s">
        <v>669</v>
      </c>
      <c r="B76" s="11" t="s">
        <v>839</v>
      </c>
      <c r="C76" s="32">
        <v>11.627906976744185</v>
      </c>
      <c r="D76" s="32">
        <v>197.8</v>
      </c>
      <c r="E76" s="32">
        <v>0</v>
      </c>
      <c r="F76" s="32">
        <v>81.005788606478362</v>
      </c>
      <c r="G76" s="32">
        <v>0</v>
      </c>
      <c r="H76" s="32">
        <v>0</v>
      </c>
      <c r="I76" s="32" t="s">
        <v>525</v>
      </c>
      <c r="J76" s="32"/>
      <c r="K76" s="32"/>
      <c r="L76" s="32">
        <v>212.06094164150772</v>
      </c>
      <c r="M76" s="32">
        <v>4.9498151887370001E-2</v>
      </c>
      <c r="N76" s="32">
        <v>4.9140896424175309E-2</v>
      </c>
      <c r="O76" s="32">
        <v>0</v>
      </c>
      <c r="P76" s="32">
        <v>0</v>
      </c>
      <c r="Q76" s="32">
        <v>0</v>
      </c>
      <c r="R76" s="32">
        <v>16.153636364134851</v>
      </c>
      <c r="S76" s="32">
        <v>37.328596683294116</v>
      </c>
      <c r="T76" s="32">
        <v>0</v>
      </c>
      <c r="U76" s="32">
        <v>79.020716994481901</v>
      </c>
      <c r="V76" s="32" t="s">
        <v>610</v>
      </c>
      <c r="W76" s="32" t="s">
        <v>610</v>
      </c>
      <c r="X76" s="32" t="s">
        <v>610</v>
      </c>
      <c r="Y76" s="32" t="s">
        <v>610</v>
      </c>
      <c r="Z76" s="32">
        <v>0</v>
      </c>
      <c r="AA76" s="32">
        <v>0</v>
      </c>
      <c r="AB76" s="32">
        <v>0</v>
      </c>
      <c r="AC76" s="32">
        <v>0</v>
      </c>
      <c r="AD76" s="32">
        <v>0</v>
      </c>
      <c r="AE76" s="32">
        <v>0</v>
      </c>
      <c r="AF76" s="32">
        <v>0</v>
      </c>
      <c r="AG76" s="32">
        <v>0</v>
      </c>
      <c r="AH76" s="32">
        <v>16.153636364134851</v>
      </c>
      <c r="AI76" s="32">
        <v>37.328596683294116</v>
      </c>
      <c r="AJ76" s="32">
        <v>0</v>
      </c>
      <c r="AK76" s="32">
        <v>79.020716994481901</v>
      </c>
      <c r="AL76" s="32">
        <v>132.50295004191088</v>
      </c>
      <c r="AM76" s="32">
        <v>101.64295916549729</v>
      </c>
      <c r="AN76" s="32">
        <v>17.490096978175551</v>
      </c>
      <c r="AO76" s="32">
        <v>0</v>
      </c>
      <c r="AP76" s="32">
        <v>0</v>
      </c>
      <c r="AQ76" s="32">
        <v>119.13305614367283</v>
      </c>
      <c r="AR76" s="32">
        <v>16.153636364134851</v>
      </c>
      <c r="AS76" s="382">
        <v>7.374999254544214</v>
      </c>
      <c r="AT76" s="32">
        <v>101.64295916549729</v>
      </c>
      <c r="AU76" s="32">
        <v>20.703065397952734</v>
      </c>
      <c r="AV76" s="32">
        <v>0</v>
      </c>
      <c r="AW76" s="32">
        <v>0</v>
      </c>
      <c r="AX76" s="32">
        <v>122.34602456345002</v>
      </c>
      <c r="AY76" s="32">
        <v>37.328596683294116</v>
      </c>
      <c r="AZ76" s="382">
        <v>3.2775414945669321</v>
      </c>
      <c r="BA76" s="32">
        <v>101.64295916549729</v>
      </c>
      <c r="BB76" s="32">
        <v>38.193162376128285</v>
      </c>
      <c r="BC76" s="32">
        <v>0</v>
      </c>
      <c r="BD76" s="32">
        <v>0</v>
      </c>
      <c r="BE76" s="32">
        <v>139.83612154162557</v>
      </c>
      <c r="BF76" s="32">
        <v>53.482233047428963</v>
      </c>
      <c r="BG76" s="32">
        <v>5.3050626493691251</v>
      </c>
      <c r="BH76" s="382">
        <v>2.6146275795480811</v>
      </c>
      <c r="BI76" s="32">
        <v>5.6050530976826405</v>
      </c>
      <c r="BJ76" s="32">
        <v>12.952425184980903</v>
      </c>
      <c r="BK76" s="32">
        <v>0</v>
      </c>
      <c r="BL76" s="32">
        <v>27.4189231815573</v>
      </c>
      <c r="BM76" s="32">
        <v>45.976401464220842</v>
      </c>
      <c r="BN76" s="32">
        <v>101.64295916549729</v>
      </c>
      <c r="BO76" s="32">
        <v>0</v>
      </c>
      <c r="BP76" s="32">
        <v>38.193162376128285</v>
      </c>
      <c r="BQ76" s="32">
        <v>0</v>
      </c>
      <c r="BR76" s="32">
        <v>0</v>
      </c>
      <c r="BS76" s="32">
        <v>0</v>
      </c>
      <c r="BT76" s="32">
        <v>0</v>
      </c>
      <c r="BU76" s="32">
        <v>0</v>
      </c>
      <c r="BV76" s="32">
        <v>0</v>
      </c>
      <c r="BW76" s="32">
        <v>0</v>
      </c>
      <c r="BX76" s="32">
        <v>132.50295004191088</v>
      </c>
      <c r="BY76" s="32"/>
      <c r="BZ76" s="32">
        <v>0</v>
      </c>
      <c r="CA76" s="32">
        <v>0</v>
      </c>
      <c r="CB76" s="32">
        <v>139.83612154162557</v>
      </c>
      <c r="CC76" s="32">
        <v>132.50295004191088</v>
      </c>
      <c r="CD76" s="382">
        <v>1.055343458371268</v>
      </c>
      <c r="CE76" s="32">
        <v>32.723985830926431</v>
      </c>
      <c r="CF76" s="32">
        <v>2.0145842830637801</v>
      </c>
      <c r="CG76" s="32">
        <v>0</v>
      </c>
      <c r="CH76" s="32">
        <v>2.0145842830637801</v>
      </c>
      <c r="CI76" s="32">
        <v>0.10072894727971618</v>
      </c>
      <c r="CJ76" s="32">
        <v>0</v>
      </c>
      <c r="CK76" s="32">
        <v>0.10072894727971618</v>
      </c>
      <c r="CL76" s="32"/>
      <c r="CM76" s="32">
        <v>0</v>
      </c>
      <c r="CN76" s="32"/>
      <c r="CO76" s="32">
        <v>0</v>
      </c>
      <c r="CP76" s="32">
        <v>0</v>
      </c>
      <c r="CQ76" s="32">
        <v>0</v>
      </c>
      <c r="CR76" s="32">
        <v>0</v>
      </c>
      <c r="CS76" s="32">
        <v>0</v>
      </c>
      <c r="CT76" s="32">
        <v>0</v>
      </c>
      <c r="CU76" s="32">
        <v>0</v>
      </c>
      <c r="CV76" s="32">
        <v>9999</v>
      </c>
      <c r="CW76" s="382">
        <v>9999</v>
      </c>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row>
    <row r="77" spans="1:131">
      <c r="A77" s="11" t="s">
        <v>669</v>
      </c>
      <c r="B77" s="11" t="s">
        <v>840</v>
      </c>
      <c r="C77" s="32">
        <v>11.627906976744185</v>
      </c>
      <c r="D77" s="32">
        <v>197.8</v>
      </c>
      <c r="E77" s="32">
        <v>0</v>
      </c>
      <c r="F77" s="32">
        <v>81.005788606478362</v>
      </c>
      <c r="G77" s="32">
        <v>0</v>
      </c>
      <c r="H77" s="32">
        <v>0</v>
      </c>
      <c r="I77" s="32" t="s">
        <v>525</v>
      </c>
      <c r="J77" s="32"/>
      <c r="K77" s="32"/>
      <c r="L77" s="32">
        <v>212.06094164150772</v>
      </c>
      <c r="M77" s="32">
        <v>4.9498151887370001E-2</v>
      </c>
      <c r="N77" s="32">
        <v>4.9140896424175309E-2</v>
      </c>
      <c r="O77" s="32">
        <v>0</v>
      </c>
      <c r="P77" s="32">
        <v>0</v>
      </c>
      <c r="Q77" s="32">
        <v>0</v>
      </c>
      <c r="R77" s="32">
        <v>16.153636364134851</v>
      </c>
      <c r="S77" s="32">
        <v>37.328596683294116</v>
      </c>
      <c r="T77" s="32">
        <v>0</v>
      </c>
      <c r="U77" s="32">
        <v>79.020716994481901</v>
      </c>
      <c r="V77" s="32" t="s">
        <v>610</v>
      </c>
      <c r="W77" s="32" t="s">
        <v>610</v>
      </c>
      <c r="X77" s="32" t="s">
        <v>610</v>
      </c>
      <c r="Y77" s="32" t="s">
        <v>610</v>
      </c>
      <c r="Z77" s="32">
        <v>0</v>
      </c>
      <c r="AA77" s="32">
        <v>0</v>
      </c>
      <c r="AB77" s="32">
        <v>0</v>
      </c>
      <c r="AC77" s="32">
        <v>0</v>
      </c>
      <c r="AD77" s="32">
        <v>0</v>
      </c>
      <c r="AE77" s="32">
        <v>0</v>
      </c>
      <c r="AF77" s="32">
        <v>0</v>
      </c>
      <c r="AG77" s="32">
        <v>0</v>
      </c>
      <c r="AH77" s="32">
        <v>16.153636364134851</v>
      </c>
      <c r="AI77" s="32">
        <v>37.328596683294116</v>
      </c>
      <c r="AJ77" s="32">
        <v>0</v>
      </c>
      <c r="AK77" s="32">
        <v>79.020716994481901</v>
      </c>
      <c r="AL77" s="32">
        <v>132.50295004191088</v>
      </c>
      <c r="AM77" s="32">
        <v>101.64295916549729</v>
      </c>
      <c r="AN77" s="32">
        <v>17.490096978175551</v>
      </c>
      <c r="AO77" s="32">
        <v>0</v>
      </c>
      <c r="AP77" s="32">
        <v>0</v>
      </c>
      <c r="AQ77" s="32">
        <v>119.13305614367283</v>
      </c>
      <c r="AR77" s="32">
        <v>16.153636364134851</v>
      </c>
      <c r="AS77" s="382">
        <v>7.374999254544214</v>
      </c>
      <c r="AT77" s="32">
        <v>101.64295916549729</v>
      </c>
      <c r="AU77" s="32">
        <v>20.703065397952734</v>
      </c>
      <c r="AV77" s="32">
        <v>0</v>
      </c>
      <c r="AW77" s="32">
        <v>0</v>
      </c>
      <c r="AX77" s="32">
        <v>122.34602456345002</v>
      </c>
      <c r="AY77" s="32">
        <v>37.328596683294116</v>
      </c>
      <c r="AZ77" s="382">
        <v>3.2775414945669321</v>
      </c>
      <c r="BA77" s="32">
        <v>101.64295916549729</v>
      </c>
      <c r="BB77" s="32">
        <v>38.193162376128285</v>
      </c>
      <c r="BC77" s="32">
        <v>0</v>
      </c>
      <c r="BD77" s="32">
        <v>0</v>
      </c>
      <c r="BE77" s="32">
        <v>139.83612154162557</v>
      </c>
      <c r="BF77" s="32">
        <v>53.482233047428963</v>
      </c>
      <c r="BG77" s="32">
        <v>5.3050626493691251</v>
      </c>
      <c r="BH77" s="382">
        <v>2.6146275795480811</v>
      </c>
      <c r="BI77" s="32">
        <v>5.6050530976826405</v>
      </c>
      <c r="BJ77" s="32">
        <v>12.952425184980903</v>
      </c>
      <c r="BK77" s="32">
        <v>0</v>
      </c>
      <c r="BL77" s="32">
        <v>27.4189231815573</v>
      </c>
      <c r="BM77" s="32">
        <v>45.976401464220842</v>
      </c>
      <c r="BN77" s="32">
        <v>101.64295916549729</v>
      </c>
      <c r="BO77" s="32">
        <v>0</v>
      </c>
      <c r="BP77" s="32">
        <v>38.193162376128285</v>
      </c>
      <c r="BQ77" s="32">
        <v>0</v>
      </c>
      <c r="BR77" s="32">
        <v>0</v>
      </c>
      <c r="BS77" s="32">
        <v>0</v>
      </c>
      <c r="BT77" s="32">
        <v>0</v>
      </c>
      <c r="BU77" s="32">
        <v>0</v>
      </c>
      <c r="BV77" s="32">
        <v>0</v>
      </c>
      <c r="BW77" s="32">
        <v>0</v>
      </c>
      <c r="BX77" s="32">
        <v>132.50295004191088</v>
      </c>
      <c r="BY77" s="32"/>
      <c r="BZ77" s="32">
        <v>0</v>
      </c>
      <c r="CA77" s="32">
        <v>0</v>
      </c>
      <c r="CB77" s="32">
        <v>139.83612154162557</v>
      </c>
      <c r="CC77" s="32">
        <v>132.50295004191088</v>
      </c>
      <c r="CD77" s="382">
        <v>1.055343458371268</v>
      </c>
      <c r="CE77" s="32">
        <v>32.723985830926431</v>
      </c>
      <c r="CF77" s="32">
        <v>2.0145842830637801</v>
      </c>
      <c r="CG77" s="32">
        <v>0</v>
      </c>
      <c r="CH77" s="32">
        <v>2.0145842830637801</v>
      </c>
      <c r="CI77" s="32">
        <v>0.10072894727971618</v>
      </c>
      <c r="CJ77" s="32">
        <v>0</v>
      </c>
      <c r="CK77" s="32">
        <v>0.10072894727971618</v>
      </c>
      <c r="CL77" s="32"/>
      <c r="CM77" s="32">
        <v>0</v>
      </c>
      <c r="CN77" s="32"/>
      <c r="CO77" s="32">
        <v>0</v>
      </c>
      <c r="CP77" s="32">
        <v>0</v>
      </c>
      <c r="CQ77" s="32">
        <v>0</v>
      </c>
      <c r="CR77" s="32">
        <v>0</v>
      </c>
      <c r="CS77" s="32">
        <v>0</v>
      </c>
      <c r="CT77" s="32">
        <v>0</v>
      </c>
      <c r="CU77" s="32">
        <v>0</v>
      </c>
      <c r="CV77" s="32">
        <v>9999</v>
      </c>
      <c r="CW77" s="382">
        <v>9999</v>
      </c>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row>
    <row r="78" spans="1:131">
      <c r="A78" s="11" t="s">
        <v>670</v>
      </c>
      <c r="B78" s="11" t="s">
        <v>841</v>
      </c>
      <c r="C78" s="32">
        <v>11.627906976744185</v>
      </c>
      <c r="D78" s="32">
        <v>333.25</v>
      </c>
      <c r="E78" s="32">
        <v>0</v>
      </c>
      <c r="F78" s="32">
        <v>81.005788606478362</v>
      </c>
      <c r="G78" s="32">
        <v>0</v>
      </c>
      <c r="H78" s="32">
        <v>0</v>
      </c>
      <c r="I78" s="32" t="s">
        <v>525</v>
      </c>
      <c r="J78" s="32"/>
      <c r="K78" s="32"/>
      <c r="L78" s="32">
        <v>357.27658646123581</v>
      </c>
      <c r="M78" s="32">
        <v>8.3393625462416854E-2</v>
      </c>
      <c r="N78" s="32">
        <v>8.2791727671164911E-2</v>
      </c>
      <c r="O78" s="32">
        <v>0</v>
      </c>
      <c r="P78" s="32">
        <v>0</v>
      </c>
      <c r="Q78" s="32">
        <v>0</v>
      </c>
      <c r="R78" s="32">
        <v>16.153636364134851</v>
      </c>
      <c r="S78" s="32">
        <v>37.328596683294116</v>
      </c>
      <c r="T78" s="32">
        <v>0</v>
      </c>
      <c r="U78" s="32">
        <v>79.020716994481901</v>
      </c>
      <c r="V78" s="32" t="s">
        <v>610</v>
      </c>
      <c r="W78" s="32" t="s">
        <v>610</v>
      </c>
      <c r="X78" s="32" t="s">
        <v>610</v>
      </c>
      <c r="Y78" s="32" t="s">
        <v>610</v>
      </c>
      <c r="Z78" s="32">
        <v>0</v>
      </c>
      <c r="AA78" s="32">
        <v>0</v>
      </c>
      <c r="AB78" s="32">
        <v>0</v>
      </c>
      <c r="AC78" s="32">
        <v>0</v>
      </c>
      <c r="AD78" s="32">
        <v>0</v>
      </c>
      <c r="AE78" s="32">
        <v>0</v>
      </c>
      <c r="AF78" s="32">
        <v>0</v>
      </c>
      <c r="AG78" s="32">
        <v>0</v>
      </c>
      <c r="AH78" s="32">
        <v>16.153636364134851</v>
      </c>
      <c r="AI78" s="32">
        <v>37.328596683294116</v>
      </c>
      <c r="AJ78" s="32">
        <v>0</v>
      </c>
      <c r="AK78" s="32">
        <v>79.020716994481901</v>
      </c>
      <c r="AL78" s="32">
        <v>132.50295004191088</v>
      </c>
      <c r="AM78" s="32">
        <v>171.24628989839229</v>
      </c>
      <c r="AN78" s="32">
        <v>29.467011213230535</v>
      </c>
      <c r="AO78" s="32">
        <v>0</v>
      </c>
      <c r="AP78" s="32">
        <v>0</v>
      </c>
      <c r="AQ78" s="32">
        <v>200.71330111162283</v>
      </c>
      <c r="AR78" s="32">
        <v>16.153636364134851</v>
      </c>
      <c r="AS78" s="382">
        <v>12.425270483199498</v>
      </c>
      <c r="AT78" s="32">
        <v>171.24628989839229</v>
      </c>
      <c r="AU78" s="32">
        <v>34.880164529159487</v>
      </c>
      <c r="AV78" s="32">
        <v>0</v>
      </c>
      <c r="AW78" s="32">
        <v>0</v>
      </c>
      <c r="AX78" s="32">
        <v>206.12645442755178</v>
      </c>
      <c r="AY78" s="32">
        <v>37.328596683294116</v>
      </c>
      <c r="AZ78" s="382">
        <v>5.5219449093247253</v>
      </c>
      <c r="BA78" s="32">
        <v>171.24628989839229</v>
      </c>
      <c r="BB78" s="32">
        <v>64.347175742390021</v>
      </c>
      <c r="BC78" s="32">
        <v>0</v>
      </c>
      <c r="BD78" s="32">
        <v>0</v>
      </c>
      <c r="BE78" s="32">
        <v>235.59346564078231</v>
      </c>
      <c r="BF78" s="32">
        <v>53.482233047428963</v>
      </c>
      <c r="BG78" s="32">
        <v>-2.2376543300360527</v>
      </c>
      <c r="BH78" s="382">
        <v>4.4050790742386168</v>
      </c>
      <c r="BI78" s="32">
        <v>3.3268702257213092</v>
      </c>
      <c r="BJ78" s="32">
        <v>7.6878910775370528</v>
      </c>
      <c r="BK78" s="32">
        <v>0</v>
      </c>
      <c r="BL78" s="32">
        <v>16.27445763034369</v>
      </c>
      <c r="BM78" s="32">
        <v>27.289218933602051</v>
      </c>
      <c r="BN78" s="32">
        <v>171.24628989839229</v>
      </c>
      <c r="BO78" s="32">
        <v>0</v>
      </c>
      <c r="BP78" s="32">
        <v>64.347175742390021</v>
      </c>
      <c r="BQ78" s="32">
        <v>0</v>
      </c>
      <c r="BR78" s="32">
        <v>0</v>
      </c>
      <c r="BS78" s="32">
        <v>0</v>
      </c>
      <c r="BT78" s="32">
        <v>0</v>
      </c>
      <c r="BU78" s="32">
        <v>0</v>
      </c>
      <c r="BV78" s="32">
        <v>0</v>
      </c>
      <c r="BW78" s="32">
        <v>0</v>
      </c>
      <c r="BX78" s="32">
        <v>132.50295004191088</v>
      </c>
      <c r="BY78" s="32"/>
      <c r="BZ78" s="32">
        <v>0</v>
      </c>
      <c r="CA78" s="32">
        <v>0</v>
      </c>
      <c r="CB78" s="32">
        <v>235.59346564078231</v>
      </c>
      <c r="CC78" s="32">
        <v>132.50295004191088</v>
      </c>
      <c r="CD78" s="382">
        <v>1.7780243048646369</v>
      </c>
      <c r="CE78" s="32">
        <v>14.036803300307637</v>
      </c>
      <c r="CF78" s="32">
        <v>3.394136563857463</v>
      </c>
      <c r="CG78" s="32">
        <v>0</v>
      </c>
      <c r="CH78" s="32">
        <v>3.394136563857463</v>
      </c>
      <c r="CI78" s="32">
        <v>0.16970637856908702</v>
      </c>
      <c r="CJ78" s="32">
        <v>0</v>
      </c>
      <c r="CK78" s="32">
        <v>0.16970637856908702</v>
      </c>
      <c r="CL78" s="32"/>
      <c r="CM78" s="32">
        <v>0</v>
      </c>
      <c r="CN78" s="32"/>
      <c r="CO78" s="32">
        <v>0</v>
      </c>
      <c r="CP78" s="32">
        <v>0</v>
      </c>
      <c r="CQ78" s="32">
        <v>0</v>
      </c>
      <c r="CR78" s="32">
        <v>0</v>
      </c>
      <c r="CS78" s="32">
        <v>0</v>
      </c>
      <c r="CT78" s="32">
        <v>0</v>
      </c>
      <c r="CU78" s="32">
        <v>0</v>
      </c>
      <c r="CV78" s="32">
        <v>9999</v>
      </c>
      <c r="CW78" s="382">
        <v>9999</v>
      </c>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row>
    <row r="79" spans="1:131">
      <c r="A79" s="11" t="s">
        <v>670</v>
      </c>
      <c r="B79" s="11" t="s">
        <v>842</v>
      </c>
      <c r="C79" s="32">
        <v>11.627906976744185</v>
      </c>
      <c r="D79" s="32">
        <v>333.25</v>
      </c>
      <c r="E79" s="32">
        <v>0</v>
      </c>
      <c r="F79" s="32">
        <v>81.005788606478362</v>
      </c>
      <c r="G79" s="32">
        <v>0</v>
      </c>
      <c r="H79" s="32">
        <v>0</v>
      </c>
      <c r="I79" s="32" t="s">
        <v>525</v>
      </c>
      <c r="J79" s="32"/>
      <c r="K79" s="32"/>
      <c r="L79" s="32">
        <v>357.27658646123581</v>
      </c>
      <c r="M79" s="32">
        <v>8.3393625462416854E-2</v>
      </c>
      <c r="N79" s="32">
        <v>8.2791727671164911E-2</v>
      </c>
      <c r="O79" s="32">
        <v>0</v>
      </c>
      <c r="P79" s="32">
        <v>0</v>
      </c>
      <c r="Q79" s="32">
        <v>0</v>
      </c>
      <c r="R79" s="32">
        <v>16.153636364134851</v>
      </c>
      <c r="S79" s="32">
        <v>37.328596683294116</v>
      </c>
      <c r="T79" s="32">
        <v>0</v>
      </c>
      <c r="U79" s="32">
        <v>79.020716994481901</v>
      </c>
      <c r="V79" s="32" t="s">
        <v>610</v>
      </c>
      <c r="W79" s="32" t="s">
        <v>610</v>
      </c>
      <c r="X79" s="32" t="s">
        <v>610</v>
      </c>
      <c r="Y79" s="32" t="s">
        <v>610</v>
      </c>
      <c r="Z79" s="32">
        <v>0</v>
      </c>
      <c r="AA79" s="32">
        <v>0</v>
      </c>
      <c r="AB79" s="32">
        <v>0</v>
      </c>
      <c r="AC79" s="32">
        <v>0</v>
      </c>
      <c r="AD79" s="32">
        <v>0</v>
      </c>
      <c r="AE79" s="32">
        <v>0</v>
      </c>
      <c r="AF79" s="32">
        <v>0</v>
      </c>
      <c r="AG79" s="32">
        <v>0</v>
      </c>
      <c r="AH79" s="32">
        <v>16.153636364134851</v>
      </c>
      <c r="AI79" s="32">
        <v>37.328596683294116</v>
      </c>
      <c r="AJ79" s="32">
        <v>0</v>
      </c>
      <c r="AK79" s="32">
        <v>79.020716994481901</v>
      </c>
      <c r="AL79" s="32">
        <v>132.50295004191088</v>
      </c>
      <c r="AM79" s="32">
        <v>171.24628989839229</v>
      </c>
      <c r="AN79" s="32">
        <v>29.467011213230535</v>
      </c>
      <c r="AO79" s="32">
        <v>0</v>
      </c>
      <c r="AP79" s="32">
        <v>0</v>
      </c>
      <c r="AQ79" s="32">
        <v>200.71330111162283</v>
      </c>
      <c r="AR79" s="32">
        <v>16.153636364134851</v>
      </c>
      <c r="AS79" s="382">
        <v>12.425270483199498</v>
      </c>
      <c r="AT79" s="32">
        <v>171.24628989839229</v>
      </c>
      <c r="AU79" s="32">
        <v>34.880164529159487</v>
      </c>
      <c r="AV79" s="32">
        <v>0</v>
      </c>
      <c r="AW79" s="32">
        <v>0</v>
      </c>
      <c r="AX79" s="32">
        <v>206.12645442755178</v>
      </c>
      <c r="AY79" s="32">
        <v>37.328596683294116</v>
      </c>
      <c r="AZ79" s="382">
        <v>5.5219449093247253</v>
      </c>
      <c r="BA79" s="32">
        <v>171.24628989839229</v>
      </c>
      <c r="BB79" s="32">
        <v>64.347175742390021</v>
      </c>
      <c r="BC79" s="32">
        <v>0</v>
      </c>
      <c r="BD79" s="32">
        <v>0</v>
      </c>
      <c r="BE79" s="32">
        <v>235.59346564078231</v>
      </c>
      <c r="BF79" s="32">
        <v>53.482233047428963</v>
      </c>
      <c r="BG79" s="32">
        <v>-2.2376543300360527</v>
      </c>
      <c r="BH79" s="382">
        <v>4.4050790742386168</v>
      </c>
      <c r="BI79" s="32">
        <v>3.3268702257213092</v>
      </c>
      <c r="BJ79" s="32">
        <v>7.6878910775370528</v>
      </c>
      <c r="BK79" s="32">
        <v>0</v>
      </c>
      <c r="BL79" s="32">
        <v>16.27445763034369</v>
      </c>
      <c r="BM79" s="32">
        <v>27.289218933602051</v>
      </c>
      <c r="BN79" s="32">
        <v>171.24628989839229</v>
      </c>
      <c r="BO79" s="32">
        <v>0</v>
      </c>
      <c r="BP79" s="32">
        <v>64.347175742390021</v>
      </c>
      <c r="BQ79" s="32">
        <v>0</v>
      </c>
      <c r="BR79" s="32">
        <v>0</v>
      </c>
      <c r="BS79" s="32">
        <v>0</v>
      </c>
      <c r="BT79" s="32">
        <v>0</v>
      </c>
      <c r="BU79" s="32">
        <v>0</v>
      </c>
      <c r="BV79" s="32">
        <v>0</v>
      </c>
      <c r="BW79" s="32">
        <v>0</v>
      </c>
      <c r="BX79" s="32">
        <v>132.50295004191088</v>
      </c>
      <c r="BY79" s="32"/>
      <c r="BZ79" s="32">
        <v>0</v>
      </c>
      <c r="CA79" s="32">
        <v>0</v>
      </c>
      <c r="CB79" s="32">
        <v>235.59346564078231</v>
      </c>
      <c r="CC79" s="32">
        <v>132.50295004191088</v>
      </c>
      <c r="CD79" s="382">
        <v>1.7780243048646369</v>
      </c>
      <c r="CE79" s="32">
        <v>14.036803300307637</v>
      </c>
      <c r="CF79" s="32">
        <v>3.394136563857463</v>
      </c>
      <c r="CG79" s="32">
        <v>0</v>
      </c>
      <c r="CH79" s="32">
        <v>3.394136563857463</v>
      </c>
      <c r="CI79" s="32">
        <v>0.16970637856908702</v>
      </c>
      <c r="CJ79" s="32">
        <v>0</v>
      </c>
      <c r="CK79" s="32">
        <v>0.16970637856908702</v>
      </c>
      <c r="CL79" s="32"/>
      <c r="CM79" s="32">
        <v>0</v>
      </c>
      <c r="CN79" s="32"/>
      <c r="CO79" s="32">
        <v>0</v>
      </c>
      <c r="CP79" s="32">
        <v>0</v>
      </c>
      <c r="CQ79" s="32">
        <v>0</v>
      </c>
      <c r="CR79" s="32">
        <v>0</v>
      </c>
      <c r="CS79" s="32">
        <v>0</v>
      </c>
      <c r="CT79" s="32">
        <v>0</v>
      </c>
      <c r="CU79" s="32">
        <v>0</v>
      </c>
      <c r="CV79" s="32">
        <v>9999</v>
      </c>
      <c r="CW79" s="382">
        <v>9999</v>
      </c>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row>
    <row r="80" spans="1:131">
      <c r="A80" s="11" t="s">
        <v>671</v>
      </c>
      <c r="B80" s="11" t="s">
        <v>952</v>
      </c>
      <c r="C80" s="32">
        <v>11.627906976744185</v>
      </c>
      <c r="D80" s="32">
        <v>576.20000000000005</v>
      </c>
      <c r="E80" s="32">
        <v>0</v>
      </c>
      <c r="F80" s="32">
        <v>162.01157721295672</v>
      </c>
      <c r="G80" s="32">
        <v>0</v>
      </c>
      <c r="H80" s="32">
        <v>0</v>
      </c>
      <c r="I80" s="32" t="s">
        <v>525</v>
      </c>
      <c r="J80" s="32"/>
      <c r="K80" s="32"/>
      <c r="L80" s="32">
        <v>617.74274304265293</v>
      </c>
      <c r="M80" s="32">
        <v>0.14419026854146913</v>
      </c>
      <c r="N80" s="32">
        <v>0.14314956784433677</v>
      </c>
      <c r="O80" s="32">
        <v>0</v>
      </c>
      <c r="P80" s="32">
        <v>0</v>
      </c>
      <c r="Q80" s="32">
        <v>0</v>
      </c>
      <c r="R80" s="32">
        <v>32.307272728269702</v>
      </c>
      <c r="S80" s="32">
        <v>74.657193366588231</v>
      </c>
      <c r="T80" s="32">
        <v>0</v>
      </c>
      <c r="U80" s="32">
        <v>158.0414339889638</v>
      </c>
      <c r="V80" s="32" t="s">
        <v>610</v>
      </c>
      <c r="W80" s="32" t="s">
        <v>610</v>
      </c>
      <c r="X80" s="32" t="s">
        <v>610</v>
      </c>
      <c r="Y80" s="32" t="s">
        <v>610</v>
      </c>
      <c r="Z80" s="32">
        <v>0</v>
      </c>
      <c r="AA80" s="32">
        <v>0</v>
      </c>
      <c r="AB80" s="32">
        <v>0</v>
      </c>
      <c r="AC80" s="32">
        <v>0</v>
      </c>
      <c r="AD80" s="32">
        <v>0</v>
      </c>
      <c r="AE80" s="32">
        <v>0</v>
      </c>
      <c r="AF80" s="32">
        <v>0</v>
      </c>
      <c r="AG80" s="32">
        <v>0</v>
      </c>
      <c r="AH80" s="32">
        <v>32.307272728269702</v>
      </c>
      <c r="AI80" s="32">
        <v>74.657193366588231</v>
      </c>
      <c r="AJ80" s="32">
        <v>0</v>
      </c>
      <c r="AK80" s="32">
        <v>158.0414339889638</v>
      </c>
      <c r="AL80" s="32">
        <v>265.00590008382176</v>
      </c>
      <c r="AM80" s="32">
        <v>296.09035930818806</v>
      </c>
      <c r="AN80" s="32">
        <v>50.949412936424423</v>
      </c>
      <c r="AO80" s="32">
        <v>0</v>
      </c>
      <c r="AP80" s="32">
        <v>0</v>
      </c>
      <c r="AQ80" s="32">
        <v>347.03977224461249</v>
      </c>
      <c r="AR80" s="32">
        <v>32.307272728269702</v>
      </c>
      <c r="AS80" s="382">
        <v>10.74184674031441</v>
      </c>
      <c r="AT80" s="32">
        <v>296.09035930818806</v>
      </c>
      <c r="AU80" s="32">
        <v>60.308929637514488</v>
      </c>
      <c r="AV80" s="32">
        <v>0</v>
      </c>
      <c r="AW80" s="32">
        <v>0</v>
      </c>
      <c r="AX80" s="32">
        <v>356.39928894570255</v>
      </c>
      <c r="AY80" s="32">
        <v>74.657193366588231</v>
      </c>
      <c r="AZ80" s="382">
        <v>4.7738104377387964</v>
      </c>
      <c r="BA80" s="32">
        <v>296.09035930818806</v>
      </c>
      <c r="BB80" s="32">
        <v>111.2583425739389</v>
      </c>
      <c r="BC80" s="32">
        <v>0</v>
      </c>
      <c r="BD80" s="32">
        <v>0</v>
      </c>
      <c r="BE80" s="32">
        <v>407.34870188212699</v>
      </c>
      <c r="BF80" s="32">
        <v>106.96446609485793</v>
      </c>
      <c r="BG80" s="32">
        <v>-0.51146039445079372</v>
      </c>
      <c r="BH80" s="382">
        <v>3.8082619093417729</v>
      </c>
      <c r="BI80" s="32">
        <v>3.8482454103492749</v>
      </c>
      <c r="BJ80" s="32">
        <v>8.8927098284943504</v>
      </c>
      <c r="BK80" s="32">
        <v>0</v>
      </c>
      <c r="BL80" s="32">
        <v>18.824932333606505</v>
      </c>
      <c r="BM80" s="32">
        <v>31.56588757245013</v>
      </c>
      <c r="BN80" s="32">
        <v>296.09035930818806</v>
      </c>
      <c r="BO80" s="32">
        <v>0</v>
      </c>
      <c r="BP80" s="32">
        <v>111.2583425739389</v>
      </c>
      <c r="BQ80" s="32">
        <v>0</v>
      </c>
      <c r="BR80" s="32">
        <v>0</v>
      </c>
      <c r="BS80" s="32">
        <v>0</v>
      </c>
      <c r="BT80" s="32">
        <v>0</v>
      </c>
      <c r="BU80" s="32">
        <v>0</v>
      </c>
      <c r="BV80" s="32">
        <v>0</v>
      </c>
      <c r="BW80" s="32">
        <v>0</v>
      </c>
      <c r="BX80" s="32">
        <v>265.00590008382176</v>
      </c>
      <c r="BY80" s="32"/>
      <c r="BZ80" s="32">
        <v>0</v>
      </c>
      <c r="CA80" s="32">
        <v>0</v>
      </c>
      <c r="CB80" s="32">
        <v>407.34870188212699</v>
      </c>
      <c r="CC80" s="32">
        <v>265.00590008382176</v>
      </c>
      <c r="CD80" s="382">
        <v>1.5371306893668479</v>
      </c>
      <c r="CE80" s="32">
        <v>18.313471939155711</v>
      </c>
      <c r="CF80" s="32">
        <v>5.8685716071857978</v>
      </c>
      <c r="CG80" s="32">
        <v>0</v>
      </c>
      <c r="CH80" s="32">
        <v>5.8685716071857978</v>
      </c>
      <c r="CI80" s="32">
        <v>0.29342780294526022</v>
      </c>
      <c r="CJ80" s="32">
        <v>0</v>
      </c>
      <c r="CK80" s="32">
        <v>0.29342780294526022</v>
      </c>
      <c r="CL80" s="32"/>
      <c r="CM80" s="32">
        <v>0</v>
      </c>
      <c r="CN80" s="32"/>
      <c r="CO80" s="32">
        <v>0</v>
      </c>
      <c r="CP80" s="32">
        <v>0</v>
      </c>
      <c r="CQ80" s="32">
        <v>0</v>
      </c>
      <c r="CR80" s="32">
        <v>0</v>
      </c>
      <c r="CS80" s="32">
        <v>0</v>
      </c>
      <c r="CT80" s="32">
        <v>0</v>
      </c>
      <c r="CU80" s="32">
        <v>0</v>
      </c>
      <c r="CV80" s="32">
        <v>9999</v>
      </c>
      <c r="CW80" s="382">
        <v>9999</v>
      </c>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row>
    <row r="81" spans="1:131">
      <c r="A81" s="11" t="s">
        <v>671</v>
      </c>
      <c r="B81" s="11" t="s">
        <v>953</v>
      </c>
      <c r="C81" s="32">
        <v>11.627906976744185</v>
      </c>
      <c r="D81" s="32">
        <v>576.20000000000005</v>
      </c>
      <c r="E81" s="32">
        <v>0</v>
      </c>
      <c r="F81" s="32">
        <v>162.01157721295672</v>
      </c>
      <c r="G81" s="32">
        <v>0</v>
      </c>
      <c r="H81" s="32">
        <v>0</v>
      </c>
      <c r="I81" s="32" t="s">
        <v>525</v>
      </c>
      <c r="J81" s="32"/>
      <c r="K81" s="32"/>
      <c r="L81" s="32">
        <v>617.74274304265293</v>
      </c>
      <c r="M81" s="32">
        <v>0.14419026854146913</v>
      </c>
      <c r="N81" s="32">
        <v>0.14314956784433677</v>
      </c>
      <c r="O81" s="32">
        <v>0</v>
      </c>
      <c r="P81" s="32">
        <v>0</v>
      </c>
      <c r="Q81" s="32">
        <v>0</v>
      </c>
      <c r="R81" s="32">
        <v>32.307272728269702</v>
      </c>
      <c r="S81" s="32">
        <v>74.657193366588231</v>
      </c>
      <c r="T81" s="32">
        <v>0</v>
      </c>
      <c r="U81" s="32">
        <v>158.0414339889638</v>
      </c>
      <c r="V81" s="32" t="s">
        <v>610</v>
      </c>
      <c r="W81" s="32" t="s">
        <v>610</v>
      </c>
      <c r="X81" s="32" t="s">
        <v>610</v>
      </c>
      <c r="Y81" s="32" t="s">
        <v>610</v>
      </c>
      <c r="Z81" s="32">
        <v>0</v>
      </c>
      <c r="AA81" s="32">
        <v>0</v>
      </c>
      <c r="AB81" s="32">
        <v>0</v>
      </c>
      <c r="AC81" s="32">
        <v>0</v>
      </c>
      <c r="AD81" s="32">
        <v>0</v>
      </c>
      <c r="AE81" s="32">
        <v>0</v>
      </c>
      <c r="AF81" s="32">
        <v>0</v>
      </c>
      <c r="AG81" s="32">
        <v>0</v>
      </c>
      <c r="AH81" s="32">
        <v>32.307272728269702</v>
      </c>
      <c r="AI81" s="32">
        <v>74.657193366588231</v>
      </c>
      <c r="AJ81" s="32">
        <v>0</v>
      </c>
      <c r="AK81" s="32">
        <v>158.0414339889638</v>
      </c>
      <c r="AL81" s="32">
        <v>265.00590008382176</v>
      </c>
      <c r="AM81" s="32">
        <v>296.09035930818806</v>
      </c>
      <c r="AN81" s="32">
        <v>50.949412936424423</v>
      </c>
      <c r="AO81" s="32">
        <v>0</v>
      </c>
      <c r="AP81" s="32">
        <v>0</v>
      </c>
      <c r="AQ81" s="32">
        <v>347.03977224461249</v>
      </c>
      <c r="AR81" s="32">
        <v>32.307272728269702</v>
      </c>
      <c r="AS81" s="382">
        <v>10.74184674031441</v>
      </c>
      <c r="AT81" s="32">
        <v>296.09035930818806</v>
      </c>
      <c r="AU81" s="32">
        <v>60.308929637514488</v>
      </c>
      <c r="AV81" s="32">
        <v>0</v>
      </c>
      <c r="AW81" s="32">
        <v>0</v>
      </c>
      <c r="AX81" s="32">
        <v>356.39928894570255</v>
      </c>
      <c r="AY81" s="32">
        <v>74.657193366588231</v>
      </c>
      <c r="AZ81" s="382">
        <v>4.7738104377387964</v>
      </c>
      <c r="BA81" s="32">
        <v>296.09035930818806</v>
      </c>
      <c r="BB81" s="32">
        <v>111.2583425739389</v>
      </c>
      <c r="BC81" s="32">
        <v>0</v>
      </c>
      <c r="BD81" s="32">
        <v>0</v>
      </c>
      <c r="BE81" s="32">
        <v>407.34870188212699</v>
      </c>
      <c r="BF81" s="32">
        <v>106.96446609485793</v>
      </c>
      <c r="BG81" s="32">
        <v>-0.51146039445079372</v>
      </c>
      <c r="BH81" s="382">
        <v>3.8082619093417729</v>
      </c>
      <c r="BI81" s="32">
        <v>3.8482454103492749</v>
      </c>
      <c r="BJ81" s="32">
        <v>8.8927098284943504</v>
      </c>
      <c r="BK81" s="32">
        <v>0</v>
      </c>
      <c r="BL81" s="32">
        <v>18.824932333606505</v>
      </c>
      <c r="BM81" s="32">
        <v>31.56588757245013</v>
      </c>
      <c r="BN81" s="32">
        <v>296.09035930818806</v>
      </c>
      <c r="BO81" s="32">
        <v>0</v>
      </c>
      <c r="BP81" s="32">
        <v>111.2583425739389</v>
      </c>
      <c r="BQ81" s="32">
        <v>0</v>
      </c>
      <c r="BR81" s="32">
        <v>0</v>
      </c>
      <c r="BS81" s="32">
        <v>0</v>
      </c>
      <c r="BT81" s="32">
        <v>0</v>
      </c>
      <c r="BU81" s="32">
        <v>0</v>
      </c>
      <c r="BV81" s="32">
        <v>0</v>
      </c>
      <c r="BW81" s="32">
        <v>0</v>
      </c>
      <c r="BX81" s="32">
        <v>265.00590008382176</v>
      </c>
      <c r="BY81" s="32"/>
      <c r="BZ81" s="32">
        <v>0</v>
      </c>
      <c r="CA81" s="32">
        <v>0</v>
      </c>
      <c r="CB81" s="32">
        <v>407.34870188212699</v>
      </c>
      <c r="CC81" s="32">
        <v>265.00590008382176</v>
      </c>
      <c r="CD81" s="382">
        <v>1.5371306893668479</v>
      </c>
      <c r="CE81" s="32">
        <v>18.313471939155711</v>
      </c>
      <c r="CF81" s="32">
        <v>5.8685716071857978</v>
      </c>
      <c r="CG81" s="32">
        <v>0</v>
      </c>
      <c r="CH81" s="32">
        <v>5.8685716071857978</v>
      </c>
      <c r="CI81" s="32">
        <v>0.29342780294526022</v>
      </c>
      <c r="CJ81" s="32">
        <v>0</v>
      </c>
      <c r="CK81" s="32">
        <v>0.29342780294526022</v>
      </c>
      <c r="CL81" s="32"/>
      <c r="CM81" s="32">
        <v>0</v>
      </c>
      <c r="CN81" s="32"/>
      <c r="CO81" s="32">
        <v>0</v>
      </c>
      <c r="CP81" s="32">
        <v>0</v>
      </c>
      <c r="CQ81" s="32">
        <v>0</v>
      </c>
      <c r="CR81" s="32">
        <v>0</v>
      </c>
      <c r="CS81" s="32">
        <v>0</v>
      </c>
      <c r="CT81" s="32">
        <v>0</v>
      </c>
      <c r="CU81" s="32">
        <v>0</v>
      </c>
      <c r="CV81" s="32">
        <v>9999</v>
      </c>
      <c r="CW81" s="382">
        <v>9999</v>
      </c>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row>
    <row r="82" spans="1:131">
      <c r="A82" s="11" t="s">
        <v>672</v>
      </c>
      <c r="B82" s="11" t="s">
        <v>869</v>
      </c>
      <c r="C82" s="32">
        <v>11.627906976744185</v>
      </c>
      <c r="D82" s="32">
        <v>1459.85</v>
      </c>
      <c r="E82" s="32">
        <v>0</v>
      </c>
      <c r="F82" s="32">
        <v>486.0347316388702</v>
      </c>
      <c r="G82" s="32">
        <v>0</v>
      </c>
      <c r="H82" s="32">
        <v>0</v>
      </c>
      <c r="I82" s="32" t="s">
        <v>525</v>
      </c>
      <c r="J82" s="32"/>
      <c r="K82" s="32"/>
      <c r="L82" s="32">
        <v>1565.101949723736</v>
      </c>
      <c r="M82" s="32">
        <v>0.36531788186439379</v>
      </c>
      <c r="N82" s="32">
        <v>0.36268118121755466</v>
      </c>
      <c r="O82" s="32">
        <v>0</v>
      </c>
      <c r="P82" s="32">
        <v>0</v>
      </c>
      <c r="Q82" s="32">
        <v>0</v>
      </c>
      <c r="R82" s="32">
        <v>96.921818184809098</v>
      </c>
      <c r="S82" s="32">
        <v>223.97158009976471</v>
      </c>
      <c r="T82" s="32">
        <v>0</v>
      </c>
      <c r="U82" s="32">
        <v>474.12430196689149</v>
      </c>
      <c r="V82" s="32" t="s">
        <v>610</v>
      </c>
      <c r="W82" s="32" t="s">
        <v>610</v>
      </c>
      <c r="X82" s="32" t="s">
        <v>610</v>
      </c>
      <c r="Y82" s="32" t="s">
        <v>610</v>
      </c>
      <c r="Z82" s="32">
        <v>0</v>
      </c>
      <c r="AA82" s="32">
        <v>0</v>
      </c>
      <c r="AB82" s="32">
        <v>0</v>
      </c>
      <c r="AC82" s="32">
        <v>0</v>
      </c>
      <c r="AD82" s="32">
        <v>0</v>
      </c>
      <c r="AE82" s="32">
        <v>0</v>
      </c>
      <c r="AF82" s="32">
        <v>0</v>
      </c>
      <c r="AG82" s="32">
        <v>0</v>
      </c>
      <c r="AH82" s="32">
        <v>96.921818184809098</v>
      </c>
      <c r="AI82" s="32">
        <v>223.97158009976471</v>
      </c>
      <c r="AJ82" s="32">
        <v>0</v>
      </c>
      <c r="AK82" s="32">
        <v>474.12430196689149</v>
      </c>
      <c r="AL82" s="32">
        <v>795.01770025146527</v>
      </c>
      <c r="AM82" s="32">
        <v>750.16923123231277</v>
      </c>
      <c r="AN82" s="32">
        <v>129.08452008892601</v>
      </c>
      <c r="AO82" s="32">
        <v>0</v>
      </c>
      <c r="AP82" s="32">
        <v>0</v>
      </c>
      <c r="AQ82" s="32">
        <v>879.25375132123872</v>
      </c>
      <c r="AR82" s="32">
        <v>96.921818184809098</v>
      </c>
      <c r="AS82" s="382">
        <v>9.0717835033252321</v>
      </c>
      <c r="AT82" s="32">
        <v>750.16923123231277</v>
      </c>
      <c r="AU82" s="32">
        <v>152.79762396967291</v>
      </c>
      <c r="AV82" s="32">
        <v>0</v>
      </c>
      <c r="AW82" s="32">
        <v>0</v>
      </c>
      <c r="AX82" s="32">
        <v>902.96685520198571</v>
      </c>
      <c r="AY82" s="32">
        <v>223.97158009976471</v>
      </c>
      <c r="AZ82" s="382">
        <v>4.0316135413241847</v>
      </c>
      <c r="BA82" s="32">
        <v>750.16923123231277</v>
      </c>
      <c r="BB82" s="32">
        <v>281.8821440585989</v>
      </c>
      <c r="BC82" s="32">
        <v>0</v>
      </c>
      <c r="BD82" s="32">
        <v>0</v>
      </c>
      <c r="BE82" s="32">
        <v>1032.0513752909117</v>
      </c>
      <c r="BF82" s="32">
        <v>320.89339828457378</v>
      </c>
      <c r="BG82" s="32">
        <v>1.8340762842759475</v>
      </c>
      <c r="BH82" s="382">
        <v>3.2161813886107771</v>
      </c>
      <c r="BI82" s="32">
        <v>4.5566852870704242</v>
      </c>
      <c r="BJ82" s="32">
        <v>10.529806630499943</v>
      </c>
      <c r="BK82" s="32">
        <v>0</v>
      </c>
      <c r="BL82" s="32">
        <v>22.290494250691658</v>
      </c>
      <c r="BM82" s="32">
        <v>37.376986168262022</v>
      </c>
      <c r="BN82" s="32">
        <v>750.16923123231277</v>
      </c>
      <c r="BO82" s="32">
        <v>0</v>
      </c>
      <c r="BP82" s="32">
        <v>281.8821440585989</v>
      </c>
      <c r="BQ82" s="32">
        <v>0</v>
      </c>
      <c r="BR82" s="32">
        <v>0</v>
      </c>
      <c r="BS82" s="32">
        <v>0</v>
      </c>
      <c r="BT82" s="32">
        <v>0</v>
      </c>
      <c r="BU82" s="32">
        <v>0</v>
      </c>
      <c r="BV82" s="32">
        <v>0</v>
      </c>
      <c r="BW82" s="32">
        <v>0</v>
      </c>
      <c r="BX82" s="32">
        <v>795.01770025146527</v>
      </c>
      <c r="BY82" s="32"/>
      <c r="BZ82" s="32">
        <v>0</v>
      </c>
      <c r="CA82" s="32">
        <v>0</v>
      </c>
      <c r="CB82" s="32">
        <v>1032.0513752909117</v>
      </c>
      <c r="CC82" s="32">
        <v>795.01770025146527</v>
      </c>
      <c r="CD82" s="382">
        <v>1.2981489279603111</v>
      </c>
      <c r="CE82" s="32">
        <v>24.124570534967603</v>
      </c>
      <c r="CF82" s="32">
        <v>14.868507915220775</v>
      </c>
      <c r="CG82" s="32">
        <v>0</v>
      </c>
      <c r="CH82" s="32">
        <v>14.868507915220775</v>
      </c>
      <c r="CI82" s="32">
        <v>0.74342342611877466</v>
      </c>
      <c r="CJ82" s="32">
        <v>0</v>
      </c>
      <c r="CK82" s="32">
        <v>0.74342342611877466</v>
      </c>
      <c r="CL82" s="32"/>
      <c r="CM82" s="32">
        <v>0</v>
      </c>
      <c r="CN82" s="32"/>
      <c r="CO82" s="32">
        <v>0</v>
      </c>
      <c r="CP82" s="32">
        <v>0</v>
      </c>
      <c r="CQ82" s="32">
        <v>0</v>
      </c>
      <c r="CR82" s="32">
        <v>0</v>
      </c>
      <c r="CS82" s="32">
        <v>0</v>
      </c>
      <c r="CT82" s="32">
        <v>0</v>
      </c>
      <c r="CU82" s="32">
        <v>0</v>
      </c>
      <c r="CV82" s="32">
        <v>9999</v>
      </c>
      <c r="CW82" s="382">
        <v>9999</v>
      </c>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row>
    <row r="83" spans="1:131">
      <c r="A83" s="11" t="s">
        <v>672</v>
      </c>
      <c r="B83" s="11" t="s">
        <v>870</v>
      </c>
      <c r="C83" s="32">
        <v>11.627906976744185</v>
      </c>
      <c r="D83" s="32">
        <v>1459.85</v>
      </c>
      <c r="E83" s="32">
        <v>0</v>
      </c>
      <c r="F83" s="32">
        <v>486.0347316388702</v>
      </c>
      <c r="G83" s="32">
        <v>0</v>
      </c>
      <c r="H83" s="32">
        <v>0</v>
      </c>
      <c r="I83" s="32" t="s">
        <v>525</v>
      </c>
      <c r="J83" s="32"/>
      <c r="K83" s="32"/>
      <c r="L83" s="32">
        <v>1565.101949723736</v>
      </c>
      <c r="M83" s="32">
        <v>0.36531788186439379</v>
      </c>
      <c r="N83" s="32">
        <v>0.36268118121755466</v>
      </c>
      <c r="O83" s="32">
        <v>0</v>
      </c>
      <c r="P83" s="32">
        <v>0</v>
      </c>
      <c r="Q83" s="32">
        <v>0</v>
      </c>
      <c r="R83" s="32">
        <v>96.921818184809098</v>
      </c>
      <c r="S83" s="32">
        <v>223.97158009976471</v>
      </c>
      <c r="T83" s="32">
        <v>0</v>
      </c>
      <c r="U83" s="32">
        <v>474.12430196689149</v>
      </c>
      <c r="V83" s="32" t="s">
        <v>610</v>
      </c>
      <c r="W83" s="32" t="s">
        <v>610</v>
      </c>
      <c r="X83" s="32" t="s">
        <v>610</v>
      </c>
      <c r="Y83" s="32" t="s">
        <v>610</v>
      </c>
      <c r="Z83" s="32">
        <v>0</v>
      </c>
      <c r="AA83" s="32">
        <v>0</v>
      </c>
      <c r="AB83" s="32">
        <v>0</v>
      </c>
      <c r="AC83" s="32">
        <v>0</v>
      </c>
      <c r="AD83" s="32">
        <v>0</v>
      </c>
      <c r="AE83" s="32">
        <v>0</v>
      </c>
      <c r="AF83" s="32">
        <v>0</v>
      </c>
      <c r="AG83" s="32">
        <v>0</v>
      </c>
      <c r="AH83" s="32">
        <v>96.921818184809098</v>
      </c>
      <c r="AI83" s="32">
        <v>223.97158009976471</v>
      </c>
      <c r="AJ83" s="32">
        <v>0</v>
      </c>
      <c r="AK83" s="32">
        <v>474.12430196689149</v>
      </c>
      <c r="AL83" s="32">
        <v>795.01770025146527</v>
      </c>
      <c r="AM83" s="32">
        <v>750.16923123231277</v>
      </c>
      <c r="AN83" s="32">
        <v>129.08452008892601</v>
      </c>
      <c r="AO83" s="32">
        <v>0</v>
      </c>
      <c r="AP83" s="32">
        <v>0</v>
      </c>
      <c r="AQ83" s="32">
        <v>879.25375132123872</v>
      </c>
      <c r="AR83" s="32">
        <v>96.921818184809098</v>
      </c>
      <c r="AS83" s="382">
        <v>9.0717835033252321</v>
      </c>
      <c r="AT83" s="32">
        <v>750.16923123231277</v>
      </c>
      <c r="AU83" s="32">
        <v>152.79762396967291</v>
      </c>
      <c r="AV83" s="32">
        <v>0</v>
      </c>
      <c r="AW83" s="32">
        <v>0</v>
      </c>
      <c r="AX83" s="32">
        <v>902.96685520198571</v>
      </c>
      <c r="AY83" s="32">
        <v>223.97158009976471</v>
      </c>
      <c r="AZ83" s="382">
        <v>4.0316135413241847</v>
      </c>
      <c r="BA83" s="32">
        <v>750.16923123231277</v>
      </c>
      <c r="BB83" s="32">
        <v>281.8821440585989</v>
      </c>
      <c r="BC83" s="32">
        <v>0</v>
      </c>
      <c r="BD83" s="32">
        <v>0</v>
      </c>
      <c r="BE83" s="32">
        <v>1032.0513752909117</v>
      </c>
      <c r="BF83" s="32">
        <v>320.89339828457378</v>
      </c>
      <c r="BG83" s="32">
        <v>1.8340762842759475</v>
      </c>
      <c r="BH83" s="382">
        <v>3.2161813886107771</v>
      </c>
      <c r="BI83" s="32">
        <v>4.5566852870704242</v>
      </c>
      <c r="BJ83" s="32">
        <v>10.529806630499943</v>
      </c>
      <c r="BK83" s="32">
        <v>0</v>
      </c>
      <c r="BL83" s="32">
        <v>22.290494250691658</v>
      </c>
      <c r="BM83" s="32">
        <v>37.376986168262022</v>
      </c>
      <c r="BN83" s="32">
        <v>750.16923123231277</v>
      </c>
      <c r="BO83" s="32">
        <v>0</v>
      </c>
      <c r="BP83" s="32">
        <v>281.8821440585989</v>
      </c>
      <c r="BQ83" s="32">
        <v>0</v>
      </c>
      <c r="BR83" s="32">
        <v>0</v>
      </c>
      <c r="BS83" s="32">
        <v>0</v>
      </c>
      <c r="BT83" s="32">
        <v>0</v>
      </c>
      <c r="BU83" s="32">
        <v>0</v>
      </c>
      <c r="BV83" s="32">
        <v>0</v>
      </c>
      <c r="BW83" s="32">
        <v>0</v>
      </c>
      <c r="BX83" s="32">
        <v>795.01770025146527</v>
      </c>
      <c r="BY83" s="32"/>
      <c r="BZ83" s="32">
        <v>0</v>
      </c>
      <c r="CA83" s="32">
        <v>0</v>
      </c>
      <c r="CB83" s="32">
        <v>1032.0513752909117</v>
      </c>
      <c r="CC83" s="32">
        <v>795.01770025146527</v>
      </c>
      <c r="CD83" s="382">
        <v>1.2981489279603111</v>
      </c>
      <c r="CE83" s="32">
        <v>24.124570534967603</v>
      </c>
      <c r="CF83" s="32">
        <v>14.868507915220775</v>
      </c>
      <c r="CG83" s="32">
        <v>0</v>
      </c>
      <c r="CH83" s="32">
        <v>14.868507915220775</v>
      </c>
      <c r="CI83" s="32">
        <v>0.74342342611877466</v>
      </c>
      <c r="CJ83" s="32">
        <v>0</v>
      </c>
      <c r="CK83" s="32">
        <v>0.74342342611877466</v>
      </c>
      <c r="CL83" s="32"/>
      <c r="CM83" s="32">
        <v>0</v>
      </c>
      <c r="CN83" s="32"/>
      <c r="CO83" s="32">
        <v>0</v>
      </c>
      <c r="CP83" s="32">
        <v>0</v>
      </c>
      <c r="CQ83" s="32">
        <v>0</v>
      </c>
      <c r="CR83" s="32">
        <v>0</v>
      </c>
      <c r="CS83" s="32">
        <v>0</v>
      </c>
      <c r="CT83" s="32">
        <v>0</v>
      </c>
      <c r="CU83" s="32">
        <v>0</v>
      </c>
      <c r="CV83" s="32">
        <v>9999</v>
      </c>
      <c r="CW83" s="382">
        <v>9999</v>
      </c>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row>
    <row r="84" spans="1:131">
      <c r="A84" s="11"/>
      <c r="B84" s="1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row>
    <row r="85" spans="1:131">
      <c r="A85" s="11"/>
      <c r="B85" s="11"/>
      <c r="C85" s="32"/>
      <c r="D85" s="32"/>
      <c r="E85" s="32"/>
      <c r="F85" s="32"/>
      <c r="G85" s="32"/>
      <c r="H85" s="32"/>
      <c r="I85" s="32"/>
      <c r="J85" s="32"/>
      <c r="K85" s="32"/>
      <c r="L85" s="32"/>
      <c r="M85" s="32"/>
      <c r="N85" s="32"/>
      <c r="O85" s="32"/>
      <c r="P85" s="32"/>
      <c r="Q85" s="32"/>
      <c r="R85" s="32"/>
      <c r="S85" s="32"/>
      <c r="T85" s="32"/>
      <c r="U85" s="32"/>
      <c r="V85" s="32"/>
      <c r="W85" s="32"/>
      <c r="X85" s="32"/>
      <c r="Y85" s="32"/>
      <c r="Z85" s="32"/>
      <c r="AA85" s="32"/>
      <c r="AB85" s="32"/>
      <c r="AC85" s="32"/>
      <c r="AD85" s="32"/>
      <c r="AE85" s="32"/>
      <c r="AF85" s="32"/>
      <c r="AG85" s="32"/>
      <c r="AH85" s="32"/>
      <c r="AI85" s="32"/>
      <c r="AJ85" s="32"/>
      <c r="AK85" s="32"/>
      <c r="AL85" s="32"/>
      <c r="AM85" s="32"/>
      <c r="AN85" s="32"/>
      <c r="AO85" s="32"/>
      <c r="AP85" s="32"/>
      <c r="AQ85" s="32"/>
      <c r="AR85" s="32"/>
      <c r="AS85" s="32"/>
      <c r="AT85" s="32"/>
      <c r="AU85" s="32"/>
      <c r="AV85" s="32"/>
      <c r="AW85" s="32"/>
      <c r="AX85" s="32"/>
      <c r="AY85" s="32"/>
      <c r="AZ85" s="32"/>
      <c r="BA85" s="32"/>
      <c r="BB85" s="32"/>
      <c r="BC85" s="32"/>
      <c r="BD85" s="32"/>
      <c r="BE85" s="32"/>
      <c r="BF85" s="32"/>
      <c r="BG85" s="32"/>
      <c r="BH85" s="32"/>
      <c r="BI85" s="32"/>
      <c r="BJ85" s="32"/>
      <c r="BK85" s="32"/>
      <c r="BL85" s="32"/>
      <c r="BM85" s="32"/>
      <c r="BN85" s="32"/>
      <c r="BO85" s="32"/>
      <c r="BP85" s="32"/>
      <c r="BQ85" s="32"/>
      <c r="BR85" s="32"/>
      <c r="BS85" s="32"/>
      <c r="BT85" s="32"/>
      <c r="BU85" s="32"/>
      <c r="BV85" s="32"/>
      <c r="BW85" s="32"/>
      <c r="BX85" s="32"/>
      <c r="BY85" s="32"/>
      <c r="BZ85" s="32"/>
      <c r="CA85" s="32"/>
      <c r="CB85" s="32"/>
      <c r="CC85" s="32"/>
      <c r="CD85" s="32"/>
      <c r="CE85" s="32"/>
      <c r="CF85" s="32"/>
      <c r="CG85" s="32"/>
      <c r="CH85" s="32"/>
      <c r="CI85" s="32"/>
      <c r="CJ85" s="32"/>
      <c r="CK85" s="32"/>
      <c r="CL85" s="32"/>
      <c r="CM85" s="32"/>
      <c r="CN85" s="32"/>
      <c r="CO85" s="32"/>
      <c r="CP85" s="32"/>
      <c r="CQ85" s="32"/>
      <c r="CR85" s="32"/>
      <c r="CS85" s="32"/>
      <c r="CT85" s="32"/>
      <c r="CU85" s="32"/>
      <c r="CV85" s="32"/>
      <c r="CW85" s="32"/>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row>
    <row r="86" spans="1:131" ht="13.5" thickBot="1">
      <c r="A86" s="367" t="s">
        <v>611</v>
      </c>
      <c r="B86" s="369"/>
      <c r="C86" s="32"/>
      <c r="D86" s="32"/>
      <c r="E86" s="32"/>
      <c r="F86" s="32"/>
      <c r="G86" s="32"/>
      <c r="H86" s="32"/>
      <c r="I86" s="32"/>
      <c r="J86" s="32"/>
      <c r="K86" s="32"/>
      <c r="L86" s="32"/>
      <c r="M86" s="32"/>
      <c r="N86" s="32"/>
      <c r="O86" s="32"/>
      <c r="P86" s="32"/>
      <c r="Q86" s="32"/>
      <c r="R86" s="32"/>
      <c r="S86" s="32"/>
      <c r="T86" s="32"/>
      <c r="U86" s="32"/>
      <c r="V86" s="32"/>
      <c r="W86" s="32"/>
      <c r="X86" s="32"/>
      <c r="Y86" s="32"/>
      <c r="Z86" s="32"/>
      <c r="AA86" s="32"/>
      <c r="AB86" s="32"/>
      <c r="AC86" s="32"/>
      <c r="AD86" s="32"/>
      <c r="AE86" s="32"/>
      <c r="AF86" s="32"/>
      <c r="AG86" s="32"/>
      <c r="AH86" s="32"/>
      <c r="AI86" s="32"/>
      <c r="AJ86" s="32"/>
      <c r="AK86" s="32"/>
      <c r="AL86" s="32"/>
      <c r="AM86" s="32"/>
      <c r="AN86" s="32"/>
      <c r="AO86" s="32"/>
      <c r="AP86" s="32"/>
      <c r="AQ86" s="32"/>
      <c r="AR86" s="32"/>
      <c r="AS86" s="32"/>
      <c r="AT86" s="32"/>
      <c r="AU86" s="32"/>
      <c r="AV86" s="32"/>
      <c r="AW86" s="32"/>
      <c r="AX86" s="32"/>
      <c r="AY86" s="32"/>
      <c r="AZ86" s="32"/>
      <c r="BA86" s="32"/>
      <c r="BB86" s="32"/>
      <c r="BC86" s="32"/>
      <c r="BD86" s="32"/>
      <c r="BE86" s="32"/>
      <c r="BF86" s="32"/>
      <c r="BG86" s="32"/>
      <c r="BH86" s="32"/>
      <c r="BI86" s="32"/>
      <c r="BJ86" s="32"/>
      <c r="BK86" s="32"/>
      <c r="BL86" s="32"/>
      <c r="BM86" s="32"/>
      <c r="BN86" s="32"/>
      <c r="BO86" s="32"/>
      <c r="BP86" s="32"/>
      <c r="BQ86" s="32"/>
      <c r="BR86" s="32"/>
      <c r="BS86" s="32"/>
      <c r="BT86" s="32"/>
      <c r="BU86" s="32"/>
      <c r="BV86" s="32"/>
      <c r="BW86" s="32"/>
      <c r="BX86" s="32"/>
      <c r="BY86" s="32"/>
      <c r="BZ86" s="32"/>
      <c r="CA86" s="32"/>
      <c r="CB86" s="32"/>
      <c r="CC86" s="32"/>
      <c r="CD86" s="32"/>
      <c r="CE86" s="32"/>
      <c r="CF86" s="32"/>
      <c r="CG86" s="32"/>
      <c r="CH86" s="32"/>
      <c r="CI86" s="32"/>
      <c r="CJ86" s="32"/>
      <c r="CK86" s="32"/>
      <c r="CL86" s="32"/>
      <c r="CM86" s="32"/>
      <c r="CN86" s="32"/>
      <c r="CO86" s="32"/>
      <c r="CP86" s="32"/>
      <c r="CQ86" s="32"/>
      <c r="CR86" s="32"/>
      <c r="CS86" s="32"/>
      <c r="CT86" s="32"/>
      <c r="CU86" s="32"/>
      <c r="CV86" s="32"/>
      <c r="CW86" s="32"/>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row>
    <row r="87" spans="1:131" ht="26.25" thickBot="1">
      <c r="A87" s="372" t="s">
        <v>291</v>
      </c>
      <c r="B87" s="373"/>
      <c r="C87" s="374" t="s">
        <v>292</v>
      </c>
      <c r="D87" s="375"/>
      <c r="E87" s="375"/>
      <c r="F87" s="375"/>
      <c r="G87" s="375"/>
      <c r="H87" s="375"/>
      <c r="I87" s="375"/>
      <c r="J87" s="375"/>
      <c r="K87" s="376"/>
      <c r="L87" s="374" t="s">
        <v>102</v>
      </c>
      <c r="M87" s="375"/>
      <c r="N87" s="375"/>
      <c r="O87" s="375"/>
      <c r="P87" s="375"/>
      <c r="Q87" s="376"/>
      <c r="R87" s="374" t="s">
        <v>293</v>
      </c>
      <c r="S87" s="375"/>
      <c r="T87" s="375"/>
      <c r="U87" s="376"/>
      <c r="V87" s="374" t="s">
        <v>294</v>
      </c>
      <c r="W87" s="375"/>
      <c r="X87" s="375"/>
      <c r="Y87" s="376"/>
      <c r="Z87" s="374" t="s">
        <v>295</v>
      </c>
      <c r="AA87" s="375"/>
      <c r="AB87" s="375"/>
      <c r="AC87" s="376"/>
      <c r="AD87" s="374" t="s">
        <v>296</v>
      </c>
      <c r="AE87" s="375"/>
      <c r="AF87" s="375"/>
      <c r="AG87" s="376"/>
      <c r="AH87" s="374" t="s">
        <v>297</v>
      </c>
      <c r="AI87" s="375"/>
      <c r="AJ87" s="375"/>
      <c r="AK87" s="375"/>
      <c r="AL87" s="376"/>
      <c r="AM87" s="374" t="s">
        <v>298</v>
      </c>
      <c r="AN87" s="375"/>
      <c r="AO87" s="375"/>
      <c r="AP87" s="375"/>
      <c r="AQ87" s="375"/>
      <c r="AR87" s="375"/>
      <c r="AS87" s="376"/>
      <c r="AT87" s="374" t="s">
        <v>299</v>
      </c>
      <c r="AU87" s="375"/>
      <c r="AV87" s="375"/>
      <c r="AW87" s="375"/>
      <c r="AX87" s="375"/>
      <c r="AY87" s="375"/>
      <c r="AZ87" s="376"/>
      <c r="BA87" s="374" t="s">
        <v>300</v>
      </c>
      <c r="BB87" s="375"/>
      <c r="BC87" s="375"/>
      <c r="BD87" s="375"/>
      <c r="BE87" s="375"/>
      <c r="BF87" s="376"/>
      <c r="BG87" s="374" t="s">
        <v>301</v>
      </c>
      <c r="BH87" s="376"/>
      <c r="BI87" s="374" t="s">
        <v>302</v>
      </c>
      <c r="BJ87" s="375"/>
      <c r="BK87" s="375"/>
      <c r="BL87" s="375"/>
      <c r="BM87" s="376"/>
      <c r="BN87" s="374" t="s">
        <v>303</v>
      </c>
      <c r="BO87" s="375"/>
      <c r="BP87" s="375"/>
      <c r="BQ87" s="375"/>
      <c r="BR87" s="375"/>
      <c r="BS87" s="375"/>
      <c r="BT87" s="375"/>
      <c r="BU87" s="375"/>
      <c r="BV87" s="375"/>
      <c r="BW87" s="375"/>
      <c r="BX87" s="375"/>
      <c r="BY87" s="375"/>
      <c r="BZ87" s="375"/>
      <c r="CA87" s="375"/>
      <c r="CB87" s="375"/>
      <c r="CC87" s="376"/>
      <c r="CD87" s="374" t="s">
        <v>304</v>
      </c>
      <c r="CE87" s="376"/>
      <c r="CF87" s="374" t="s">
        <v>305</v>
      </c>
      <c r="CG87" s="375"/>
      <c r="CH87" s="375"/>
      <c r="CI87" s="375"/>
      <c r="CJ87" s="375"/>
      <c r="CK87" s="376"/>
      <c r="CL87" s="377"/>
      <c r="CM87" s="374" t="s">
        <v>15</v>
      </c>
      <c r="CN87" s="375"/>
      <c r="CO87" s="375"/>
      <c r="CP87" s="376"/>
      <c r="CQ87" s="374" t="s">
        <v>306</v>
      </c>
      <c r="CR87" s="375"/>
      <c r="CS87" s="375"/>
      <c r="CT87" s="375"/>
      <c r="CU87" s="376"/>
      <c r="CV87" s="374" t="s">
        <v>307</v>
      </c>
      <c r="CW87" s="376"/>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row>
    <row r="88" spans="1:131" ht="127.5">
      <c r="A88" s="378" t="s">
        <v>308</v>
      </c>
      <c r="B88" s="379" t="s">
        <v>309</v>
      </c>
      <c r="C88" s="380" t="s">
        <v>8</v>
      </c>
      <c r="D88" s="380" t="s">
        <v>310</v>
      </c>
      <c r="E88" s="380" t="s">
        <v>311</v>
      </c>
      <c r="F88" s="380" t="s">
        <v>312</v>
      </c>
      <c r="G88" s="380" t="s">
        <v>313</v>
      </c>
      <c r="H88" s="380" t="s">
        <v>314</v>
      </c>
      <c r="I88" s="380" t="s">
        <v>315</v>
      </c>
      <c r="J88" s="380" t="s">
        <v>316</v>
      </c>
      <c r="K88" s="380" t="s">
        <v>317</v>
      </c>
      <c r="L88" s="380" t="s">
        <v>318</v>
      </c>
      <c r="M88" s="380" t="s">
        <v>319</v>
      </c>
      <c r="N88" s="380" t="s">
        <v>320</v>
      </c>
      <c r="O88" s="380" t="s">
        <v>321</v>
      </c>
      <c r="P88" s="380" t="s">
        <v>322</v>
      </c>
      <c r="Q88" s="380" t="s">
        <v>323</v>
      </c>
      <c r="R88" s="380" t="s">
        <v>324</v>
      </c>
      <c r="S88" s="380" t="s">
        <v>325</v>
      </c>
      <c r="T88" s="380" t="s">
        <v>326</v>
      </c>
      <c r="U88" s="380" t="s">
        <v>327</v>
      </c>
      <c r="V88" s="380" t="s">
        <v>324</v>
      </c>
      <c r="W88" s="380" t="s">
        <v>325</v>
      </c>
      <c r="X88" s="380" t="s">
        <v>326</v>
      </c>
      <c r="Y88" s="380" t="s">
        <v>327</v>
      </c>
      <c r="Z88" s="380" t="s">
        <v>324</v>
      </c>
      <c r="AA88" s="380" t="s">
        <v>325</v>
      </c>
      <c r="AB88" s="380" t="s">
        <v>326</v>
      </c>
      <c r="AC88" s="380" t="s">
        <v>327</v>
      </c>
      <c r="AD88" s="380" t="s">
        <v>324</v>
      </c>
      <c r="AE88" s="380" t="s">
        <v>325</v>
      </c>
      <c r="AF88" s="380" t="s">
        <v>326</v>
      </c>
      <c r="AG88" s="380" t="s">
        <v>327</v>
      </c>
      <c r="AH88" s="380" t="s">
        <v>324</v>
      </c>
      <c r="AI88" s="380" t="s">
        <v>325</v>
      </c>
      <c r="AJ88" s="380" t="s">
        <v>326</v>
      </c>
      <c r="AK88" s="380" t="s">
        <v>327</v>
      </c>
      <c r="AL88" s="380" t="s">
        <v>156</v>
      </c>
      <c r="AM88" s="380" t="s">
        <v>328</v>
      </c>
      <c r="AN88" s="380" t="s">
        <v>329</v>
      </c>
      <c r="AO88" s="380" t="s">
        <v>330</v>
      </c>
      <c r="AP88" s="380" t="s">
        <v>331</v>
      </c>
      <c r="AQ88" s="380" t="s">
        <v>332</v>
      </c>
      <c r="AR88" s="380" t="s">
        <v>333</v>
      </c>
      <c r="AS88" s="380" t="s">
        <v>334</v>
      </c>
      <c r="AT88" s="380" t="s">
        <v>335</v>
      </c>
      <c r="AU88" s="380" t="s">
        <v>336</v>
      </c>
      <c r="AV88" s="380" t="s">
        <v>337</v>
      </c>
      <c r="AW88" s="380" t="s">
        <v>338</v>
      </c>
      <c r="AX88" s="380" t="s">
        <v>339</v>
      </c>
      <c r="AY88" s="380" t="s">
        <v>340</v>
      </c>
      <c r="AZ88" s="380" t="s">
        <v>341</v>
      </c>
      <c r="BA88" s="380" t="s">
        <v>342</v>
      </c>
      <c r="BB88" s="380" t="s">
        <v>343</v>
      </c>
      <c r="BC88" s="380" t="s">
        <v>344</v>
      </c>
      <c r="BD88" s="380" t="s">
        <v>345</v>
      </c>
      <c r="BE88" s="380" t="s">
        <v>346</v>
      </c>
      <c r="BF88" s="380" t="s">
        <v>347</v>
      </c>
      <c r="BG88" s="380" t="s">
        <v>348</v>
      </c>
      <c r="BH88" s="380" t="s">
        <v>349</v>
      </c>
      <c r="BI88" s="380" t="s">
        <v>350</v>
      </c>
      <c r="BJ88" s="380" t="s">
        <v>351</v>
      </c>
      <c r="BK88" s="380" t="s">
        <v>352</v>
      </c>
      <c r="BL88" s="380" t="s">
        <v>353</v>
      </c>
      <c r="BM88" s="380" t="s">
        <v>354</v>
      </c>
      <c r="BN88" s="380" t="s">
        <v>355</v>
      </c>
      <c r="BO88" s="380" t="s">
        <v>356</v>
      </c>
      <c r="BP88" s="380" t="s">
        <v>357</v>
      </c>
      <c r="BQ88" s="380" t="s">
        <v>358</v>
      </c>
      <c r="BR88" s="380" t="s">
        <v>359</v>
      </c>
      <c r="BS88" s="380" t="s">
        <v>360</v>
      </c>
      <c r="BT88" s="380" t="s">
        <v>361</v>
      </c>
      <c r="BU88" s="380" t="s">
        <v>362</v>
      </c>
      <c r="BV88" s="380" t="s">
        <v>363</v>
      </c>
      <c r="BW88" s="380" t="s">
        <v>364</v>
      </c>
      <c r="BX88" s="380" t="s">
        <v>365</v>
      </c>
      <c r="BY88" s="380" t="s">
        <v>366</v>
      </c>
      <c r="BZ88" s="380" t="s">
        <v>367</v>
      </c>
      <c r="CA88" s="380" t="s">
        <v>368</v>
      </c>
      <c r="CB88" s="380" t="s">
        <v>369</v>
      </c>
      <c r="CC88" s="380" t="s">
        <v>370</v>
      </c>
      <c r="CD88" s="380" t="s">
        <v>371</v>
      </c>
      <c r="CE88" s="380" t="s">
        <v>372</v>
      </c>
      <c r="CF88" s="380" t="s">
        <v>373</v>
      </c>
      <c r="CG88" s="380" t="s">
        <v>374</v>
      </c>
      <c r="CH88" s="380" t="s">
        <v>375</v>
      </c>
      <c r="CI88" s="380" t="s">
        <v>607</v>
      </c>
      <c r="CJ88" s="380" t="s">
        <v>608</v>
      </c>
      <c r="CK88" s="380" t="s">
        <v>609</v>
      </c>
      <c r="CL88" s="380"/>
      <c r="CM88" s="380" t="s">
        <v>376</v>
      </c>
      <c r="CN88" s="380" t="s">
        <v>377</v>
      </c>
      <c r="CO88" s="380" t="s">
        <v>378</v>
      </c>
      <c r="CP88" s="380" t="s">
        <v>379</v>
      </c>
      <c r="CQ88" s="380" t="s">
        <v>380</v>
      </c>
      <c r="CR88" s="380" t="s">
        <v>381</v>
      </c>
      <c r="CS88" s="380" t="s">
        <v>382</v>
      </c>
      <c r="CT88" s="380" t="s">
        <v>383</v>
      </c>
      <c r="CU88" s="380" t="s">
        <v>384</v>
      </c>
      <c r="CV88" s="380" t="s">
        <v>385</v>
      </c>
      <c r="CW88" s="380" t="s">
        <v>386</v>
      </c>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row>
    <row r="89" spans="1:131">
      <c r="A89" s="11" t="s">
        <v>663</v>
      </c>
      <c r="B89" s="11"/>
      <c r="C89" s="32">
        <v>11.627906976744187</v>
      </c>
      <c r="D89" s="32">
        <v>305.29999999999995</v>
      </c>
      <c r="E89" s="32">
        <v>0</v>
      </c>
      <c r="F89" s="32">
        <v>-8.5918959509302795</v>
      </c>
      <c r="G89" s="32">
        <v>0</v>
      </c>
      <c r="H89" s="32">
        <v>0</v>
      </c>
      <c r="I89" s="32"/>
      <c r="J89" s="32"/>
      <c r="K89" s="32"/>
      <c r="L89" s="32">
        <v>327.31145340319665</v>
      </c>
      <c r="M89" s="32">
        <v>7.6399321391375424E-2</v>
      </c>
      <c r="N89" s="32">
        <v>7.5847905350357528E-2</v>
      </c>
      <c r="O89" s="32">
        <v>0</v>
      </c>
      <c r="P89" s="32">
        <v>0</v>
      </c>
      <c r="Q89" s="32">
        <v>0</v>
      </c>
      <c r="R89" s="32">
        <v>-1.713338827476222</v>
      </c>
      <c r="S89" s="32">
        <v>-3.9592654329329573</v>
      </c>
      <c r="T89" s="32">
        <v>0</v>
      </c>
      <c r="U89" s="32">
        <v>-8.3813489142453612</v>
      </c>
      <c r="V89" s="32">
        <v>-0.51551375705581681</v>
      </c>
      <c r="W89" s="32">
        <v>-1.2028654331302391</v>
      </c>
      <c r="X89" s="32">
        <v>0</v>
      </c>
      <c r="Y89" s="32">
        <v>0</v>
      </c>
      <c r="Z89" s="32">
        <v>0</v>
      </c>
      <c r="AA89" s="32">
        <v>0</v>
      </c>
      <c r="AB89" s="32">
        <v>0</v>
      </c>
      <c r="AC89" s="32">
        <v>0</v>
      </c>
      <c r="AD89" s="32">
        <v>0</v>
      </c>
      <c r="AE89" s="32">
        <v>0</v>
      </c>
      <c r="AF89" s="32">
        <v>0</v>
      </c>
      <c r="AG89" s="32">
        <v>0</v>
      </c>
      <c r="AH89" s="32">
        <v>-2.2288525845320386</v>
      </c>
      <c r="AI89" s="32">
        <v>-5.1621308660631966</v>
      </c>
      <c r="AJ89" s="32">
        <v>0</v>
      </c>
      <c r="AK89" s="32">
        <v>-8.3813489142453612</v>
      </c>
      <c r="AL89" s="32">
        <v>-15.772332364840597</v>
      </c>
      <c r="AM89" s="32">
        <v>156.88369784239811</v>
      </c>
      <c r="AN89" s="32">
        <v>26.995584466314426</v>
      </c>
      <c r="AO89" s="32">
        <v>0</v>
      </c>
      <c r="AP89" s="32">
        <v>0</v>
      </c>
      <c r="AQ89" s="32">
        <v>183.87928230871253</v>
      </c>
      <c r="AR89" s="32">
        <v>-2.2288525845320386</v>
      </c>
      <c r="AS89" s="382">
        <v>9999</v>
      </c>
      <c r="AT89" s="32">
        <v>156.88369784239811</v>
      </c>
      <c r="AU89" s="32">
        <v>31.954731375100945</v>
      </c>
      <c r="AV89" s="32">
        <v>0</v>
      </c>
      <c r="AW89" s="32">
        <v>0</v>
      </c>
      <c r="AX89" s="32">
        <v>188.83842921749905</v>
      </c>
      <c r="AY89" s="32">
        <v>-5.1621308660631966</v>
      </c>
      <c r="AZ89" s="382">
        <v>9999</v>
      </c>
      <c r="BA89" s="32">
        <v>156.88369784239811</v>
      </c>
      <c r="BB89" s="32">
        <v>58.950315841415375</v>
      </c>
      <c r="BC89" s="32">
        <v>0</v>
      </c>
      <c r="BD89" s="32">
        <v>0</v>
      </c>
      <c r="BE89" s="32">
        <v>215.83401368381348</v>
      </c>
      <c r="BF89" s="32">
        <v>-7.3909834505952352</v>
      </c>
      <c r="BG89" s="32">
        <v>-14.913956936814882</v>
      </c>
      <c r="BH89" s="382">
        <v>9999</v>
      </c>
      <c r="BI89" s="32">
        <v>-0.50106060356014992</v>
      </c>
      <c r="BJ89" s="32">
        <v>-1.1604806999603181</v>
      </c>
      <c r="BK89" s="32">
        <v>0</v>
      </c>
      <c r="BL89" s="32">
        <v>-1.8841819215700675</v>
      </c>
      <c r="BM89" s="32">
        <v>-3.5457232250905353</v>
      </c>
      <c r="BN89" s="32">
        <v>156.88369784239811</v>
      </c>
      <c r="BO89" s="32">
        <v>0</v>
      </c>
      <c r="BP89" s="32">
        <v>58.950315841415375</v>
      </c>
      <c r="BQ89" s="32">
        <v>0</v>
      </c>
      <c r="BR89" s="32">
        <v>0</v>
      </c>
      <c r="BS89" s="32">
        <v>0</v>
      </c>
      <c r="BT89" s="32">
        <v>0</v>
      </c>
      <c r="BU89" s="32">
        <v>0</v>
      </c>
      <c r="BV89" s="32">
        <v>0</v>
      </c>
      <c r="BW89" s="32">
        <v>0</v>
      </c>
      <c r="BX89" s="32">
        <v>-14.053953174654541</v>
      </c>
      <c r="BY89" s="32">
        <v>-1.7183791901860559</v>
      </c>
      <c r="BZ89" s="32">
        <v>0</v>
      </c>
      <c r="CA89" s="32">
        <v>0</v>
      </c>
      <c r="CB89" s="32">
        <v>215.83401368381348</v>
      </c>
      <c r="CC89" s="32">
        <v>-15.772332364840597</v>
      </c>
      <c r="CD89" s="382">
        <v>9999</v>
      </c>
      <c r="CE89" s="32">
        <v>-16.798138858384949</v>
      </c>
      <c r="CF89" s="32">
        <v>3.109467045598445</v>
      </c>
      <c r="CG89" s="32">
        <v>0</v>
      </c>
      <c r="CH89" s="32">
        <v>3.109467045598445</v>
      </c>
      <c r="CI89" s="32">
        <v>0.15547294036651843</v>
      </c>
      <c r="CJ89" s="32">
        <v>0</v>
      </c>
      <c r="CK89" s="32">
        <v>0.15547294036651843</v>
      </c>
      <c r="CL89" s="32"/>
      <c r="CM89" s="32">
        <v>0</v>
      </c>
      <c r="CN89" s="32"/>
      <c r="CO89" s="32">
        <v>0</v>
      </c>
      <c r="CP89" s="32">
        <v>0</v>
      </c>
      <c r="CQ89" s="32">
        <v>0</v>
      </c>
      <c r="CR89" s="32">
        <v>0</v>
      </c>
      <c r="CS89" s="32">
        <v>0</v>
      </c>
      <c r="CT89" s="32">
        <v>0</v>
      </c>
      <c r="CU89" s="32">
        <v>0</v>
      </c>
      <c r="CV89" s="32">
        <v>9999</v>
      </c>
      <c r="CW89" s="382">
        <v>9999</v>
      </c>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row>
    <row r="90" spans="1:131">
      <c r="A90" s="11" t="s">
        <v>665</v>
      </c>
      <c r="B90" s="11"/>
      <c r="C90" s="32">
        <v>11.627906976744185</v>
      </c>
      <c r="D90" s="32">
        <v>666.5</v>
      </c>
      <c r="E90" s="32">
        <v>0</v>
      </c>
      <c r="F90" s="32">
        <v>2.0115772129567233</v>
      </c>
      <c r="G90" s="32">
        <v>0</v>
      </c>
      <c r="H90" s="32">
        <v>0</v>
      </c>
      <c r="I90" s="32"/>
      <c r="J90" s="32"/>
      <c r="K90" s="32"/>
      <c r="L90" s="32">
        <v>714.55317292247162</v>
      </c>
      <c r="M90" s="32">
        <v>0.16678725092483371</v>
      </c>
      <c r="N90" s="32">
        <v>0.16558345534232982</v>
      </c>
      <c r="O90" s="32">
        <v>0</v>
      </c>
      <c r="P90" s="32">
        <v>0</v>
      </c>
      <c r="Q90" s="32">
        <v>0</v>
      </c>
      <c r="R90" s="32">
        <v>0.40113536792213955</v>
      </c>
      <c r="S90" s="32">
        <v>0.92696282292301724</v>
      </c>
      <c r="T90" s="32">
        <v>0</v>
      </c>
      <c r="U90" s="32">
        <v>1.962282898445723</v>
      </c>
      <c r="V90" s="32">
        <v>0.1206946327774034</v>
      </c>
      <c r="W90" s="32">
        <v>0.28162080981394128</v>
      </c>
      <c r="X90" s="32">
        <v>0</v>
      </c>
      <c r="Y90" s="32">
        <v>0</v>
      </c>
      <c r="Z90" s="32">
        <v>0</v>
      </c>
      <c r="AA90" s="32">
        <v>0</v>
      </c>
      <c r="AB90" s="32">
        <v>0</v>
      </c>
      <c r="AC90" s="32">
        <v>0</v>
      </c>
      <c r="AD90" s="32">
        <v>0</v>
      </c>
      <c r="AE90" s="32">
        <v>0</v>
      </c>
      <c r="AF90" s="32">
        <v>0</v>
      </c>
      <c r="AG90" s="32">
        <v>0</v>
      </c>
      <c r="AH90" s="32">
        <v>0.521830000699543</v>
      </c>
      <c r="AI90" s="32">
        <v>1.2085836327369586</v>
      </c>
      <c r="AJ90" s="32">
        <v>0</v>
      </c>
      <c r="AK90" s="32">
        <v>1.962282898445723</v>
      </c>
      <c r="AL90" s="32">
        <v>3.6926965318822242</v>
      </c>
      <c r="AM90" s="32">
        <v>342.49257979678458</v>
      </c>
      <c r="AN90" s="32">
        <v>58.93402242646107</v>
      </c>
      <c r="AO90" s="32">
        <v>0</v>
      </c>
      <c r="AP90" s="32">
        <v>0</v>
      </c>
      <c r="AQ90" s="32">
        <v>401.42660222324565</v>
      </c>
      <c r="AR90" s="32">
        <v>0.521830000699543</v>
      </c>
      <c r="AS90" s="382">
        <v>769.26700589293512</v>
      </c>
      <c r="AT90" s="32">
        <v>342.49257979678458</v>
      </c>
      <c r="AU90" s="32">
        <v>69.760329058318973</v>
      </c>
      <c r="AV90" s="32">
        <v>0</v>
      </c>
      <c r="AW90" s="32">
        <v>0</v>
      </c>
      <c r="AX90" s="32">
        <v>412.25290885510356</v>
      </c>
      <c r="AY90" s="32">
        <v>1.2085836327369586</v>
      </c>
      <c r="AZ90" s="382">
        <v>341.10416332671622</v>
      </c>
      <c r="BA90" s="32">
        <v>342.49257979678458</v>
      </c>
      <c r="BB90" s="32">
        <v>128.69435148478004</v>
      </c>
      <c r="BC90" s="32">
        <v>0</v>
      </c>
      <c r="BD90" s="32">
        <v>0</v>
      </c>
      <c r="BE90" s="32">
        <v>471.18693128156463</v>
      </c>
      <c r="BF90" s="32">
        <v>1.7304136334365015</v>
      </c>
      <c r="BG90" s="32">
        <v>-13.074224745945859</v>
      </c>
      <c r="BH90" s="382">
        <v>272.29728324886958</v>
      </c>
      <c r="BI90" s="32">
        <v>5.373590976920628E-2</v>
      </c>
      <c r="BJ90" s="32">
        <v>0.12445497757934795</v>
      </c>
      <c r="BK90" s="32">
        <v>0</v>
      </c>
      <c r="BL90" s="32">
        <v>0.20206783172907042</v>
      </c>
      <c r="BM90" s="32">
        <v>0.3802587190776246</v>
      </c>
      <c r="BN90" s="32">
        <v>342.49257979678458</v>
      </c>
      <c r="BO90" s="32">
        <v>0</v>
      </c>
      <c r="BP90" s="32">
        <v>128.69435148478004</v>
      </c>
      <c r="BQ90" s="32">
        <v>0</v>
      </c>
      <c r="BR90" s="32">
        <v>0</v>
      </c>
      <c r="BS90" s="32">
        <v>0</v>
      </c>
      <c r="BT90" s="32">
        <v>0</v>
      </c>
      <c r="BU90" s="32">
        <v>0</v>
      </c>
      <c r="BV90" s="32">
        <v>0</v>
      </c>
      <c r="BW90" s="32">
        <v>0</v>
      </c>
      <c r="BX90" s="32">
        <v>3.2903810892908796</v>
      </c>
      <c r="BY90" s="32">
        <v>0.40231544259134466</v>
      </c>
      <c r="BZ90" s="32">
        <v>0</v>
      </c>
      <c r="CA90" s="32">
        <v>0</v>
      </c>
      <c r="CB90" s="32">
        <v>471.18693128156463</v>
      </c>
      <c r="CC90" s="32">
        <v>3.6926965318822242</v>
      </c>
      <c r="CD90" s="382">
        <v>127.59968960714825</v>
      </c>
      <c r="CE90" s="32">
        <v>-12.872156914216788</v>
      </c>
      <c r="CF90" s="32">
        <v>6.788273127714926</v>
      </c>
      <c r="CG90" s="32">
        <v>0</v>
      </c>
      <c r="CH90" s="32">
        <v>6.788273127714926</v>
      </c>
      <c r="CI90" s="32">
        <v>0.33941275713817404</v>
      </c>
      <c r="CJ90" s="32">
        <v>0</v>
      </c>
      <c r="CK90" s="32">
        <v>0.33941275713817404</v>
      </c>
      <c r="CL90" s="32"/>
      <c r="CM90" s="32">
        <v>0</v>
      </c>
      <c r="CN90" s="32"/>
      <c r="CO90" s="32">
        <v>0</v>
      </c>
      <c r="CP90" s="32">
        <v>0</v>
      </c>
      <c r="CQ90" s="32">
        <v>0</v>
      </c>
      <c r="CR90" s="32">
        <v>0</v>
      </c>
      <c r="CS90" s="32">
        <v>0</v>
      </c>
      <c r="CT90" s="32">
        <v>0</v>
      </c>
      <c r="CU90" s="32">
        <v>0</v>
      </c>
      <c r="CV90" s="32">
        <v>9999</v>
      </c>
      <c r="CW90" s="382">
        <v>9999</v>
      </c>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row>
    <row r="91" spans="1:131">
      <c r="A91" s="11" t="s">
        <v>664</v>
      </c>
      <c r="B91" s="11"/>
      <c r="C91" s="32">
        <v>11.627906976744185</v>
      </c>
      <c r="D91" s="32">
        <v>395.6</v>
      </c>
      <c r="E91" s="32">
        <v>0</v>
      </c>
      <c r="F91" s="32">
        <v>2.0115772129567233</v>
      </c>
      <c r="G91" s="32">
        <v>0</v>
      </c>
      <c r="H91" s="32">
        <v>0</v>
      </c>
      <c r="I91" s="32"/>
      <c r="J91" s="32"/>
      <c r="K91" s="32"/>
      <c r="L91" s="32">
        <v>424.12188328301545</v>
      </c>
      <c r="M91" s="32">
        <v>9.8996303774740002E-2</v>
      </c>
      <c r="N91" s="32">
        <v>9.8281792848350619E-2</v>
      </c>
      <c r="O91" s="32">
        <v>0</v>
      </c>
      <c r="P91" s="32">
        <v>0</v>
      </c>
      <c r="Q91" s="32">
        <v>0</v>
      </c>
      <c r="R91" s="32">
        <v>0.40113536792213955</v>
      </c>
      <c r="S91" s="32">
        <v>0.92696282292301724</v>
      </c>
      <c r="T91" s="32">
        <v>0</v>
      </c>
      <c r="U91" s="32">
        <v>1.962282898445723</v>
      </c>
      <c r="V91" s="32">
        <v>0.1206946327774034</v>
      </c>
      <c r="W91" s="32">
        <v>0.28162080981394128</v>
      </c>
      <c r="X91" s="32">
        <v>0</v>
      </c>
      <c r="Y91" s="32">
        <v>0</v>
      </c>
      <c r="Z91" s="32">
        <v>0</v>
      </c>
      <c r="AA91" s="32">
        <v>0</v>
      </c>
      <c r="AB91" s="32">
        <v>0</v>
      </c>
      <c r="AC91" s="32">
        <v>0</v>
      </c>
      <c r="AD91" s="32">
        <v>0</v>
      </c>
      <c r="AE91" s="32">
        <v>0</v>
      </c>
      <c r="AF91" s="32">
        <v>0</v>
      </c>
      <c r="AG91" s="32">
        <v>0</v>
      </c>
      <c r="AH91" s="32">
        <v>0.521830000699543</v>
      </c>
      <c r="AI91" s="32">
        <v>1.2085836327369586</v>
      </c>
      <c r="AJ91" s="32">
        <v>0</v>
      </c>
      <c r="AK91" s="32">
        <v>1.962282898445723</v>
      </c>
      <c r="AL91" s="32">
        <v>3.6926965318822242</v>
      </c>
      <c r="AM91" s="32">
        <v>203.28591833099458</v>
      </c>
      <c r="AN91" s="32">
        <v>34.980193956351101</v>
      </c>
      <c r="AO91" s="32">
        <v>0</v>
      </c>
      <c r="AP91" s="32">
        <v>0</v>
      </c>
      <c r="AQ91" s="32">
        <v>238.26611228734566</v>
      </c>
      <c r="AR91" s="32">
        <v>0.521830000699543</v>
      </c>
      <c r="AS91" s="382">
        <v>456.59719059451601</v>
      </c>
      <c r="AT91" s="32">
        <v>203.28591833099458</v>
      </c>
      <c r="AU91" s="32">
        <v>41.406130795905469</v>
      </c>
      <c r="AV91" s="32">
        <v>0</v>
      </c>
      <c r="AW91" s="32">
        <v>0</v>
      </c>
      <c r="AX91" s="32">
        <v>244.69204912690003</v>
      </c>
      <c r="AY91" s="32">
        <v>1.2085836327369586</v>
      </c>
      <c r="AZ91" s="382">
        <v>202.46182597456695</v>
      </c>
      <c r="BA91" s="32">
        <v>203.28591833099458</v>
      </c>
      <c r="BB91" s="32">
        <v>76.38632475225657</v>
      </c>
      <c r="BC91" s="32">
        <v>0</v>
      </c>
      <c r="BD91" s="32">
        <v>0</v>
      </c>
      <c r="BE91" s="32">
        <v>279.67224308325115</v>
      </c>
      <c r="BF91" s="32">
        <v>1.7304136334365015</v>
      </c>
      <c r="BG91" s="32">
        <v>-12.952202725261527</v>
      </c>
      <c r="BH91" s="382">
        <v>161.62161328319993</v>
      </c>
      <c r="BI91" s="32">
        <v>9.0533326241597531E-2</v>
      </c>
      <c r="BJ91" s="32">
        <v>0.20967958179129273</v>
      </c>
      <c r="BK91" s="32">
        <v>0</v>
      </c>
      <c r="BL91" s="32">
        <v>0.34044036867397731</v>
      </c>
      <c r="BM91" s="32">
        <v>0.64065327670686756</v>
      </c>
      <c r="BN91" s="32">
        <v>203.28591833099458</v>
      </c>
      <c r="BO91" s="32">
        <v>0</v>
      </c>
      <c r="BP91" s="32">
        <v>76.38632475225657</v>
      </c>
      <c r="BQ91" s="32">
        <v>0</v>
      </c>
      <c r="BR91" s="32">
        <v>0</v>
      </c>
      <c r="BS91" s="32">
        <v>0</v>
      </c>
      <c r="BT91" s="32">
        <v>0</v>
      </c>
      <c r="BU91" s="32">
        <v>0</v>
      </c>
      <c r="BV91" s="32">
        <v>0</v>
      </c>
      <c r="BW91" s="32">
        <v>0</v>
      </c>
      <c r="BX91" s="32">
        <v>3.2903810892908796</v>
      </c>
      <c r="BY91" s="32">
        <v>0.40231544259134466</v>
      </c>
      <c r="BZ91" s="32">
        <v>0</v>
      </c>
      <c r="CA91" s="32">
        <v>0</v>
      </c>
      <c r="CB91" s="32">
        <v>279.67224308325115</v>
      </c>
      <c r="CC91" s="32">
        <v>3.6926965318822242</v>
      </c>
      <c r="CD91" s="382">
        <v>75.73658996037183</v>
      </c>
      <c r="CE91" s="32">
        <v>-12.611762356587549</v>
      </c>
      <c r="CF91" s="32">
        <v>4.0291685661275602</v>
      </c>
      <c r="CG91" s="32">
        <v>0</v>
      </c>
      <c r="CH91" s="32">
        <v>4.0291685661275602</v>
      </c>
      <c r="CI91" s="32">
        <v>0.20145789455943236</v>
      </c>
      <c r="CJ91" s="32">
        <v>0</v>
      </c>
      <c r="CK91" s="32">
        <v>0.20145789455943236</v>
      </c>
      <c r="CL91" s="32"/>
      <c r="CM91" s="32">
        <v>0</v>
      </c>
      <c r="CN91" s="32"/>
      <c r="CO91" s="32">
        <v>0</v>
      </c>
      <c r="CP91" s="32">
        <v>0</v>
      </c>
      <c r="CQ91" s="32">
        <v>0</v>
      </c>
      <c r="CR91" s="32">
        <v>0</v>
      </c>
      <c r="CS91" s="32">
        <v>0</v>
      </c>
      <c r="CT91" s="32">
        <v>0</v>
      </c>
      <c r="CU91" s="32">
        <v>0</v>
      </c>
      <c r="CV91" s="32">
        <v>9999</v>
      </c>
      <c r="CW91" s="382">
        <v>9999</v>
      </c>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row>
    <row r="92" spans="1:131">
      <c r="A92" s="11" t="s">
        <v>666</v>
      </c>
      <c r="B92" s="11"/>
      <c r="C92" s="32">
        <v>11.627906976744185</v>
      </c>
      <c r="D92" s="32">
        <v>1152.4000000000001</v>
      </c>
      <c r="E92" s="32">
        <v>0</v>
      </c>
      <c r="F92" s="32">
        <v>134.02315442591345</v>
      </c>
      <c r="G92" s="32">
        <v>0</v>
      </c>
      <c r="H92" s="32">
        <v>0</v>
      </c>
      <c r="I92" s="32"/>
      <c r="J92" s="32"/>
      <c r="K92" s="32"/>
      <c r="L92" s="32">
        <v>1235.4854860853059</v>
      </c>
      <c r="M92" s="32">
        <v>0.28838053708293826</v>
      </c>
      <c r="N92" s="32">
        <v>0.28629913568867355</v>
      </c>
      <c r="O92" s="32">
        <v>0</v>
      </c>
      <c r="P92" s="32">
        <v>0</v>
      </c>
      <c r="Q92" s="32">
        <v>0</v>
      </c>
      <c r="R92" s="32">
        <v>26.726007341126671</v>
      </c>
      <c r="S92" s="32">
        <v>61.759737962574029</v>
      </c>
      <c r="T92" s="32">
        <v>0</v>
      </c>
      <c r="U92" s="32">
        <v>130.73887605793738</v>
      </c>
      <c r="V92" s="32">
        <v>8.0413892655548072</v>
      </c>
      <c r="W92" s="32">
        <v>18.763241619627884</v>
      </c>
      <c r="X92" s="32">
        <v>0</v>
      </c>
      <c r="Y92" s="32">
        <v>0</v>
      </c>
      <c r="Z92" s="32">
        <v>0</v>
      </c>
      <c r="AA92" s="32">
        <v>0</v>
      </c>
      <c r="AB92" s="32">
        <v>0</v>
      </c>
      <c r="AC92" s="32">
        <v>0</v>
      </c>
      <c r="AD92" s="32">
        <v>0</v>
      </c>
      <c r="AE92" s="32">
        <v>0</v>
      </c>
      <c r="AF92" s="32">
        <v>0</v>
      </c>
      <c r="AG92" s="32">
        <v>0</v>
      </c>
      <c r="AH92" s="32">
        <v>34.76739660668148</v>
      </c>
      <c r="AI92" s="32">
        <v>80.522979582201913</v>
      </c>
      <c r="AJ92" s="32">
        <v>0</v>
      </c>
      <c r="AK92" s="32">
        <v>130.73887605793738</v>
      </c>
      <c r="AL92" s="32">
        <v>246.02925224682076</v>
      </c>
      <c r="AM92" s="32">
        <v>592.18071861637611</v>
      </c>
      <c r="AN92" s="32">
        <v>101.89882587284885</v>
      </c>
      <c r="AO92" s="32">
        <v>0</v>
      </c>
      <c r="AP92" s="32">
        <v>0</v>
      </c>
      <c r="AQ92" s="32">
        <v>694.07954448922499</v>
      </c>
      <c r="AR92" s="32">
        <v>34.76739660668148</v>
      </c>
      <c r="AS92" s="382">
        <v>19.963517899865966</v>
      </c>
      <c r="AT92" s="32">
        <v>592.18071861637611</v>
      </c>
      <c r="AU92" s="32">
        <v>120.61785927502898</v>
      </c>
      <c r="AV92" s="32">
        <v>0</v>
      </c>
      <c r="AW92" s="32">
        <v>0</v>
      </c>
      <c r="AX92" s="32">
        <v>712.7985778914051</v>
      </c>
      <c r="AY92" s="32">
        <v>80.522979582201913</v>
      </c>
      <c r="AZ92" s="382">
        <v>8.8521137890053421</v>
      </c>
      <c r="BA92" s="32">
        <v>592.18071861637611</v>
      </c>
      <c r="BB92" s="32">
        <v>222.51668514787781</v>
      </c>
      <c r="BC92" s="32">
        <v>0</v>
      </c>
      <c r="BD92" s="32">
        <v>0</v>
      </c>
      <c r="BE92" s="32">
        <v>814.69740376425398</v>
      </c>
      <c r="BF92" s="32">
        <v>115.29037618888339</v>
      </c>
      <c r="BG92" s="32">
        <v>-6.38607218242658</v>
      </c>
      <c r="BH92" s="382">
        <v>7.0664823092390021</v>
      </c>
      <c r="BI92" s="32">
        <v>2.0706401859848449</v>
      </c>
      <c r="BJ92" s="32">
        <v>4.7957032648829978</v>
      </c>
      <c r="BK92" s="32">
        <v>0</v>
      </c>
      <c r="BL92" s="32">
        <v>7.7864090227576117</v>
      </c>
      <c r="BM92" s="32">
        <v>14.652752473625455</v>
      </c>
      <c r="BN92" s="32">
        <v>592.18071861637611</v>
      </c>
      <c r="BO92" s="32">
        <v>0</v>
      </c>
      <c r="BP92" s="32">
        <v>222.51668514787781</v>
      </c>
      <c r="BQ92" s="32">
        <v>0</v>
      </c>
      <c r="BR92" s="32">
        <v>0</v>
      </c>
      <c r="BS92" s="32">
        <v>0</v>
      </c>
      <c r="BT92" s="32">
        <v>0</v>
      </c>
      <c r="BU92" s="32">
        <v>0</v>
      </c>
      <c r="BV92" s="32">
        <v>0</v>
      </c>
      <c r="BW92" s="32">
        <v>0</v>
      </c>
      <c r="BX92" s="32">
        <v>219.22462136163807</v>
      </c>
      <c r="BY92" s="32">
        <v>26.804630885182689</v>
      </c>
      <c r="BZ92" s="32">
        <v>0</v>
      </c>
      <c r="CA92" s="32">
        <v>0</v>
      </c>
      <c r="CB92" s="32">
        <v>814.69740376425398</v>
      </c>
      <c r="CC92" s="32">
        <v>246.02925224682076</v>
      </c>
      <c r="CD92" s="382">
        <v>3.3113843021680025</v>
      </c>
      <c r="CE92" s="32">
        <v>1.4003368403310341</v>
      </c>
      <c r="CF92" s="32">
        <v>11.737143214371596</v>
      </c>
      <c r="CG92" s="32">
        <v>0</v>
      </c>
      <c r="CH92" s="32">
        <v>11.737143214371596</v>
      </c>
      <c r="CI92" s="32">
        <v>0.58685560589052044</v>
      </c>
      <c r="CJ92" s="32">
        <v>0</v>
      </c>
      <c r="CK92" s="32">
        <v>0.58685560589052044</v>
      </c>
      <c r="CL92" s="32"/>
      <c r="CM92" s="32">
        <v>0</v>
      </c>
      <c r="CN92" s="32"/>
      <c r="CO92" s="32">
        <v>0</v>
      </c>
      <c r="CP92" s="32">
        <v>0</v>
      </c>
      <c r="CQ92" s="32">
        <v>0</v>
      </c>
      <c r="CR92" s="32">
        <v>0</v>
      </c>
      <c r="CS92" s="32">
        <v>0</v>
      </c>
      <c r="CT92" s="32">
        <v>0</v>
      </c>
      <c r="CU92" s="32">
        <v>0</v>
      </c>
      <c r="CV92" s="32">
        <v>9999</v>
      </c>
      <c r="CW92" s="382">
        <v>9999</v>
      </c>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row>
    <row r="93" spans="1:131">
      <c r="A93" s="11" t="s">
        <v>667</v>
      </c>
      <c r="B93" s="11"/>
      <c r="C93" s="32">
        <v>11.627906976744184</v>
      </c>
      <c r="D93" s="32">
        <v>2919.7</v>
      </c>
      <c r="E93" s="32">
        <v>0</v>
      </c>
      <c r="F93" s="32">
        <v>532.0694632777404</v>
      </c>
      <c r="G93" s="32">
        <v>0</v>
      </c>
      <c r="H93" s="32">
        <v>0</v>
      </c>
      <c r="I93" s="32"/>
      <c r="J93" s="32"/>
      <c r="K93" s="32"/>
      <c r="L93" s="32">
        <v>3130.2038994474719</v>
      </c>
      <c r="M93" s="32">
        <v>0.73063576372878758</v>
      </c>
      <c r="N93" s="32">
        <v>0.72536236243510932</v>
      </c>
      <c r="O93" s="32">
        <v>0</v>
      </c>
      <c r="P93" s="32">
        <v>0</v>
      </c>
      <c r="Q93" s="32">
        <v>0</v>
      </c>
      <c r="R93" s="32">
        <v>106.10175862866241</v>
      </c>
      <c r="S93" s="32">
        <v>245.18502620445005</v>
      </c>
      <c r="T93" s="32">
        <v>0</v>
      </c>
      <c r="U93" s="32">
        <v>519.03093843485806</v>
      </c>
      <c r="V93" s="32">
        <v>31.924167796664424</v>
      </c>
      <c r="W93" s="32">
        <v>74.489724858883662</v>
      </c>
      <c r="X93" s="32">
        <v>0</v>
      </c>
      <c r="Y93" s="32">
        <v>0</v>
      </c>
      <c r="Z93" s="32">
        <v>0</v>
      </c>
      <c r="AA93" s="32">
        <v>0</v>
      </c>
      <c r="AB93" s="32">
        <v>0</v>
      </c>
      <c r="AC93" s="32">
        <v>0</v>
      </c>
      <c r="AD93" s="32">
        <v>0</v>
      </c>
      <c r="AE93" s="32">
        <v>0</v>
      </c>
      <c r="AF93" s="32">
        <v>0</v>
      </c>
      <c r="AG93" s="32">
        <v>0</v>
      </c>
      <c r="AH93" s="32">
        <v>138.02592642532684</v>
      </c>
      <c r="AI93" s="32">
        <v>319.6747510633337</v>
      </c>
      <c r="AJ93" s="32">
        <v>0</v>
      </c>
      <c r="AK93" s="32">
        <v>519.03093843485806</v>
      </c>
      <c r="AL93" s="32">
        <v>976.73161592351858</v>
      </c>
      <c r="AM93" s="32">
        <v>1500.3384624646255</v>
      </c>
      <c r="AN93" s="32">
        <v>258.16904017785203</v>
      </c>
      <c r="AO93" s="32">
        <v>0</v>
      </c>
      <c r="AP93" s="32">
        <v>0</v>
      </c>
      <c r="AQ93" s="32">
        <v>1758.5075026424774</v>
      </c>
      <c r="AR93" s="32">
        <v>138.02592642532684</v>
      </c>
      <c r="AS93" s="382">
        <v>12.740414414779128</v>
      </c>
      <c r="AT93" s="32">
        <v>1500.3384624646255</v>
      </c>
      <c r="AU93" s="32">
        <v>305.59524793934582</v>
      </c>
      <c r="AV93" s="32">
        <v>0</v>
      </c>
      <c r="AW93" s="32">
        <v>0</v>
      </c>
      <c r="AX93" s="32">
        <v>1805.9337104039714</v>
      </c>
      <c r="AY93" s="32">
        <v>319.6747510633337</v>
      </c>
      <c r="AZ93" s="382">
        <v>5.6492847946135765</v>
      </c>
      <c r="BA93" s="32">
        <v>1500.3384624646255</v>
      </c>
      <c r="BB93" s="32">
        <v>563.76428811719779</v>
      </c>
      <c r="BC93" s="32">
        <v>0</v>
      </c>
      <c r="BD93" s="32">
        <v>0</v>
      </c>
      <c r="BE93" s="32">
        <v>2064.1027505818233</v>
      </c>
      <c r="BF93" s="32">
        <v>457.70067748866052</v>
      </c>
      <c r="BG93" s="32">
        <v>-2.4932388965458538</v>
      </c>
      <c r="BH93" s="382">
        <v>4.5097218599440705</v>
      </c>
      <c r="BI93" s="32">
        <v>3.2445775365939626</v>
      </c>
      <c r="BJ93" s="32">
        <v>7.5145992001546054</v>
      </c>
      <c r="BK93" s="32">
        <v>0</v>
      </c>
      <c r="BL93" s="32">
        <v>12.200868106863254</v>
      </c>
      <c r="BM93" s="32">
        <v>22.960044843611822</v>
      </c>
      <c r="BN93" s="32">
        <v>1500.3384624646255</v>
      </c>
      <c r="BO93" s="32">
        <v>0</v>
      </c>
      <c r="BP93" s="32">
        <v>563.76428811719779</v>
      </c>
      <c r="BQ93" s="32">
        <v>0</v>
      </c>
      <c r="BR93" s="32">
        <v>0</v>
      </c>
      <c r="BS93" s="32">
        <v>0</v>
      </c>
      <c r="BT93" s="32">
        <v>0</v>
      </c>
      <c r="BU93" s="32">
        <v>0</v>
      </c>
      <c r="BV93" s="32">
        <v>0</v>
      </c>
      <c r="BW93" s="32">
        <v>0</v>
      </c>
      <c r="BX93" s="32">
        <v>870.31772326797045</v>
      </c>
      <c r="BY93" s="32">
        <v>106.41389265554808</v>
      </c>
      <c r="BZ93" s="32">
        <v>0</v>
      </c>
      <c r="CA93" s="32">
        <v>0</v>
      </c>
      <c r="CB93" s="32">
        <v>2064.1027505818233</v>
      </c>
      <c r="CC93" s="32">
        <v>976.73161592351858</v>
      </c>
      <c r="CD93" s="382">
        <v>2.1132752507762067</v>
      </c>
      <c r="CE93" s="32">
        <v>9.7076292103174033</v>
      </c>
      <c r="CF93" s="32">
        <v>29.73701583044155</v>
      </c>
      <c r="CG93" s="32">
        <v>0</v>
      </c>
      <c r="CH93" s="32">
        <v>29.73701583044155</v>
      </c>
      <c r="CI93" s="32">
        <v>1.4868468522375493</v>
      </c>
      <c r="CJ93" s="32">
        <v>0</v>
      </c>
      <c r="CK93" s="32">
        <v>1.4868468522375493</v>
      </c>
      <c r="CL93" s="32"/>
      <c r="CM93" s="32">
        <v>0</v>
      </c>
      <c r="CN93" s="32"/>
      <c r="CO93" s="32">
        <v>0</v>
      </c>
      <c r="CP93" s="32">
        <v>0</v>
      </c>
      <c r="CQ93" s="32">
        <v>0</v>
      </c>
      <c r="CR93" s="32">
        <v>0</v>
      </c>
      <c r="CS93" s="32">
        <v>0</v>
      </c>
      <c r="CT93" s="32">
        <v>0</v>
      </c>
      <c r="CU93" s="32">
        <v>0</v>
      </c>
      <c r="CV93" s="32">
        <v>9999</v>
      </c>
      <c r="CW93" s="382">
        <v>9999</v>
      </c>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row>
    <row r="94" spans="1:131">
      <c r="A94" s="11" t="s">
        <v>670</v>
      </c>
      <c r="B94" s="11"/>
      <c r="C94" s="32">
        <v>11.627906976744185</v>
      </c>
      <c r="D94" s="32">
        <v>666.5</v>
      </c>
      <c r="E94" s="32">
        <v>0</v>
      </c>
      <c r="F94" s="32">
        <v>162.01157721295672</v>
      </c>
      <c r="G94" s="32">
        <v>0</v>
      </c>
      <c r="H94" s="32">
        <v>0</v>
      </c>
      <c r="I94" s="32"/>
      <c r="J94" s="32"/>
      <c r="K94" s="32"/>
      <c r="L94" s="32">
        <v>714.55317292247162</v>
      </c>
      <c r="M94" s="32">
        <v>0.16678725092483371</v>
      </c>
      <c r="N94" s="32">
        <v>0.16558345534232982</v>
      </c>
      <c r="O94" s="32">
        <v>0</v>
      </c>
      <c r="P94" s="32">
        <v>0</v>
      </c>
      <c r="Q94" s="32">
        <v>0</v>
      </c>
      <c r="R94" s="32">
        <v>32.307272728269702</v>
      </c>
      <c r="S94" s="32">
        <v>74.657193366588231</v>
      </c>
      <c r="T94" s="32">
        <v>0</v>
      </c>
      <c r="U94" s="32">
        <v>158.0414339889638</v>
      </c>
      <c r="V94" s="32">
        <v>9.7206946327774038</v>
      </c>
      <c r="W94" s="32">
        <v>22.681620809813943</v>
      </c>
      <c r="X94" s="32">
        <v>0</v>
      </c>
      <c r="Y94" s="32">
        <v>0</v>
      </c>
      <c r="Z94" s="32">
        <v>0</v>
      </c>
      <c r="AA94" s="32">
        <v>0</v>
      </c>
      <c r="AB94" s="32">
        <v>0</v>
      </c>
      <c r="AC94" s="32">
        <v>0</v>
      </c>
      <c r="AD94" s="32">
        <v>0</v>
      </c>
      <c r="AE94" s="32">
        <v>0</v>
      </c>
      <c r="AF94" s="32">
        <v>0</v>
      </c>
      <c r="AG94" s="32">
        <v>0</v>
      </c>
      <c r="AH94" s="32">
        <v>42.027967361047104</v>
      </c>
      <c r="AI94" s="32">
        <v>97.338814176402167</v>
      </c>
      <c r="AJ94" s="32">
        <v>0</v>
      </c>
      <c r="AK94" s="32">
        <v>158.0414339889638</v>
      </c>
      <c r="AL94" s="32">
        <v>297.40821552641307</v>
      </c>
      <c r="AM94" s="32">
        <v>342.49257979678458</v>
      </c>
      <c r="AN94" s="32">
        <v>58.93402242646107</v>
      </c>
      <c r="AO94" s="32">
        <v>0</v>
      </c>
      <c r="AP94" s="32">
        <v>0</v>
      </c>
      <c r="AQ94" s="32">
        <v>401.42660222324565</v>
      </c>
      <c r="AR94" s="32">
        <v>42.027967361047104</v>
      </c>
      <c r="AS94" s="382">
        <v>9.5514160552837239</v>
      </c>
      <c r="AT94" s="32">
        <v>342.49257979678458</v>
      </c>
      <c r="AU94" s="32">
        <v>69.760329058318973</v>
      </c>
      <c r="AV94" s="32">
        <v>0</v>
      </c>
      <c r="AW94" s="32">
        <v>0</v>
      </c>
      <c r="AX94" s="32">
        <v>412.25290885510356</v>
      </c>
      <c r="AY94" s="32">
        <v>97.338814176402167</v>
      </c>
      <c r="AZ94" s="382">
        <v>4.2352366046703489</v>
      </c>
      <c r="BA94" s="32">
        <v>342.49257979678458</v>
      </c>
      <c r="BB94" s="32">
        <v>128.69435148478004</v>
      </c>
      <c r="BC94" s="32">
        <v>0</v>
      </c>
      <c r="BD94" s="32">
        <v>0</v>
      </c>
      <c r="BE94" s="32">
        <v>471.18693128156463</v>
      </c>
      <c r="BF94" s="32">
        <v>139.36678153744927</v>
      </c>
      <c r="BG94" s="32">
        <v>1.0990030039660381</v>
      </c>
      <c r="BH94" s="382">
        <v>3.3809127690514393</v>
      </c>
      <c r="BI94" s="32">
        <v>4.3278674259219372</v>
      </c>
      <c r="BJ94" s="32">
        <v>10.023551211338519</v>
      </c>
      <c r="BK94" s="32">
        <v>0</v>
      </c>
      <c r="BL94" s="32">
        <v>16.27445763034369</v>
      </c>
      <c r="BM94" s="32">
        <v>30.625876267604141</v>
      </c>
      <c r="BN94" s="32">
        <v>342.49257979678458</v>
      </c>
      <c r="BO94" s="32">
        <v>0</v>
      </c>
      <c r="BP94" s="32">
        <v>128.69435148478004</v>
      </c>
      <c r="BQ94" s="32">
        <v>0</v>
      </c>
      <c r="BR94" s="32">
        <v>0</v>
      </c>
      <c r="BS94" s="32">
        <v>0</v>
      </c>
      <c r="BT94" s="32">
        <v>0</v>
      </c>
      <c r="BU94" s="32">
        <v>0</v>
      </c>
      <c r="BV94" s="32">
        <v>0</v>
      </c>
      <c r="BW94" s="32">
        <v>0</v>
      </c>
      <c r="BX94" s="32">
        <v>265.00590008382176</v>
      </c>
      <c r="BY94" s="32">
        <v>32.402315442591345</v>
      </c>
      <c r="BZ94" s="32">
        <v>0</v>
      </c>
      <c r="CA94" s="32">
        <v>0</v>
      </c>
      <c r="CB94" s="32">
        <v>471.18693128156463</v>
      </c>
      <c r="CC94" s="32">
        <v>297.40821552641307</v>
      </c>
      <c r="CD94" s="382">
        <v>1.5843104079944896</v>
      </c>
      <c r="CE94" s="32">
        <v>17.37346063430973</v>
      </c>
      <c r="CF94" s="32">
        <v>6.788273127714926</v>
      </c>
      <c r="CG94" s="32">
        <v>0</v>
      </c>
      <c r="CH94" s="32">
        <v>6.788273127714926</v>
      </c>
      <c r="CI94" s="32">
        <v>0.33941275713817404</v>
      </c>
      <c r="CJ94" s="32">
        <v>0</v>
      </c>
      <c r="CK94" s="32">
        <v>0.33941275713817404</v>
      </c>
      <c r="CL94" s="32"/>
      <c r="CM94" s="32">
        <v>0</v>
      </c>
      <c r="CN94" s="32"/>
      <c r="CO94" s="32">
        <v>0</v>
      </c>
      <c r="CP94" s="32">
        <v>0</v>
      </c>
      <c r="CQ94" s="32">
        <v>0</v>
      </c>
      <c r="CR94" s="32">
        <v>0</v>
      </c>
      <c r="CS94" s="32">
        <v>0</v>
      </c>
      <c r="CT94" s="32">
        <v>0</v>
      </c>
      <c r="CU94" s="32">
        <v>0</v>
      </c>
      <c r="CV94" s="32">
        <v>9999</v>
      </c>
      <c r="CW94" s="382">
        <v>9999</v>
      </c>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row>
    <row r="95" spans="1:131">
      <c r="A95" s="11" t="s">
        <v>671</v>
      </c>
      <c r="B95" s="11"/>
      <c r="C95" s="32">
        <v>11.627906976744185</v>
      </c>
      <c r="D95" s="32">
        <v>1152.4000000000001</v>
      </c>
      <c r="E95" s="32">
        <v>0</v>
      </c>
      <c r="F95" s="32">
        <v>324.02315442591345</v>
      </c>
      <c r="G95" s="32">
        <v>0</v>
      </c>
      <c r="H95" s="32">
        <v>0</v>
      </c>
      <c r="I95" s="32"/>
      <c r="J95" s="32"/>
      <c r="K95" s="32"/>
      <c r="L95" s="32">
        <v>1235.4854860853059</v>
      </c>
      <c r="M95" s="32">
        <v>0.28838053708293826</v>
      </c>
      <c r="N95" s="32">
        <v>0.28629913568867355</v>
      </c>
      <c r="O95" s="32">
        <v>0</v>
      </c>
      <c r="P95" s="32">
        <v>0</v>
      </c>
      <c r="Q95" s="32">
        <v>0</v>
      </c>
      <c r="R95" s="32">
        <v>64.614545456539403</v>
      </c>
      <c r="S95" s="32">
        <v>149.31438673317646</v>
      </c>
      <c r="T95" s="32">
        <v>0</v>
      </c>
      <c r="U95" s="32">
        <v>316.08286797792761</v>
      </c>
      <c r="V95" s="32">
        <v>19.441389265554808</v>
      </c>
      <c r="W95" s="32">
        <v>45.363241619627885</v>
      </c>
      <c r="X95" s="32">
        <v>0</v>
      </c>
      <c r="Y95" s="32">
        <v>0</v>
      </c>
      <c r="Z95" s="32">
        <v>0</v>
      </c>
      <c r="AA95" s="32">
        <v>0</v>
      </c>
      <c r="AB95" s="32">
        <v>0</v>
      </c>
      <c r="AC95" s="32">
        <v>0</v>
      </c>
      <c r="AD95" s="32">
        <v>0</v>
      </c>
      <c r="AE95" s="32">
        <v>0</v>
      </c>
      <c r="AF95" s="32">
        <v>0</v>
      </c>
      <c r="AG95" s="32">
        <v>0</v>
      </c>
      <c r="AH95" s="32">
        <v>84.055934722094207</v>
      </c>
      <c r="AI95" s="32">
        <v>194.67762835280433</v>
      </c>
      <c r="AJ95" s="32">
        <v>0</v>
      </c>
      <c r="AK95" s="32">
        <v>316.08286797792761</v>
      </c>
      <c r="AL95" s="32">
        <v>594.81643105282615</v>
      </c>
      <c r="AM95" s="32">
        <v>592.18071861637611</v>
      </c>
      <c r="AN95" s="32">
        <v>101.89882587284885</v>
      </c>
      <c r="AO95" s="32">
        <v>0</v>
      </c>
      <c r="AP95" s="32">
        <v>0</v>
      </c>
      <c r="AQ95" s="32">
        <v>694.07954448922499</v>
      </c>
      <c r="AR95" s="32">
        <v>84.055934722094207</v>
      </c>
      <c r="AS95" s="382">
        <v>8.2573532348904486</v>
      </c>
      <c r="AT95" s="32">
        <v>592.18071861637611</v>
      </c>
      <c r="AU95" s="32">
        <v>120.61785927502898</v>
      </c>
      <c r="AV95" s="32">
        <v>0</v>
      </c>
      <c r="AW95" s="32">
        <v>0</v>
      </c>
      <c r="AX95" s="32">
        <v>712.7985778914051</v>
      </c>
      <c r="AY95" s="32">
        <v>194.67762835280433</v>
      </c>
      <c r="AZ95" s="382">
        <v>3.6614303550053351</v>
      </c>
      <c r="BA95" s="32">
        <v>592.18071861637611</v>
      </c>
      <c r="BB95" s="32">
        <v>222.51668514787781</v>
      </c>
      <c r="BC95" s="32">
        <v>0</v>
      </c>
      <c r="BD95" s="32">
        <v>0</v>
      </c>
      <c r="BE95" s="32">
        <v>814.69740376425398</v>
      </c>
      <c r="BF95" s="32">
        <v>278.73356307489854</v>
      </c>
      <c r="BG95" s="32">
        <v>3.3481059247307288</v>
      </c>
      <c r="BH95" s="382">
        <v>2.9228536196960841</v>
      </c>
      <c r="BI95" s="32">
        <v>5.0061153061037329</v>
      </c>
      <c r="BJ95" s="32">
        <v>11.59440625192142</v>
      </c>
      <c r="BK95" s="32">
        <v>0</v>
      </c>
      <c r="BL95" s="32">
        <v>18.824932333606505</v>
      </c>
      <c r="BM95" s="32">
        <v>35.425453891631655</v>
      </c>
      <c r="BN95" s="32">
        <v>592.18071861637611</v>
      </c>
      <c r="BO95" s="32">
        <v>0</v>
      </c>
      <c r="BP95" s="32">
        <v>222.51668514787781</v>
      </c>
      <c r="BQ95" s="32">
        <v>0</v>
      </c>
      <c r="BR95" s="32">
        <v>0</v>
      </c>
      <c r="BS95" s="32">
        <v>0</v>
      </c>
      <c r="BT95" s="32">
        <v>0</v>
      </c>
      <c r="BU95" s="32">
        <v>0</v>
      </c>
      <c r="BV95" s="32">
        <v>0</v>
      </c>
      <c r="BW95" s="32">
        <v>0</v>
      </c>
      <c r="BX95" s="32">
        <v>530.01180016764351</v>
      </c>
      <c r="BY95" s="32">
        <v>64.804630885182689</v>
      </c>
      <c r="BZ95" s="32">
        <v>0</v>
      </c>
      <c r="CA95" s="32">
        <v>0</v>
      </c>
      <c r="CB95" s="32">
        <v>814.69740376425398</v>
      </c>
      <c r="CC95" s="32">
        <v>594.81643105282615</v>
      </c>
      <c r="CD95" s="382">
        <v>1.3696619011049143</v>
      </c>
      <c r="CE95" s="32">
        <v>22.173038258337233</v>
      </c>
      <c r="CF95" s="32">
        <v>11.737143214371596</v>
      </c>
      <c r="CG95" s="32">
        <v>0</v>
      </c>
      <c r="CH95" s="32">
        <v>11.737143214371596</v>
      </c>
      <c r="CI95" s="32">
        <v>0.58685560589052044</v>
      </c>
      <c r="CJ95" s="32">
        <v>0</v>
      </c>
      <c r="CK95" s="32">
        <v>0.58685560589052044</v>
      </c>
      <c r="CL95" s="32"/>
      <c r="CM95" s="32">
        <v>0</v>
      </c>
      <c r="CN95" s="32"/>
      <c r="CO95" s="32">
        <v>0</v>
      </c>
      <c r="CP95" s="32">
        <v>0</v>
      </c>
      <c r="CQ95" s="32">
        <v>0</v>
      </c>
      <c r="CR95" s="32">
        <v>0</v>
      </c>
      <c r="CS95" s="32">
        <v>0</v>
      </c>
      <c r="CT95" s="32">
        <v>0</v>
      </c>
      <c r="CU95" s="32">
        <v>0</v>
      </c>
      <c r="CV95" s="32">
        <v>9999</v>
      </c>
      <c r="CW95" s="382">
        <v>9999</v>
      </c>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row>
    <row r="96" spans="1:131">
      <c r="A96" s="11" t="s">
        <v>672</v>
      </c>
      <c r="B96" s="11"/>
      <c r="C96" s="32">
        <v>11.627906976744184</v>
      </c>
      <c r="D96" s="32">
        <v>2919.7</v>
      </c>
      <c r="E96" s="32">
        <v>0</v>
      </c>
      <c r="F96" s="32">
        <v>972.0694632777404</v>
      </c>
      <c r="G96" s="32">
        <v>0</v>
      </c>
      <c r="H96" s="32">
        <v>0</v>
      </c>
      <c r="I96" s="32"/>
      <c r="J96" s="32"/>
      <c r="K96" s="32"/>
      <c r="L96" s="32">
        <v>3130.2038994474719</v>
      </c>
      <c r="M96" s="32">
        <v>0.73063576372878758</v>
      </c>
      <c r="N96" s="32">
        <v>0.72536236243510932</v>
      </c>
      <c r="O96" s="32">
        <v>0</v>
      </c>
      <c r="P96" s="32">
        <v>0</v>
      </c>
      <c r="Q96" s="32">
        <v>0</v>
      </c>
      <c r="R96" s="32">
        <v>193.8436363696182</v>
      </c>
      <c r="S96" s="32">
        <v>447.94316019952942</v>
      </c>
      <c r="T96" s="32">
        <v>0</v>
      </c>
      <c r="U96" s="32">
        <v>948.24860393378299</v>
      </c>
      <c r="V96" s="32">
        <v>58.324167796664426</v>
      </c>
      <c r="W96" s="32">
        <v>136.08972485888364</v>
      </c>
      <c r="X96" s="32">
        <v>0</v>
      </c>
      <c r="Y96" s="32">
        <v>0</v>
      </c>
      <c r="Z96" s="32">
        <v>0</v>
      </c>
      <c r="AA96" s="32">
        <v>0</v>
      </c>
      <c r="AB96" s="32">
        <v>0</v>
      </c>
      <c r="AC96" s="32">
        <v>0</v>
      </c>
      <c r="AD96" s="32">
        <v>0</v>
      </c>
      <c r="AE96" s="32">
        <v>0</v>
      </c>
      <c r="AF96" s="32">
        <v>0</v>
      </c>
      <c r="AG96" s="32">
        <v>0</v>
      </c>
      <c r="AH96" s="32">
        <v>252.16780416628262</v>
      </c>
      <c r="AI96" s="32">
        <v>584.03288505841306</v>
      </c>
      <c r="AJ96" s="32">
        <v>0</v>
      </c>
      <c r="AK96" s="32">
        <v>948.24860393378299</v>
      </c>
      <c r="AL96" s="32">
        <v>1784.4492931584787</v>
      </c>
      <c r="AM96" s="32">
        <v>1500.3384624646255</v>
      </c>
      <c r="AN96" s="32">
        <v>258.16904017785203</v>
      </c>
      <c r="AO96" s="32">
        <v>0</v>
      </c>
      <c r="AP96" s="32">
        <v>0</v>
      </c>
      <c r="AQ96" s="32">
        <v>1758.5075026424774</v>
      </c>
      <c r="AR96" s="32">
        <v>252.16780416628262</v>
      </c>
      <c r="AS96" s="382">
        <v>6.9735607543415634</v>
      </c>
      <c r="AT96" s="32">
        <v>1500.3384624646255</v>
      </c>
      <c r="AU96" s="32">
        <v>305.59524793934582</v>
      </c>
      <c r="AV96" s="32">
        <v>0</v>
      </c>
      <c r="AW96" s="32">
        <v>0</v>
      </c>
      <c r="AX96" s="32">
        <v>1805.9337104039714</v>
      </c>
      <c r="AY96" s="32">
        <v>584.03288505841306</v>
      </c>
      <c r="AZ96" s="382">
        <v>3.0921781231948056</v>
      </c>
      <c r="BA96" s="32">
        <v>1500.3384624646255</v>
      </c>
      <c r="BB96" s="32">
        <v>563.76428811719779</v>
      </c>
      <c r="BC96" s="32">
        <v>0</v>
      </c>
      <c r="BD96" s="32">
        <v>0</v>
      </c>
      <c r="BE96" s="32">
        <v>2064.1027505818233</v>
      </c>
      <c r="BF96" s="32">
        <v>836.20068922469568</v>
      </c>
      <c r="BG96" s="32">
        <v>6.4041665944702748</v>
      </c>
      <c r="BH96" s="382">
        <v>2.4684298604149775</v>
      </c>
      <c r="BI96" s="32">
        <v>5.9277123801287219</v>
      </c>
      <c r="BJ96" s="32">
        <v>13.72886984763597</v>
      </c>
      <c r="BK96" s="32">
        <v>0</v>
      </c>
      <c r="BL96" s="32">
        <v>22.290494250691658</v>
      </c>
      <c r="BM96" s="32">
        <v>41.947076478456346</v>
      </c>
      <c r="BN96" s="32">
        <v>1500.3384624646255</v>
      </c>
      <c r="BO96" s="32">
        <v>0</v>
      </c>
      <c r="BP96" s="32">
        <v>563.76428811719779</v>
      </c>
      <c r="BQ96" s="32">
        <v>0</v>
      </c>
      <c r="BR96" s="32">
        <v>0</v>
      </c>
      <c r="BS96" s="32">
        <v>0</v>
      </c>
      <c r="BT96" s="32">
        <v>0</v>
      </c>
      <c r="BU96" s="32">
        <v>0</v>
      </c>
      <c r="BV96" s="32">
        <v>0</v>
      </c>
      <c r="BW96" s="32">
        <v>0</v>
      </c>
      <c r="BX96" s="32">
        <v>1590.0354005029305</v>
      </c>
      <c r="BY96" s="32">
        <v>194.4138926555481</v>
      </c>
      <c r="BZ96" s="32">
        <v>0</v>
      </c>
      <c r="CA96" s="32">
        <v>0</v>
      </c>
      <c r="CB96" s="32">
        <v>2064.1027505818233</v>
      </c>
      <c r="CC96" s="32">
        <v>1784.4492931584787</v>
      </c>
      <c r="CD96" s="382">
        <v>1.1567169537938271</v>
      </c>
      <c r="CE96" s="32">
        <v>28.69466084516193</v>
      </c>
      <c r="CF96" s="32">
        <v>29.73701583044155</v>
      </c>
      <c r="CG96" s="32">
        <v>0</v>
      </c>
      <c r="CH96" s="32">
        <v>29.73701583044155</v>
      </c>
      <c r="CI96" s="32">
        <v>1.4868468522375493</v>
      </c>
      <c r="CJ96" s="32">
        <v>0</v>
      </c>
      <c r="CK96" s="32">
        <v>1.4868468522375493</v>
      </c>
      <c r="CL96" s="32"/>
      <c r="CM96" s="32">
        <v>0</v>
      </c>
      <c r="CN96" s="32"/>
      <c r="CO96" s="32">
        <v>0</v>
      </c>
      <c r="CP96" s="32">
        <v>0</v>
      </c>
      <c r="CQ96" s="32">
        <v>0</v>
      </c>
      <c r="CR96" s="32">
        <v>0</v>
      </c>
      <c r="CS96" s="32">
        <v>0</v>
      </c>
      <c r="CT96" s="32">
        <v>0</v>
      </c>
      <c r="CU96" s="32">
        <v>0</v>
      </c>
      <c r="CV96" s="32">
        <v>9999</v>
      </c>
      <c r="CW96" s="382">
        <v>9999</v>
      </c>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row>
    <row r="97" spans="1:131">
      <c r="A97" s="11" t="s">
        <v>668</v>
      </c>
      <c r="B97" s="11"/>
      <c r="C97" s="32">
        <v>11.627906976744187</v>
      </c>
      <c r="D97" s="32">
        <v>305.29999999999995</v>
      </c>
      <c r="E97" s="32">
        <v>0</v>
      </c>
      <c r="F97" s="32">
        <v>113.40810404906972</v>
      </c>
      <c r="G97" s="32">
        <v>0</v>
      </c>
      <c r="H97" s="32">
        <v>0</v>
      </c>
      <c r="I97" s="32"/>
      <c r="J97" s="32"/>
      <c r="K97" s="32"/>
      <c r="L97" s="32">
        <v>327.31145340319665</v>
      </c>
      <c r="M97" s="32">
        <v>7.6399321391375424E-2</v>
      </c>
      <c r="N97" s="32">
        <v>7.5847905350357528E-2</v>
      </c>
      <c r="O97" s="32">
        <v>0</v>
      </c>
      <c r="P97" s="32">
        <v>0</v>
      </c>
      <c r="Q97" s="32">
        <v>0</v>
      </c>
      <c r="R97" s="32">
        <v>22.61509090978879</v>
      </c>
      <c r="S97" s="32">
        <v>52.260035356611773</v>
      </c>
      <c r="T97" s="32">
        <v>0</v>
      </c>
      <c r="U97" s="32">
        <v>110.62900379227469</v>
      </c>
      <c r="V97" s="32">
        <v>6.8044862429441837</v>
      </c>
      <c r="W97" s="32">
        <v>15.877134566869762</v>
      </c>
      <c r="X97" s="32">
        <v>0</v>
      </c>
      <c r="Y97" s="32">
        <v>0</v>
      </c>
      <c r="Z97" s="32">
        <v>0</v>
      </c>
      <c r="AA97" s="32">
        <v>0</v>
      </c>
      <c r="AB97" s="32">
        <v>0</v>
      </c>
      <c r="AC97" s="32">
        <v>0</v>
      </c>
      <c r="AD97" s="32">
        <v>0</v>
      </c>
      <c r="AE97" s="32">
        <v>0</v>
      </c>
      <c r="AF97" s="32">
        <v>0</v>
      </c>
      <c r="AG97" s="32">
        <v>0</v>
      </c>
      <c r="AH97" s="32">
        <v>29.419577152732973</v>
      </c>
      <c r="AI97" s="32">
        <v>68.137169923481537</v>
      </c>
      <c r="AJ97" s="32">
        <v>0</v>
      </c>
      <c r="AK97" s="32">
        <v>110.62900379227469</v>
      </c>
      <c r="AL97" s="32">
        <v>208.18575086848921</v>
      </c>
      <c r="AM97" s="32">
        <v>156.88369784239811</v>
      </c>
      <c r="AN97" s="32">
        <v>26.995584466314426</v>
      </c>
      <c r="AO97" s="32">
        <v>0</v>
      </c>
      <c r="AP97" s="32">
        <v>0</v>
      </c>
      <c r="AQ97" s="32">
        <v>183.87928230871253</v>
      </c>
      <c r="AR97" s="32">
        <v>29.419577152732973</v>
      </c>
      <c r="AS97" s="382">
        <v>6.2502353910151562</v>
      </c>
      <c r="AT97" s="32">
        <v>156.88369784239811</v>
      </c>
      <c r="AU97" s="32">
        <v>31.954731375100945</v>
      </c>
      <c r="AV97" s="32">
        <v>0</v>
      </c>
      <c r="AW97" s="32">
        <v>0</v>
      </c>
      <c r="AX97" s="32">
        <v>188.83842921749905</v>
      </c>
      <c r="AY97" s="32">
        <v>68.137169923481537</v>
      </c>
      <c r="AZ97" s="382">
        <v>2.7714451514432694</v>
      </c>
      <c r="BA97" s="32">
        <v>156.88369784239811</v>
      </c>
      <c r="BB97" s="32">
        <v>58.950315841415375</v>
      </c>
      <c r="BC97" s="32">
        <v>0</v>
      </c>
      <c r="BD97" s="32">
        <v>0</v>
      </c>
      <c r="BE97" s="32">
        <v>215.83401368381348</v>
      </c>
      <c r="BF97" s="32">
        <v>97.556747076214521</v>
      </c>
      <c r="BG97" s="32">
        <v>8.6789776363219229</v>
      </c>
      <c r="BH97" s="382">
        <v>2.2123945309000197</v>
      </c>
      <c r="BI97" s="32">
        <v>6.6137128973595809</v>
      </c>
      <c r="BJ97" s="32">
        <v>15.317680372256754</v>
      </c>
      <c r="BK97" s="32">
        <v>0</v>
      </c>
      <c r="BL97" s="32">
        <v>24.870121871722404</v>
      </c>
      <c r="BM97" s="32">
        <v>46.801515141338747</v>
      </c>
      <c r="BN97" s="32">
        <v>156.88369784239811</v>
      </c>
      <c r="BO97" s="32">
        <v>0</v>
      </c>
      <c r="BP97" s="32">
        <v>58.950315841415375</v>
      </c>
      <c r="BQ97" s="32">
        <v>0</v>
      </c>
      <c r="BR97" s="32">
        <v>0</v>
      </c>
      <c r="BS97" s="32">
        <v>0</v>
      </c>
      <c r="BT97" s="32">
        <v>0</v>
      </c>
      <c r="BU97" s="32">
        <v>0</v>
      </c>
      <c r="BV97" s="32">
        <v>0</v>
      </c>
      <c r="BW97" s="32">
        <v>0</v>
      </c>
      <c r="BX97" s="32">
        <v>185.50413005867526</v>
      </c>
      <c r="BY97" s="32">
        <v>22.681620809813946</v>
      </c>
      <c r="BZ97" s="32">
        <v>0</v>
      </c>
      <c r="CA97" s="32">
        <v>0</v>
      </c>
      <c r="CB97" s="32">
        <v>215.83401368381348</v>
      </c>
      <c r="CC97" s="32">
        <v>208.18575086848921</v>
      </c>
      <c r="CD97" s="382">
        <v>1.0367376863374078</v>
      </c>
      <c r="CE97" s="32">
        <v>33.549099508044328</v>
      </c>
      <c r="CF97" s="32">
        <v>3.109467045598445</v>
      </c>
      <c r="CG97" s="32">
        <v>0</v>
      </c>
      <c r="CH97" s="32">
        <v>3.109467045598445</v>
      </c>
      <c r="CI97" s="32">
        <v>0.15547294036651843</v>
      </c>
      <c r="CJ97" s="32">
        <v>0</v>
      </c>
      <c r="CK97" s="32">
        <v>0.15547294036651843</v>
      </c>
      <c r="CL97" s="32"/>
      <c r="CM97" s="32">
        <v>0</v>
      </c>
      <c r="CN97" s="32"/>
      <c r="CO97" s="32">
        <v>0</v>
      </c>
      <c r="CP97" s="32">
        <v>0</v>
      </c>
      <c r="CQ97" s="32">
        <v>0</v>
      </c>
      <c r="CR97" s="32">
        <v>0</v>
      </c>
      <c r="CS97" s="32">
        <v>0</v>
      </c>
      <c r="CT97" s="32">
        <v>0</v>
      </c>
      <c r="CU97" s="32">
        <v>0</v>
      </c>
      <c r="CV97" s="32">
        <v>9999</v>
      </c>
      <c r="CW97" s="382">
        <v>9999</v>
      </c>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row>
    <row r="98" spans="1:131">
      <c r="A98" s="11" t="s">
        <v>669</v>
      </c>
      <c r="B98" s="11"/>
      <c r="C98" s="32">
        <v>11.627906976744185</v>
      </c>
      <c r="D98" s="32">
        <v>395.6</v>
      </c>
      <c r="E98" s="32">
        <v>0</v>
      </c>
      <c r="F98" s="32">
        <v>162.01157721295672</v>
      </c>
      <c r="G98" s="32">
        <v>0</v>
      </c>
      <c r="H98" s="32">
        <v>0</v>
      </c>
      <c r="I98" s="32"/>
      <c r="J98" s="32"/>
      <c r="K98" s="32"/>
      <c r="L98" s="32">
        <v>424.12188328301545</v>
      </c>
      <c r="M98" s="32">
        <v>9.8996303774740002E-2</v>
      </c>
      <c r="N98" s="32">
        <v>9.8281792848350619E-2</v>
      </c>
      <c r="O98" s="32">
        <v>0</v>
      </c>
      <c r="P98" s="32">
        <v>0</v>
      </c>
      <c r="Q98" s="32">
        <v>0</v>
      </c>
      <c r="R98" s="32">
        <v>32.307272728269702</v>
      </c>
      <c r="S98" s="32">
        <v>74.657193366588231</v>
      </c>
      <c r="T98" s="32">
        <v>0</v>
      </c>
      <c r="U98" s="32">
        <v>158.0414339889638</v>
      </c>
      <c r="V98" s="32">
        <v>9.7206946327774038</v>
      </c>
      <c r="W98" s="32">
        <v>22.681620809813943</v>
      </c>
      <c r="X98" s="32">
        <v>0</v>
      </c>
      <c r="Y98" s="32">
        <v>0</v>
      </c>
      <c r="Z98" s="32">
        <v>0</v>
      </c>
      <c r="AA98" s="32">
        <v>0</v>
      </c>
      <c r="AB98" s="32">
        <v>0</v>
      </c>
      <c r="AC98" s="32">
        <v>0</v>
      </c>
      <c r="AD98" s="32">
        <v>0</v>
      </c>
      <c r="AE98" s="32">
        <v>0</v>
      </c>
      <c r="AF98" s="32">
        <v>0</v>
      </c>
      <c r="AG98" s="32">
        <v>0</v>
      </c>
      <c r="AH98" s="32">
        <v>42.027967361047104</v>
      </c>
      <c r="AI98" s="32">
        <v>97.338814176402167</v>
      </c>
      <c r="AJ98" s="32">
        <v>0</v>
      </c>
      <c r="AK98" s="32">
        <v>158.0414339889638</v>
      </c>
      <c r="AL98" s="32">
        <v>297.40821552641307</v>
      </c>
      <c r="AM98" s="32">
        <v>203.28591833099458</v>
      </c>
      <c r="AN98" s="32">
        <v>34.980193956351101</v>
      </c>
      <c r="AO98" s="32">
        <v>0</v>
      </c>
      <c r="AP98" s="32">
        <v>0</v>
      </c>
      <c r="AQ98" s="32">
        <v>238.26611228734566</v>
      </c>
      <c r="AR98" s="32">
        <v>42.027967361047104</v>
      </c>
      <c r="AS98" s="382">
        <v>5.6692275941038845</v>
      </c>
      <c r="AT98" s="32">
        <v>203.28591833099458</v>
      </c>
      <c r="AU98" s="32">
        <v>41.406130795905469</v>
      </c>
      <c r="AV98" s="32">
        <v>0</v>
      </c>
      <c r="AW98" s="32">
        <v>0</v>
      </c>
      <c r="AX98" s="32">
        <v>244.69204912690003</v>
      </c>
      <c r="AY98" s="32">
        <v>97.338814176402167</v>
      </c>
      <c r="AZ98" s="382">
        <v>2.5138178556753026</v>
      </c>
      <c r="BA98" s="32">
        <v>203.28591833099458</v>
      </c>
      <c r="BB98" s="32">
        <v>76.38632475225657</v>
      </c>
      <c r="BC98" s="32">
        <v>0</v>
      </c>
      <c r="BD98" s="32">
        <v>0</v>
      </c>
      <c r="BE98" s="32">
        <v>279.67224308325115</v>
      </c>
      <c r="BF98" s="32">
        <v>139.36678153744927</v>
      </c>
      <c r="BG98" s="32">
        <v>10.926604896872652</v>
      </c>
      <c r="BH98" s="382">
        <v>2.0067353209853698</v>
      </c>
      <c r="BI98" s="32">
        <v>7.2915157719336987</v>
      </c>
      <c r="BJ98" s="32">
        <v>16.887504758233373</v>
      </c>
      <c r="BK98" s="32">
        <v>0</v>
      </c>
      <c r="BL98" s="32">
        <v>27.4189231815573</v>
      </c>
      <c r="BM98" s="32">
        <v>51.597943711724369</v>
      </c>
      <c r="BN98" s="32">
        <v>203.28591833099458</v>
      </c>
      <c r="BO98" s="32">
        <v>0</v>
      </c>
      <c r="BP98" s="32">
        <v>76.38632475225657</v>
      </c>
      <c r="BQ98" s="32">
        <v>0</v>
      </c>
      <c r="BR98" s="32">
        <v>0</v>
      </c>
      <c r="BS98" s="32">
        <v>0</v>
      </c>
      <c r="BT98" s="32">
        <v>0</v>
      </c>
      <c r="BU98" s="32">
        <v>0</v>
      </c>
      <c r="BV98" s="32">
        <v>0</v>
      </c>
      <c r="BW98" s="32">
        <v>0</v>
      </c>
      <c r="BX98" s="32">
        <v>265.00590008382176</v>
      </c>
      <c r="BY98" s="32">
        <v>32.402315442591345</v>
      </c>
      <c r="BZ98" s="32">
        <v>0</v>
      </c>
      <c r="CA98" s="32">
        <v>0</v>
      </c>
      <c r="CB98" s="32">
        <v>279.67224308325115</v>
      </c>
      <c r="CC98" s="32">
        <v>297.40821552641307</v>
      </c>
      <c r="CD98" s="383">
        <v>0.94036488732576129</v>
      </c>
      <c r="CE98" s="32">
        <v>38.34552807842995</v>
      </c>
      <c r="CF98" s="32">
        <v>4.0291685661275602</v>
      </c>
      <c r="CG98" s="32">
        <v>0</v>
      </c>
      <c r="CH98" s="32">
        <v>4.0291685661275602</v>
      </c>
      <c r="CI98" s="32">
        <v>0.20145789455943236</v>
      </c>
      <c r="CJ98" s="32">
        <v>0</v>
      </c>
      <c r="CK98" s="32">
        <v>0.20145789455943236</v>
      </c>
      <c r="CL98" s="32"/>
      <c r="CM98" s="32">
        <v>0</v>
      </c>
      <c r="CN98" s="32"/>
      <c r="CO98" s="32">
        <v>0</v>
      </c>
      <c r="CP98" s="32">
        <v>0</v>
      </c>
      <c r="CQ98" s="32">
        <v>0</v>
      </c>
      <c r="CR98" s="32">
        <v>0</v>
      </c>
      <c r="CS98" s="32">
        <v>0</v>
      </c>
      <c r="CT98" s="32">
        <v>0</v>
      </c>
      <c r="CU98" s="32">
        <v>0</v>
      </c>
      <c r="CV98" s="32">
        <v>9999</v>
      </c>
      <c r="CW98" s="382">
        <v>9999</v>
      </c>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row>
    <row r="99" spans="1:131">
      <c r="A99" s="11"/>
      <c r="B99" s="11"/>
      <c r="C99" s="32"/>
      <c r="D99" s="32"/>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c r="AG99" s="32"/>
      <c r="AH99" s="32"/>
      <c r="AI99" s="32"/>
      <c r="AJ99" s="32"/>
      <c r="AK99" s="32"/>
      <c r="AL99" s="32"/>
      <c r="AM99" s="32"/>
      <c r="AN99" s="32"/>
      <c r="AO99" s="32"/>
      <c r="AP99" s="32"/>
      <c r="AQ99" s="32"/>
      <c r="AR99" s="32"/>
      <c r="AS99" s="383"/>
      <c r="AT99" s="32"/>
      <c r="AU99" s="32"/>
      <c r="AV99" s="32"/>
      <c r="AW99" s="32"/>
      <c r="AX99" s="32"/>
      <c r="AY99" s="32"/>
      <c r="AZ99" s="383"/>
      <c r="BA99" s="32"/>
      <c r="BB99" s="32"/>
      <c r="BC99" s="32"/>
      <c r="BD99" s="32"/>
      <c r="BE99" s="32"/>
      <c r="BF99" s="32"/>
      <c r="BG99" s="32"/>
      <c r="BH99" s="383"/>
      <c r="BI99" s="32"/>
      <c r="BJ99" s="32"/>
      <c r="BK99" s="32"/>
      <c r="BL99" s="32"/>
      <c r="BM99" s="32"/>
      <c r="BN99" s="32"/>
      <c r="BO99" s="32"/>
      <c r="BP99" s="32"/>
      <c r="BQ99" s="32"/>
      <c r="BR99" s="32"/>
      <c r="BS99" s="32"/>
      <c r="BT99" s="32"/>
      <c r="BU99" s="32"/>
      <c r="BV99" s="32"/>
      <c r="BW99" s="32"/>
      <c r="BX99" s="32"/>
      <c r="BY99" s="32"/>
      <c r="BZ99" s="32"/>
      <c r="CA99" s="32"/>
      <c r="CB99" s="32"/>
      <c r="CC99" s="32"/>
      <c r="CD99" s="383"/>
      <c r="CE99" s="32"/>
      <c r="CF99" s="32"/>
      <c r="CG99" s="32"/>
      <c r="CH99" s="32"/>
      <c r="CI99" s="32"/>
      <c r="CJ99" s="32"/>
      <c r="CK99" s="32"/>
      <c r="CL99" s="32"/>
      <c r="CM99" s="32"/>
      <c r="CN99" s="32"/>
      <c r="CO99" s="32"/>
      <c r="CP99" s="32"/>
      <c r="CQ99" s="32"/>
      <c r="CR99" s="32"/>
      <c r="CS99" s="32"/>
      <c r="CT99" s="32"/>
      <c r="CU99" s="32"/>
      <c r="CV99" s="32"/>
      <c r="CW99" s="383"/>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row>
    <row r="100" spans="1:131">
      <c r="A100" s="11"/>
      <c r="B100" s="11"/>
      <c r="C100" s="32"/>
      <c r="D100" s="32"/>
      <c r="E100" s="32"/>
      <c r="F100" s="32"/>
      <c r="G100" s="32"/>
      <c r="H100" s="32"/>
      <c r="I100" s="32"/>
      <c r="J100" s="32"/>
      <c r="K100" s="32"/>
      <c r="L100" s="32"/>
      <c r="M100" s="32"/>
      <c r="N100" s="32"/>
      <c r="O100" s="32"/>
      <c r="P100" s="32"/>
      <c r="Q100" s="32"/>
      <c r="R100" s="32"/>
      <c r="S100" s="32"/>
      <c r="T100" s="32"/>
      <c r="U100" s="32"/>
      <c r="V100" s="32"/>
      <c r="W100" s="32"/>
      <c r="X100" s="32"/>
      <c r="Y100" s="32"/>
      <c r="Z100" s="32"/>
      <c r="AA100" s="32"/>
      <c r="AB100" s="32"/>
      <c r="AC100" s="32"/>
      <c r="AD100" s="32"/>
      <c r="AE100" s="32"/>
      <c r="AF100" s="32"/>
      <c r="AG100" s="32"/>
      <c r="AH100" s="32"/>
      <c r="AI100" s="32"/>
      <c r="AJ100" s="32"/>
      <c r="AK100" s="32"/>
      <c r="AL100" s="32"/>
      <c r="AM100" s="32"/>
      <c r="AN100" s="32"/>
      <c r="AO100" s="32"/>
      <c r="AP100" s="32"/>
      <c r="AQ100" s="32"/>
      <c r="AR100" s="32"/>
      <c r="AS100" s="383"/>
      <c r="AT100" s="32"/>
      <c r="AU100" s="32"/>
      <c r="AV100" s="32"/>
      <c r="AW100" s="32"/>
      <c r="AX100" s="32"/>
      <c r="AY100" s="32"/>
      <c r="AZ100" s="383"/>
      <c r="BA100" s="32"/>
      <c r="BB100" s="32"/>
      <c r="BC100" s="32"/>
      <c r="BD100" s="32"/>
      <c r="BE100" s="32"/>
      <c r="BF100" s="32"/>
      <c r="BG100" s="32"/>
      <c r="BH100" s="383"/>
      <c r="BI100" s="32"/>
      <c r="BJ100" s="32"/>
      <c r="BK100" s="32"/>
      <c r="BL100" s="32"/>
      <c r="BM100" s="32"/>
      <c r="BN100" s="32"/>
      <c r="BO100" s="32"/>
      <c r="BP100" s="32"/>
      <c r="BQ100" s="32"/>
      <c r="BR100" s="32"/>
      <c r="BS100" s="32"/>
      <c r="BT100" s="32"/>
      <c r="BU100" s="32"/>
      <c r="BV100" s="32"/>
      <c r="BW100" s="32"/>
      <c r="BX100" s="32"/>
      <c r="BY100" s="32"/>
      <c r="BZ100" s="32"/>
      <c r="CA100" s="32"/>
      <c r="CB100" s="32"/>
      <c r="CC100" s="32"/>
      <c r="CD100" s="383"/>
      <c r="CE100" s="32"/>
      <c r="CF100" s="32"/>
      <c r="CG100" s="32"/>
      <c r="CH100" s="32"/>
      <c r="CI100" s="32"/>
      <c r="CJ100" s="32"/>
      <c r="CK100" s="32"/>
      <c r="CL100" s="32"/>
      <c r="CM100" s="32"/>
      <c r="CN100" s="32"/>
      <c r="CO100" s="32"/>
      <c r="CP100" s="32"/>
      <c r="CQ100" s="32"/>
      <c r="CR100" s="32"/>
      <c r="CS100" s="32"/>
      <c r="CT100" s="32"/>
      <c r="CU100" s="32"/>
      <c r="CV100" s="32"/>
      <c r="CW100" s="383"/>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row>
    <row r="101" spans="1:131" ht="13.5" thickBot="1">
      <c r="A101" s="367" t="s">
        <v>612</v>
      </c>
      <c r="B101" s="369"/>
      <c r="C101" s="32"/>
      <c r="D101" s="32"/>
      <c r="E101" s="32"/>
      <c r="F101" s="32"/>
      <c r="G101" s="32"/>
      <c r="H101" s="32"/>
      <c r="I101" s="32"/>
      <c r="J101" s="32"/>
      <c r="K101" s="32"/>
      <c r="L101" s="32"/>
      <c r="M101" s="32"/>
      <c r="N101" s="32"/>
      <c r="O101" s="32"/>
      <c r="P101" s="32"/>
      <c r="Q101" s="32"/>
      <c r="R101" s="32"/>
      <c r="S101" s="32"/>
      <c r="T101" s="32"/>
      <c r="U101" s="32"/>
      <c r="V101" s="32"/>
      <c r="W101" s="32"/>
      <c r="X101" s="32"/>
      <c r="Y101" s="32"/>
      <c r="Z101" s="32"/>
      <c r="AA101" s="32"/>
      <c r="AB101" s="32"/>
      <c r="AC101" s="32"/>
      <c r="AD101" s="32"/>
      <c r="AE101" s="32"/>
      <c r="AF101" s="32"/>
      <c r="AG101" s="32"/>
      <c r="AH101" s="32"/>
      <c r="AI101" s="32"/>
      <c r="AJ101" s="32"/>
      <c r="AK101" s="32"/>
      <c r="AL101" s="32"/>
      <c r="AM101" s="32"/>
      <c r="AN101" s="32"/>
      <c r="AO101" s="32"/>
      <c r="AP101" s="32"/>
      <c r="AQ101" s="32"/>
      <c r="AR101" s="32"/>
      <c r="AS101" s="383"/>
      <c r="AT101" s="32"/>
      <c r="AU101" s="32"/>
      <c r="AV101" s="32"/>
      <c r="AW101" s="32"/>
      <c r="AX101" s="32"/>
      <c r="AY101" s="32"/>
      <c r="AZ101" s="383"/>
      <c r="BA101" s="32"/>
      <c r="BB101" s="32"/>
      <c r="BC101" s="32"/>
      <c r="BD101" s="32"/>
      <c r="BE101" s="32"/>
      <c r="BF101" s="32"/>
      <c r="BG101" s="32"/>
      <c r="BH101" s="383"/>
      <c r="BI101" s="32"/>
      <c r="BJ101" s="32"/>
      <c r="BK101" s="32"/>
      <c r="BL101" s="32"/>
      <c r="BM101" s="32"/>
      <c r="BN101" s="32"/>
      <c r="BO101" s="32"/>
      <c r="BP101" s="32"/>
      <c r="BQ101" s="32"/>
      <c r="BR101" s="32"/>
      <c r="BS101" s="32"/>
      <c r="BT101" s="32"/>
      <c r="BU101" s="32"/>
      <c r="BV101" s="32"/>
      <c r="BW101" s="32"/>
      <c r="BX101" s="32"/>
      <c r="BY101" s="32"/>
      <c r="BZ101" s="32"/>
      <c r="CA101" s="32"/>
      <c r="CB101" s="32"/>
      <c r="CC101" s="32"/>
      <c r="CD101" s="383"/>
      <c r="CE101" s="32"/>
      <c r="CF101" s="32"/>
      <c r="CG101" s="32"/>
      <c r="CH101" s="32"/>
      <c r="CI101" s="32"/>
      <c r="CJ101" s="32"/>
      <c r="CK101" s="32"/>
      <c r="CL101" s="32"/>
      <c r="CM101" s="32"/>
      <c r="CN101" s="32"/>
      <c r="CO101" s="32"/>
      <c r="CP101" s="32"/>
      <c r="CQ101" s="32"/>
      <c r="CR101" s="32"/>
      <c r="CS101" s="32"/>
      <c r="CT101" s="32"/>
      <c r="CU101" s="32"/>
      <c r="CV101" s="32"/>
      <c r="CW101" s="383"/>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row>
    <row r="102" spans="1:131" ht="13.5" thickBot="1">
      <c r="A102" s="384" t="s">
        <v>613</v>
      </c>
      <c r="B102" s="385"/>
      <c r="C102" s="386"/>
      <c r="D102" s="386"/>
      <c r="E102" s="386"/>
      <c r="F102" s="386"/>
      <c r="G102" s="386"/>
      <c r="H102" s="386"/>
      <c r="I102" s="386"/>
      <c r="J102" s="386"/>
      <c r="K102" s="386"/>
      <c r="L102" s="387"/>
      <c r="M102" s="388"/>
      <c r="N102" s="389" t="s">
        <v>954</v>
      </c>
      <c r="O102" s="386"/>
      <c r="P102" s="386"/>
      <c r="Q102" s="386"/>
      <c r="R102" s="386"/>
      <c r="S102" s="386"/>
      <c r="T102" s="386"/>
      <c r="U102" s="386"/>
      <c r="V102" s="386"/>
      <c r="W102" s="386"/>
      <c r="X102" s="386"/>
      <c r="Y102" s="387"/>
      <c r="Z102" s="388"/>
      <c r="AA102" s="389" t="s">
        <v>955</v>
      </c>
      <c r="AB102" s="386"/>
      <c r="AC102" s="386"/>
      <c r="AD102" s="386"/>
      <c r="AE102" s="386"/>
      <c r="AF102" s="386"/>
      <c r="AG102" s="386"/>
      <c r="AH102" s="386"/>
      <c r="AI102" s="386"/>
      <c r="AJ102" s="386"/>
      <c r="AK102" s="386"/>
      <c r="AL102" s="387"/>
      <c r="AM102" s="32"/>
      <c r="AN102" s="32"/>
      <c r="AO102" s="32"/>
      <c r="AP102" s="32"/>
      <c r="AQ102" s="32"/>
      <c r="AR102" s="32"/>
      <c r="AS102" s="383"/>
      <c r="AT102" s="32"/>
      <c r="AU102" s="32"/>
      <c r="AV102" s="32"/>
      <c r="AW102" s="32"/>
      <c r="AX102" s="32"/>
      <c r="AY102" s="32"/>
      <c r="AZ102" s="383"/>
      <c r="BA102" s="32"/>
      <c r="BB102" s="32"/>
      <c r="BC102" s="32"/>
      <c r="BD102" s="32"/>
      <c r="BE102" s="32"/>
      <c r="BF102" s="32"/>
      <c r="BG102" s="32"/>
      <c r="BH102" s="383"/>
      <c r="BI102" s="32"/>
      <c r="BJ102" s="32"/>
      <c r="BK102" s="32"/>
      <c r="BL102" s="32"/>
      <c r="BM102" s="32"/>
      <c r="BN102" s="32"/>
      <c r="BO102" s="32"/>
      <c r="BP102" s="32"/>
      <c r="BQ102" s="32"/>
      <c r="BR102" s="32"/>
      <c r="BS102" s="32"/>
      <c r="BT102" s="32"/>
      <c r="BU102" s="32"/>
      <c r="BV102" s="32"/>
      <c r="BW102" s="32"/>
      <c r="BX102" s="32"/>
      <c r="BY102" s="32"/>
      <c r="BZ102" s="32"/>
      <c r="CA102" s="32"/>
      <c r="CB102" s="32"/>
      <c r="CC102" s="32"/>
      <c r="CD102" s="383"/>
      <c r="CE102" s="32"/>
      <c r="CF102" s="32"/>
      <c r="CG102" s="32"/>
      <c r="CH102" s="32"/>
      <c r="CI102" s="32"/>
      <c r="CJ102" s="32"/>
      <c r="CK102" s="32"/>
      <c r="CL102" s="32"/>
      <c r="CM102" s="32"/>
      <c r="CN102" s="32"/>
      <c r="CO102" s="32"/>
      <c r="CP102" s="32"/>
      <c r="CQ102" s="32"/>
      <c r="CR102" s="32"/>
      <c r="CS102" s="32"/>
      <c r="CT102" s="32"/>
      <c r="CU102" s="32"/>
      <c r="CV102" s="32"/>
      <c r="CW102" s="383"/>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row>
    <row r="103" spans="1:131" ht="102">
      <c r="A103" s="378"/>
      <c r="B103" s="379" t="s">
        <v>614</v>
      </c>
      <c r="C103" s="380" t="s">
        <v>615</v>
      </c>
      <c r="D103" s="380" t="s">
        <v>616</v>
      </c>
      <c r="E103" s="380" t="s">
        <v>617</v>
      </c>
      <c r="F103" s="380" t="s">
        <v>618</v>
      </c>
      <c r="G103" s="380" t="s">
        <v>619</v>
      </c>
      <c r="H103" s="380" t="s">
        <v>620</v>
      </c>
      <c r="I103" s="380" t="s">
        <v>621</v>
      </c>
      <c r="J103" s="380" t="s">
        <v>622</v>
      </c>
      <c r="K103" s="380" t="s">
        <v>372</v>
      </c>
      <c r="L103" s="380" t="s">
        <v>371</v>
      </c>
      <c r="M103" s="380" t="s">
        <v>623</v>
      </c>
      <c r="N103" s="380" t="s">
        <v>624</v>
      </c>
      <c r="O103" s="380" t="s">
        <v>625</v>
      </c>
      <c r="P103" s="380" t="s">
        <v>626</v>
      </c>
      <c r="Q103" s="380" t="s">
        <v>627</v>
      </c>
      <c r="R103" s="380" t="s">
        <v>628</v>
      </c>
      <c r="S103" s="380" t="s">
        <v>629</v>
      </c>
      <c r="T103" s="380" t="s">
        <v>630</v>
      </c>
      <c r="U103" s="380" t="s">
        <v>631</v>
      </c>
      <c r="V103" s="380" t="s">
        <v>632</v>
      </c>
      <c r="W103" s="380" t="s">
        <v>633</v>
      </c>
      <c r="X103" s="380" t="s">
        <v>634</v>
      </c>
      <c r="Y103" s="380" t="s">
        <v>635</v>
      </c>
      <c r="Z103" s="380"/>
      <c r="AA103" s="380" t="s">
        <v>624</v>
      </c>
      <c r="AB103" s="380" t="s">
        <v>625</v>
      </c>
      <c r="AC103" s="380" t="s">
        <v>626</v>
      </c>
      <c r="AD103" s="380" t="s">
        <v>627</v>
      </c>
      <c r="AE103" s="380" t="s">
        <v>628</v>
      </c>
      <c r="AF103" s="380" t="s">
        <v>629</v>
      </c>
      <c r="AG103" s="380" t="s">
        <v>630</v>
      </c>
      <c r="AH103" s="380" t="s">
        <v>631</v>
      </c>
      <c r="AI103" s="380" t="s">
        <v>632</v>
      </c>
      <c r="AJ103" s="380" t="s">
        <v>633</v>
      </c>
      <c r="AK103" s="380" t="s">
        <v>634</v>
      </c>
      <c r="AL103" s="380" t="s">
        <v>635</v>
      </c>
      <c r="AM103" s="32"/>
      <c r="AN103" s="32"/>
      <c r="AO103" s="32"/>
      <c r="AP103" s="32"/>
      <c r="AQ103" s="32"/>
      <c r="AR103" s="32"/>
      <c r="AS103" s="383"/>
      <c r="AT103" s="32"/>
      <c r="AU103" s="32"/>
      <c r="AV103" s="32"/>
      <c r="AW103" s="32"/>
      <c r="AX103" s="32"/>
      <c r="AY103" s="32"/>
      <c r="AZ103" s="383"/>
      <c r="BA103" s="32"/>
      <c r="BB103" s="32"/>
      <c r="BC103" s="32"/>
      <c r="BD103" s="32"/>
      <c r="BE103" s="32"/>
      <c r="BF103" s="32"/>
      <c r="BG103" s="32"/>
      <c r="BH103" s="383"/>
      <c r="BI103" s="32"/>
      <c r="BJ103" s="32"/>
      <c r="BK103" s="32"/>
      <c r="BL103" s="32"/>
      <c r="BM103" s="32"/>
      <c r="BN103" s="32"/>
      <c r="BO103" s="32"/>
      <c r="BP103" s="32"/>
      <c r="BQ103" s="32"/>
      <c r="BR103" s="32"/>
      <c r="BS103" s="32"/>
      <c r="BT103" s="32"/>
      <c r="BU103" s="32"/>
      <c r="BV103" s="32"/>
      <c r="BW103" s="32"/>
      <c r="BX103" s="32"/>
      <c r="BY103" s="32"/>
      <c r="BZ103" s="32"/>
      <c r="CA103" s="32"/>
      <c r="CB103" s="32"/>
      <c r="CC103" s="32"/>
      <c r="CD103" s="383"/>
      <c r="CE103" s="32"/>
      <c r="CF103" s="32"/>
      <c r="CG103" s="32"/>
      <c r="CH103" s="32"/>
      <c r="CI103" s="32"/>
      <c r="CJ103" s="32"/>
      <c r="CK103" s="32"/>
      <c r="CL103" s="32"/>
      <c r="CM103" s="32"/>
      <c r="CN103" s="32"/>
      <c r="CO103" s="32"/>
      <c r="CP103" s="32"/>
      <c r="CQ103" s="32"/>
      <c r="CR103" s="32"/>
      <c r="CS103" s="32"/>
      <c r="CT103" s="32"/>
      <c r="CU103" s="32"/>
      <c r="CV103" s="32"/>
      <c r="CW103" s="383"/>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row>
    <row r="104" spans="1:131">
      <c r="A104" s="11"/>
      <c r="B104" s="390" t="s">
        <v>636</v>
      </c>
      <c r="C104" s="391">
        <v>11663.351790282923</v>
      </c>
      <c r="D104" s="391">
        <v>2395.0477523572745</v>
      </c>
      <c r="E104" s="391">
        <v>0</v>
      </c>
      <c r="F104" s="391">
        <v>2395.0477523572745</v>
      </c>
      <c r="G104" s="391">
        <v>3917.6322845304289</v>
      </c>
      <c r="H104" s="391">
        <v>7690.9866847894136</v>
      </c>
      <c r="I104" s="391">
        <v>1798.849823609821</v>
      </c>
      <c r="J104" s="391">
        <v>-3.2764626427946939</v>
      </c>
      <c r="K104" s="391">
        <v>11.463141765896507</v>
      </c>
      <c r="L104" s="382">
        <v>294.19011034946959</v>
      </c>
      <c r="M104" s="32">
        <v>110.80213556850815</v>
      </c>
      <c r="N104" s="166">
        <v>477.7013356956345</v>
      </c>
      <c r="O104" s="166">
        <v>353.14667773607118</v>
      </c>
      <c r="P104" s="166">
        <v>328.97241839117407</v>
      </c>
      <c r="Q104" s="166">
        <v>188.85438030684907</v>
      </c>
      <c r="R104" s="166">
        <v>151.70463176520093</v>
      </c>
      <c r="S104" s="166">
        <v>117.67841973358547</v>
      </c>
      <c r="T104" s="166">
        <v>122.79651226765861</v>
      </c>
      <c r="U104" s="166">
        <v>178.73437799092966</v>
      </c>
      <c r="V104" s="166">
        <v>225.81685699972539</v>
      </c>
      <c r="W104" s="166">
        <v>368.39470755776324</v>
      </c>
      <c r="X104" s="166">
        <v>426.61097260858998</v>
      </c>
      <c r="Y104" s="166">
        <v>502.53912323727792</v>
      </c>
      <c r="Z104" s="166"/>
      <c r="AA104" s="166">
        <v>791.71485176769158</v>
      </c>
      <c r="AB104" s="166">
        <v>686.74629342646028</v>
      </c>
      <c r="AC104" s="166">
        <v>692.31456978252777</v>
      </c>
      <c r="AD104" s="166">
        <v>659.25653894479376</v>
      </c>
      <c r="AE104" s="166">
        <v>607.20883046975371</v>
      </c>
      <c r="AF104" s="166">
        <v>551.70561853475488</v>
      </c>
      <c r="AG104" s="166">
        <v>602.44830077257643</v>
      </c>
      <c r="AH104" s="166">
        <v>650.52580108120139</v>
      </c>
      <c r="AI104" s="166">
        <v>701.19974678177687</v>
      </c>
      <c r="AJ104" s="166">
        <v>723.67786252514361</v>
      </c>
      <c r="AK104" s="166">
        <v>758.61650256344365</v>
      </c>
      <c r="AL104" s="166">
        <v>794.9864593423423</v>
      </c>
      <c r="AM104" s="32"/>
      <c r="AN104" s="32"/>
      <c r="AO104" s="32"/>
      <c r="AP104" s="32"/>
      <c r="AQ104" s="32"/>
      <c r="AR104" s="32"/>
      <c r="AS104" s="383"/>
      <c r="AT104" s="32"/>
      <c r="AU104" s="32"/>
      <c r="AV104" s="32"/>
      <c r="AW104" s="32"/>
      <c r="AX104" s="32"/>
      <c r="AY104" s="32"/>
      <c r="AZ104" s="383"/>
      <c r="BA104" s="32"/>
      <c r="BB104" s="32"/>
      <c r="BC104" s="32"/>
      <c r="BD104" s="32"/>
      <c r="BE104" s="32"/>
      <c r="BF104" s="32"/>
      <c r="BG104" s="32"/>
      <c r="BH104" s="383"/>
      <c r="BI104" s="32"/>
      <c r="BJ104" s="32"/>
      <c r="BK104" s="32"/>
      <c r="BL104" s="32"/>
      <c r="BM104" s="32"/>
      <c r="BN104" s="32"/>
      <c r="BO104" s="32"/>
      <c r="BP104" s="32"/>
      <c r="BQ104" s="32"/>
      <c r="BR104" s="32"/>
      <c r="BS104" s="32"/>
      <c r="BT104" s="32"/>
      <c r="BU104" s="32"/>
      <c r="BV104" s="32"/>
      <c r="BW104" s="32"/>
      <c r="BX104" s="32"/>
      <c r="BY104" s="32"/>
      <c r="BZ104" s="32"/>
      <c r="CA104" s="32"/>
      <c r="CB104" s="32"/>
      <c r="CC104" s="32"/>
      <c r="CD104" s="383"/>
      <c r="CE104" s="32"/>
      <c r="CF104" s="32"/>
      <c r="CG104" s="32"/>
      <c r="CH104" s="32"/>
      <c r="CI104" s="32"/>
      <c r="CJ104" s="32"/>
      <c r="CK104" s="32"/>
      <c r="CL104" s="32"/>
      <c r="CM104" s="32"/>
      <c r="CN104" s="32"/>
      <c r="CO104" s="32"/>
      <c r="CP104" s="32"/>
      <c r="CQ104" s="32"/>
      <c r="CR104" s="32"/>
      <c r="CS104" s="32"/>
      <c r="CT104" s="32"/>
      <c r="CU104" s="32"/>
      <c r="CV104" s="32"/>
      <c r="CW104" s="383"/>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row>
    <row r="105" spans="1:131">
      <c r="A105" s="11"/>
      <c r="B105" s="390" t="s">
        <v>637</v>
      </c>
      <c r="C105" s="391">
        <v>11239.229906999906</v>
      </c>
      <c r="D105" s="391">
        <v>2233.036175144317</v>
      </c>
      <c r="E105" s="391">
        <v>446.60723502886344</v>
      </c>
      <c r="F105" s="391">
        <v>2679.6434101731802</v>
      </c>
      <c r="G105" s="391">
        <v>4099.2336194754698</v>
      </c>
      <c r="H105" s="391">
        <v>7411.3144417061612</v>
      </c>
      <c r="I105" s="391">
        <v>2088.5484563757714</v>
      </c>
      <c r="J105" s="391">
        <v>-0.67641534095067235</v>
      </c>
      <c r="K105" s="391">
        <v>13.584724208387094</v>
      </c>
      <c r="L105" s="382">
        <v>303.71974558810973</v>
      </c>
      <c r="M105" s="32">
        <v>106.7729670023806</v>
      </c>
      <c r="N105" s="166">
        <v>145.57617779499375</v>
      </c>
      <c r="O105" s="166">
        <v>107.61900732589362</v>
      </c>
      <c r="P105" s="166">
        <v>100.25206900379254</v>
      </c>
      <c r="Q105" s="166">
        <v>57.552066093510142</v>
      </c>
      <c r="R105" s="166">
        <v>46.230937190106665</v>
      </c>
      <c r="S105" s="166">
        <v>35.861684432646008</v>
      </c>
      <c r="T105" s="166">
        <v>37.421387730578964</v>
      </c>
      <c r="U105" s="166">
        <v>54.468065387749725</v>
      </c>
      <c r="V105" s="166">
        <v>68.816125196358996</v>
      </c>
      <c r="W105" s="166">
        <v>112.26573894349228</v>
      </c>
      <c r="X105" s="166">
        <v>130.00674303605646</v>
      </c>
      <c r="Y105" s="166">
        <v>153.14532174543132</v>
      </c>
      <c r="Z105" s="166"/>
      <c r="AA105" s="166">
        <v>241.26962478770361</v>
      </c>
      <c r="AB105" s="166">
        <v>209.28118270031655</v>
      </c>
      <c r="AC105" s="166">
        <v>210.97807640408257</v>
      </c>
      <c r="AD105" s="166">
        <v>200.9038701685518</v>
      </c>
      <c r="AE105" s="166">
        <v>185.04269102457707</v>
      </c>
      <c r="AF105" s="166">
        <v>168.12847110288382</v>
      </c>
      <c r="AG105" s="166">
        <v>183.59195252792748</v>
      </c>
      <c r="AH105" s="166">
        <v>198.2432381951013</v>
      </c>
      <c r="AI105" s="166">
        <v>213.68577263586951</v>
      </c>
      <c r="AJ105" s="166">
        <v>220.5358229276228</v>
      </c>
      <c r="AK105" s="166">
        <v>231.18313180885968</v>
      </c>
      <c r="AL105" s="166">
        <v>242.26662456638181</v>
      </c>
      <c r="AM105" s="32"/>
      <c r="AN105" s="32"/>
      <c r="AO105" s="32"/>
      <c r="AP105" s="32"/>
      <c r="AQ105" s="32"/>
      <c r="AR105" s="32"/>
      <c r="AS105" s="383"/>
      <c r="AT105" s="32"/>
      <c r="AU105" s="32"/>
      <c r="AV105" s="32"/>
      <c r="AW105" s="32"/>
      <c r="AX105" s="32"/>
      <c r="AY105" s="32"/>
      <c r="AZ105" s="383"/>
      <c r="BA105" s="32"/>
      <c r="BB105" s="32"/>
      <c r="BC105" s="32"/>
      <c r="BD105" s="32"/>
      <c r="BE105" s="32"/>
      <c r="BF105" s="32"/>
      <c r="BG105" s="32"/>
      <c r="BH105" s="383"/>
      <c r="BI105" s="32"/>
      <c r="BJ105" s="32"/>
      <c r="BK105" s="32"/>
      <c r="BL105" s="32"/>
      <c r="BM105" s="32"/>
      <c r="BN105" s="32"/>
      <c r="BO105" s="32"/>
      <c r="BP105" s="32"/>
      <c r="BQ105" s="32"/>
      <c r="BR105" s="32"/>
      <c r="BS105" s="32"/>
      <c r="BT105" s="32"/>
      <c r="BU105" s="32"/>
      <c r="BV105" s="32"/>
      <c r="BW105" s="32"/>
      <c r="BX105" s="32"/>
      <c r="BY105" s="32"/>
      <c r="BZ105" s="32"/>
      <c r="CA105" s="32"/>
      <c r="CB105" s="32"/>
      <c r="CC105" s="32"/>
      <c r="CD105" s="383"/>
      <c r="CE105" s="32"/>
      <c r="CF105" s="32"/>
      <c r="CG105" s="32"/>
      <c r="CH105" s="32"/>
      <c r="CI105" s="32"/>
      <c r="CJ105" s="32"/>
      <c r="CK105" s="32"/>
      <c r="CL105" s="32"/>
      <c r="CM105" s="32"/>
      <c r="CN105" s="32"/>
      <c r="CO105" s="32"/>
      <c r="CP105" s="32"/>
      <c r="CQ105" s="32"/>
      <c r="CR105" s="32"/>
      <c r="CS105" s="32"/>
      <c r="CT105" s="32"/>
      <c r="CU105" s="32"/>
      <c r="CV105" s="32"/>
      <c r="CW105" s="383"/>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row>
    <row r="106" spans="1:131">
      <c r="A106" s="11"/>
      <c r="B106" s="390" t="s">
        <v>638</v>
      </c>
      <c r="C106" s="392"/>
      <c r="D106" s="392"/>
      <c r="E106" s="392"/>
      <c r="F106" s="392"/>
      <c r="G106" s="392"/>
      <c r="H106" s="392"/>
      <c r="I106" s="392"/>
      <c r="J106" s="392"/>
      <c r="K106" s="392"/>
      <c r="L106" s="383"/>
      <c r="M106" s="393"/>
      <c r="N106" s="393"/>
      <c r="O106" s="393"/>
      <c r="P106" s="393"/>
      <c r="Q106" s="393"/>
      <c r="R106" s="393"/>
      <c r="S106" s="393"/>
      <c r="T106" s="393"/>
      <c r="U106" s="393"/>
      <c r="V106" s="393"/>
      <c r="W106" s="393"/>
      <c r="X106" s="393"/>
      <c r="Y106" s="393"/>
      <c r="Z106" s="393"/>
      <c r="AA106" s="393"/>
      <c r="AB106" s="393"/>
      <c r="AC106" s="393"/>
      <c r="AD106" s="393"/>
      <c r="AE106" s="393"/>
      <c r="AF106" s="393"/>
      <c r="AG106" s="393"/>
      <c r="AH106" s="393"/>
      <c r="AI106" s="393"/>
      <c r="AJ106" s="393"/>
      <c r="AK106" s="393"/>
      <c r="AL106" s="393"/>
      <c r="AM106" s="32"/>
      <c r="AN106" s="32"/>
      <c r="AO106" s="32"/>
      <c r="AP106" s="32"/>
      <c r="AQ106" s="32"/>
      <c r="AR106" s="32"/>
      <c r="AS106" s="383"/>
      <c r="AT106" s="32"/>
      <c r="AU106" s="32"/>
      <c r="AV106" s="32"/>
      <c r="AW106" s="32"/>
      <c r="AX106" s="32"/>
      <c r="AY106" s="32"/>
      <c r="AZ106" s="383"/>
      <c r="BA106" s="32"/>
      <c r="BB106" s="32"/>
      <c r="BC106" s="32"/>
      <c r="BD106" s="32"/>
      <c r="BE106" s="32"/>
      <c r="BF106" s="32"/>
      <c r="BG106" s="32"/>
      <c r="BH106" s="383"/>
      <c r="BI106" s="32"/>
      <c r="BJ106" s="32"/>
      <c r="BK106" s="32"/>
      <c r="BL106" s="32"/>
      <c r="BM106" s="32"/>
      <c r="BN106" s="32"/>
      <c r="BO106" s="32"/>
      <c r="BP106" s="32"/>
      <c r="BQ106" s="32"/>
      <c r="BR106" s="32"/>
      <c r="BS106" s="32"/>
      <c r="BT106" s="32"/>
      <c r="BU106" s="32"/>
      <c r="BV106" s="32"/>
      <c r="BW106" s="32"/>
      <c r="BX106" s="32"/>
      <c r="BY106" s="32"/>
      <c r="BZ106" s="32"/>
      <c r="CA106" s="32"/>
      <c r="CB106" s="32"/>
      <c r="CC106" s="32"/>
      <c r="CD106" s="383"/>
      <c r="CE106" s="32"/>
      <c r="CF106" s="32"/>
      <c r="CG106" s="32"/>
      <c r="CH106" s="32"/>
      <c r="CI106" s="32"/>
      <c r="CJ106" s="32"/>
      <c r="CK106" s="32"/>
      <c r="CL106" s="32"/>
      <c r="CM106" s="32"/>
      <c r="CN106" s="32"/>
      <c r="CO106" s="32"/>
      <c r="CP106" s="32"/>
      <c r="CQ106" s="32"/>
      <c r="CR106" s="32"/>
      <c r="CS106" s="32"/>
      <c r="CT106" s="32"/>
      <c r="CU106" s="32"/>
      <c r="CV106" s="32"/>
      <c r="CW106" s="383"/>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row>
    <row r="107" spans="1:131">
      <c r="A107" s="11"/>
      <c r="B107" s="11" t="s">
        <v>639</v>
      </c>
      <c r="C107" s="32">
        <v>1465.9865096086837</v>
      </c>
      <c r="D107" s="32">
        <v>-4.5687415250168328</v>
      </c>
      <c r="E107" s="32">
        <v>-0.91374830500336657</v>
      </c>
      <c r="F107" s="32">
        <v>-5.4824898300201994</v>
      </c>
      <c r="G107" s="32">
        <v>-8.3869393010761506</v>
      </c>
      <c r="H107" s="32">
        <v>966.69318804862928</v>
      </c>
      <c r="I107" s="32">
        <v>-32.760609048030538</v>
      </c>
      <c r="J107" s="32">
        <v>-13.449680593897877</v>
      </c>
      <c r="K107" s="32">
        <v>-13.673378356776691</v>
      </c>
      <c r="L107" s="382">
        <v>2316.5871640423334</v>
      </c>
      <c r="M107" s="32">
        <v>13.926908739440933</v>
      </c>
      <c r="N107" s="166">
        <v>60.043092787040223</v>
      </c>
      <c r="O107" s="166">
        <v>44.387606134415272</v>
      </c>
      <c r="P107" s="166">
        <v>41.349102390669302</v>
      </c>
      <c r="Q107" s="166">
        <v>23.737428038568382</v>
      </c>
      <c r="R107" s="166">
        <v>19.068013004479795</v>
      </c>
      <c r="S107" s="166">
        <v>14.791200583114698</v>
      </c>
      <c r="T107" s="166">
        <v>15.434502332456695</v>
      </c>
      <c r="U107" s="166">
        <v>22.465427747476539</v>
      </c>
      <c r="V107" s="166">
        <v>28.383304555696707</v>
      </c>
      <c r="W107" s="166">
        <v>46.304156918327557</v>
      </c>
      <c r="X107" s="166">
        <v>53.621458217206168</v>
      </c>
      <c r="Y107" s="166">
        <v>63.164996517570899</v>
      </c>
      <c r="Z107" s="166"/>
      <c r="AA107" s="166">
        <v>99.511985320998377</v>
      </c>
      <c r="AB107" s="166">
        <v>86.318308818029408</v>
      </c>
      <c r="AC107" s="166">
        <v>87.018194937092431</v>
      </c>
      <c r="AD107" s="166">
        <v>82.863074855511627</v>
      </c>
      <c r="AE107" s="166">
        <v>76.321109916751652</v>
      </c>
      <c r="AF107" s="166">
        <v>69.344816875119392</v>
      </c>
      <c r="AG107" s="166">
        <v>75.722750848094606</v>
      </c>
      <c r="AH107" s="166">
        <v>81.765693574633218</v>
      </c>
      <c r="AI107" s="166">
        <v>88.134987935417001</v>
      </c>
      <c r="AJ107" s="166">
        <v>90.960300507112919</v>
      </c>
      <c r="AK107" s="166">
        <v>95.35179755540517</v>
      </c>
      <c r="AL107" s="166">
        <v>99.923199237495993</v>
      </c>
      <c r="AM107" s="32"/>
      <c r="AN107" s="32"/>
      <c r="AO107" s="32"/>
      <c r="AP107" s="32"/>
      <c r="AQ107" s="32"/>
      <c r="AR107" s="32"/>
      <c r="AS107" s="383"/>
      <c r="AT107" s="32"/>
      <c r="AU107" s="32"/>
      <c r="AV107" s="32"/>
      <c r="AW107" s="32"/>
      <c r="AX107" s="32"/>
      <c r="AY107" s="32"/>
      <c r="AZ107" s="383"/>
      <c r="BA107" s="32"/>
      <c r="BB107" s="32"/>
      <c r="BC107" s="32"/>
      <c r="BD107" s="32"/>
      <c r="BE107" s="32"/>
      <c r="BF107" s="32"/>
      <c r="BG107" s="32"/>
      <c r="BH107" s="383"/>
      <c r="BI107" s="32"/>
      <c r="BJ107" s="32"/>
      <c r="BK107" s="32"/>
      <c r="BL107" s="32"/>
      <c r="BM107" s="32"/>
      <c r="BN107" s="32"/>
      <c r="BO107" s="32"/>
      <c r="BP107" s="32"/>
      <c r="BQ107" s="32"/>
      <c r="BR107" s="32"/>
      <c r="BS107" s="32"/>
      <c r="BT107" s="32"/>
      <c r="BU107" s="32"/>
      <c r="BV107" s="32"/>
      <c r="BW107" s="32"/>
      <c r="BX107" s="32"/>
      <c r="BY107" s="32"/>
      <c r="BZ107" s="32"/>
      <c r="CA107" s="32"/>
      <c r="CB107" s="32"/>
      <c r="CC107" s="32"/>
      <c r="CD107" s="383"/>
      <c r="CE107" s="32"/>
      <c r="CF107" s="32"/>
      <c r="CG107" s="32"/>
      <c r="CH107" s="32"/>
      <c r="CI107" s="32"/>
      <c r="CJ107" s="32"/>
      <c r="CK107" s="32"/>
      <c r="CL107" s="32"/>
      <c r="CM107" s="32"/>
      <c r="CN107" s="32"/>
      <c r="CO107" s="32"/>
      <c r="CP107" s="32"/>
      <c r="CQ107" s="32"/>
      <c r="CR107" s="32"/>
      <c r="CS107" s="32"/>
      <c r="CT107" s="32"/>
      <c r="CU107" s="32"/>
      <c r="CV107" s="32"/>
      <c r="CW107" s="383"/>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row>
    <row r="108" spans="1:131">
      <c r="A108" s="11"/>
      <c r="B108" s="11" t="s">
        <v>640</v>
      </c>
      <c r="C108" s="32">
        <v>4365.689385532778</v>
      </c>
      <c r="D108" s="32">
        <v>666.09261770365379</v>
      </c>
      <c r="E108" s="32">
        <v>133.21852354073076</v>
      </c>
      <c r="F108" s="32">
        <v>799.31114124438454</v>
      </c>
      <c r="G108" s="32">
        <v>1222.7608681703393</v>
      </c>
      <c r="H108" s="32">
        <v>2878.8001543460773</v>
      </c>
      <c r="I108" s="32">
        <v>1603.8625240962501</v>
      </c>
      <c r="J108" s="32">
        <v>-3.5949066057496921</v>
      </c>
      <c r="K108" s="32">
        <v>7.3566742418312918</v>
      </c>
      <c r="L108" s="382">
        <v>2.4523388471574119</v>
      </c>
      <c r="M108" s="32">
        <v>41.474159044813149</v>
      </c>
      <c r="N108" s="166">
        <v>178.80757506077703</v>
      </c>
      <c r="O108" s="166">
        <v>132.18573273362031</v>
      </c>
      <c r="P108" s="166">
        <v>123.13710680491769</v>
      </c>
      <c r="Q108" s="166">
        <v>70.689762114856165</v>
      </c>
      <c r="R108" s="166">
        <v>56.784302878120641</v>
      </c>
      <c r="S108" s="166">
        <v>44.048009283678041</v>
      </c>
      <c r="T108" s="166">
        <v>45.963753801372604</v>
      </c>
      <c r="U108" s="166">
        <v>66.901761247988318</v>
      </c>
      <c r="V108" s="166">
        <v>84.525123944165983</v>
      </c>
      <c r="W108" s="166">
        <v>137.89319686055407</v>
      </c>
      <c r="X108" s="166">
        <v>159.68402808708879</v>
      </c>
      <c r="Y108" s="166">
        <v>188.10456510106803</v>
      </c>
      <c r="Z108" s="166"/>
      <c r="AA108" s="166">
        <v>296.34544056284733</v>
      </c>
      <c r="AB108" s="166">
        <v>257.05483789520076</v>
      </c>
      <c r="AC108" s="166">
        <v>259.13908995417148</v>
      </c>
      <c r="AD108" s="166">
        <v>246.76519461688528</v>
      </c>
      <c r="AE108" s="166">
        <v>227.28330531812514</v>
      </c>
      <c r="AF108" s="166">
        <v>206.50799239225807</v>
      </c>
      <c r="AG108" s="166">
        <v>225.50139953819368</v>
      </c>
      <c r="AH108" s="166">
        <v>243.49720696596751</v>
      </c>
      <c r="AI108" s="166">
        <v>262.4648854554714</v>
      </c>
      <c r="AJ108" s="166">
        <v>270.87863075545891</v>
      </c>
      <c r="AK108" s="166">
        <v>283.95645372631662</v>
      </c>
      <c r="AL108" s="166">
        <v>297.57003043367524</v>
      </c>
      <c r="AM108" s="32"/>
      <c r="AN108" s="32"/>
      <c r="AO108" s="32"/>
      <c r="AP108" s="32"/>
      <c r="AQ108" s="32"/>
      <c r="AR108" s="32"/>
      <c r="AS108" s="383"/>
      <c r="AT108" s="32"/>
      <c r="AU108" s="32"/>
      <c r="AV108" s="32"/>
      <c r="AW108" s="32"/>
      <c r="AX108" s="32"/>
      <c r="AY108" s="32"/>
      <c r="AZ108" s="383"/>
      <c r="BA108" s="32"/>
      <c r="BB108" s="32"/>
      <c r="BC108" s="32"/>
      <c r="BD108" s="32"/>
      <c r="BE108" s="32"/>
      <c r="BF108" s="32"/>
      <c r="BG108" s="32"/>
      <c r="BH108" s="383"/>
      <c r="BI108" s="32"/>
      <c r="BJ108" s="32"/>
      <c r="BK108" s="32"/>
      <c r="BL108" s="32"/>
      <c r="BM108" s="32"/>
      <c r="BN108" s="32"/>
      <c r="BO108" s="32"/>
      <c r="BP108" s="32"/>
      <c r="BQ108" s="32"/>
      <c r="BR108" s="32"/>
      <c r="BS108" s="32"/>
      <c r="BT108" s="32"/>
      <c r="BU108" s="32"/>
      <c r="BV108" s="32"/>
      <c r="BW108" s="32"/>
      <c r="BX108" s="32"/>
      <c r="BY108" s="32"/>
      <c r="BZ108" s="32"/>
      <c r="CA108" s="32"/>
      <c r="CB108" s="32"/>
      <c r="CC108" s="32"/>
      <c r="CD108" s="383"/>
      <c r="CE108" s="32"/>
      <c r="CF108" s="32"/>
      <c r="CG108" s="32"/>
      <c r="CH108" s="32"/>
      <c r="CI108" s="32"/>
      <c r="CJ108" s="32"/>
      <c r="CK108" s="32"/>
      <c r="CL108" s="32"/>
      <c r="CM108" s="32"/>
      <c r="CN108" s="32"/>
      <c r="CO108" s="32"/>
      <c r="CP108" s="32"/>
      <c r="CQ108" s="32"/>
      <c r="CR108" s="32"/>
      <c r="CS108" s="32"/>
      <c r="CT108" s="32"/>
      <c r="CU108" s="32"/>
      <c r="CV108" s="32"/>
      <c r="CW108" s="383"/>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row>
    <row r="109" spans="1:131">
      <c r="A109" s="11"/>
      <c r="B109" s="11" t="s">
        <v>641</v>
      </c>
      <c r="C109" s="32">
        <v>714.55317292247162</v>
      </c>
      <c r="D109" s="32">
        <v>162.01157721295672</v>
      </c>
      <c r="E109" s="32">
        <v>32.402315442591345</v>
      </c>
      <c r="F109" s="32">
        <v>194.41389265554807</v>
      </c>
      <c r="G109" s="32">
        <v>297.40821552641307</v>
      </c>
      <c r="H109" s="32">
        <v>471.18693128156463</v>
      </c>
      <c r="I109" s="32">
        <v>2383.3995344211876</v>
      </c>
      <c r="J109" s="32">
        <v>1.0990030039660381</v>
      </c>
      <c r="K109" s="32">
        <v>17.37346063430973</v>
      </c>
      <c r="L109" s="382">
        <v>1.5843104079944896</v>
      </c>
      <c r="M109" s="32">
        <v>6.788273127714926</v>
      </c>
      <c r="N109" s="166">
        <v>29.266287364752312</v>
      </c>
      <c r="O109" s="166">
        <v>21.635468398850211</v>
      </c>
      <c r="P109" s="166">
        <v>20.154436699854532</v>
      </c>
      <c r="Q109" s="166">
        <v>11.570130018799055</v>
      </c>
      <c r="R109" s="166">
        <v>9.2941572820577623</v>
      </c>
      <c r="S109" s="166">
        <v>7.2095474540338929</v>
      </c>
      <c r="T109" s="166">
        <v>7.5231064828012189</v>
      </c>
      <c r="U109" s="166">
        <v>10.950129876914666</v>
      </c>
      <c r="V109" s="166">
        <v>13.834629579034559</v>
      </c>
      <c r="W109" s="166">
        <v>22.569636233776009</v>
      </c>
      <c r="X109" s="166">
        <v>26.136245357443258</v>
      </c>
      <c r="Y109" s="166">
        <v>30.787970000702796</v>
      </c>
      <c r="Z109" s="166"/>
      <c r="AA109" s="166">
        <v>48.504269574700466</v>
      </c>
      <c r="AB109" s="166">
        <v>42.07338951822188</v>
      </c>
      <c r="AC109" s="166">
        <v>42.414528978771465</v>
      </c>
      <c r="AD109" s="166">
        <v>40.389234599384601</v>
      </c>
      <c r="AE109" s="166">
        <v>37.200540997158818</v>
      </c>
      <c r="AF109" s="166">
        <v>33.800146590073922</v>
      </c>
      <c r="AG109" s="166">
        <v>36.908887991995798</v>
      </c>
      <c r="AH109" s="166">
        <v>39.854347497069654</v>
      </c>
      <c r="AI109" s="166">
        <v>42.958877767263004</v>
      </c>
      <c r="AJ109" s="166">
        <v>44.335995530196548</v>
      </c>
      <c r="AK109" s="166">
        <v>46.476505097760381</v>
      </c>
      <c r="AL109" s="166">
        <v>48.70470403085497</v>
      </c>
      <c r="AM109" s="32"/>
      <c r="AN109" s="32"/>
      <c r="AO109" s="32"/>
      <c r="AP109" s="32"/>
      <c r="AQ109" s="32"/>
      <c r="AR109" s="32"/>
      <c r="AS109" s="383"/>
      <c r="AT109" s="32"/>
      <c r="AU109" s="32"/>
      <c r="AV109" s="32"/>
      <c r="AW109" s="32"/>
      <c r="AX109" s="32"/>
      <c r="AY109" s="32"/>
      <c r="AZ109" s="383"/>
      <c r="BA109" s="32"/>
      <c r="BB109" s="32"/>
      <c r="BC109" s="32"/>
      <c r="BD109" s="32"/>
      <c r="BE109" s="32"/>
      <c r="BF109" s="32"/>
      <c r="BG109" s="32"/>
      <c r="BH109" s="383"/>
      <c r="BI109" s="32"/>
      <c r="BJ109" s="32"/>
      <c r="BK109" s="32"/>
      <c r="BL109" s="32"/>
      <c r="BM109" s="32"/>
      <c r="BN109" s="32"/>
      <c r="BO109" s="32"/>
      <c r="BP109" s="32"/>
      <c r="BQ109" s="32"/>
      <c r="BR109" s="32"/>
      <c r="BS109" s="32"/>
      <c r="BT109" s="32"/>
      <c r="BU109" s="32"/>
      <c r="BV109" s="32"/>
      <c r="BW109" s="32"/>
      <c r="BX109" s="32"/>
      <c r="BY109" s="32"/>
      <c r="BZ109" s="32"/>
      <c r="CA109" s="32"/>
      <c r="CB109" s="32"/>
      <c r="CC109" s="32"/>
      <c r="CD109" s="383"/>
      <c r="CE109" s="32"/>
      <c r="CF109" s="32"/>
      <c r="CG109" s="32"/>
      <c r="CH109" s="32"/>
      <c r="CI109" s="32"/>
      <c r="CJ109" s="32"/>
      <c r="CK109" s="32"/>
      <c r="CL109" s="32"/>
      <c r="CM109" s="32"/>
      <c r="CN109" s="32"/>
      <c r="CO109" s="32"/>
      <c r="CP109" s="32"/>
      <c r="CQ109" s="32"/>
      <c r="CR109" s="32"/>
      <c r="CS109" s="32"/>
      <c r="CT109" s="32"/>
      <c r="CU109" s="32"/>
      <c r="CV109" s="32"/>
      <c r="CW109" s="383"/>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row>
    <row r="110" spans="1:131">
      <c r="A110" s="11"/>
      <c r="B110" s="11" t="s">
        <v>642</v>
      </c>
      <c r="C110" s="32">
        <v>4365.689385532778</v>
      </c>
      <c r="D110" s="32">
        <v>1296.0926177036538</v>
      </c>
      <c r="E110" s="32">
        <v>259.21852354073076</v>
      </c>
      <c r="F110" s="32">
        <v>1555.3111412443845</v>
      </c>
      <c r="G110" s="32">
        <v>2379.2657242113046</v>
      </c>
      <c r="H110" s="32">
        <v>2878.8001543460773</v>
      </c>
      <c r="I110" s="32">
        <v>3120.8188201502348</v>
      </c>
      <c r="J110" s="32">
        <v>5.5393046520307827</v>
      </c>
      <c r="K110" s="32">
        <v>26.84904853970362</v>
      </c>
      <c r="L110" s="382">
        <v>1.2169801490201959</v>
      </c>
      <c r="M110" s="32">
        <v>41.474159044813149</v>
      </c>
      <c r="N110" s="166">
        <v>178.80757506077703</v>
      </c>
      <c r="O110" s="166">
        <v>132.18573273362031</v>
      </c>
      <c r="P110" s="166">
        <v>123.13710680491769</v>
      </c>
      <c r="Q110" s="166">
        <v>70.689762114856165</v>
      </c>
      <c r="R110" s="166">
        <v>56.784302878120641</v>
      </c>
      <c r="S110" s="166">
        <v>44.048009283678041</v>
      </c>
      <c r="T110" s="166">
        <v>45.963753801372604</v>
      </c>
      <c r="U110" s="166">
        <v>66.901761247988318</v>
      </c>
      <c r="V110" s="166">
        <v>84.525123944165983</v>
      </c>
      <c r="W110" s="166">
        <v>137.89319686055407</v>
      </c>
      <c r="X110" s="166">
        <v>159.68402808708879</v>
      </c>
      <c r="Y110" s="166">
        <v>188.10456510106803</v>
      </c>
      <c r="Z110" s="166"/>
      <c r="AA110" s="166">
        <v>296.34544056284733</v>
      </c>
      <c r="AB110" s="166">
        <v>257.05483789520076</v>
      </c>
      <c r="AC110" s="166">
        <v>259.13908995417148</v>
      </c>
      <c r="AD110" s="166">
        <v>246.76519461688528</v>
      </c>
      <c r="AE110" s="166">
        <v>227.28330531812514</v>
      </c>
      <c r="AF110" s="166">
        <v>206.50799239225807</v>
      </c>
      <c r="AG110" s="166">
        <v>225.50139953819368</v>
      </c>
      <c r="AH110" s="166">
        <v>243.49720696596751</v>
      </c>
      <c r="AI110" s="166">
        <v>262.4648854554714</v>
      </c>
      <c r="AJ110" s="166">
        <v>270.87863075545891</v>
      </c>
      <c r="AK110" s="166">
        <v>283.95645372631662</v>
      </c>
      <c r="AL110" s="166">
        <v>297.57003043367524</v>
      </c>
      <c r="AM110" s="32"/>
      <c r="AN110" s="32"/>
      <c r="AO110" s="32"/>
      <c r="AP110" s="32"/>
      <c r="AQ110" s="32"/>
      <c r="AR110" s="32"/>
      <c r="AS110" s="383"/>
      <c r="AT110" s="32"/>
      <c r="AU110" s="32"/>
      <c r="AV110" s="32"/>
      <c r="AW110" s="32"/>
      <c r="AX110" s="32"/>
      <c r="AY110" s="32"/>
      <c r="AZ110" s="383"/>
      <c r="BA110" s="32"/>
      <c r="BB110" s="32"/>
      <c r="BC110" s="32"/>
      <c r="BD110" s="32"/>
      <c r="BE110" s="32"/>
      <c r="BF110" s="32"/>
      <c r="BG110" s="32"/>
      <c r="BH110" s="383"/>
      <c r="BI110" s="32"/>
      <c r="BJ110" s="32"/>
      <c r="BK110" s="32"/>
      <c r="BL110" s="32"/>
      <c r="BM110" s="32"/>
      <c r="BN110" s="32"/>
      <c r="BO110" s="32"/>
      <c r="BP110" s="32"/>
      <c r="BQ110" s="32"/>
      <c r="BR110" s="32"/>
      <c r="BS110" s="32"/>
      <c r="BT110" s="32"/>
      <c r="BU110" s="32"/>
      <c r="BV110" s="32"/>
      <c r="BW110" s="32"/>
      <c r="BX110" s="32"/>
      <c r="BY110" s="32"/>
      <c r="BZ110" s="32"/>
      <c r="CA110" s="32"/>
      <c r="CB110" s="32"/>
      <c r="CC110" s="32"/>
      <c r="CD110" s="383"/>
      <c r="CE110" s="32"/>
      <c r="CF110" s="32"/>
      <c r="CG110" s="32"/>
      <c r="CH110" s="32"/>
      <c r="CI110" s="32"/>
      <c r="CJ110" s="32"/>
      <c r="CK110" s="32"/>
      <c r="CL110" s="32"/>
      <c r="CM110" s="32"/>
      <c r="CN110" s="32"/>
      <c r="CO110" s="32"/>
      <c r="CP110" s="32"/>
      <c r="CQ110" s="32"/>
      <c r="CR110" s="32"/>
      <c r="CS110" s="32"/>
      <c r="CT110" s="32"/>
      <c r="CU110" s="32"/>
      <c r="CV110" s="32"/>
      <c r="CW110" s="383"/>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row>
    <row r="111" spans="1:131">
      <c r="A111" s="11"/>
      <c r="B111" s="11" t="s">
        <v>643</v>
      </c>
      <c r="C111" s="32">
        <v>751.4333366862121</v>
      </c>
      <c r="D111" s="32">
        <v>275.41968126202642</v>
      </c>
      <c r="E111" s="32">
        <v>55.083936252405294</v>
      </c>
      <c r="F111" s="32">
        <v>330.50361751443171</v>
      </c>
      <c r="G111" s="32">
        <v>505.59396639490228</v>
      </c>
      <c r="H111" s="32">
        <v>495.50625676706466</v>
      </c>
      <c r="I111" s="32">
        <v>3852.9188792636987</v>
      </c>
      <c r="J111" s="32">
        <v>9.9475770717247887</v>
      </c>
      <c r="K111" s="32">
        <v>36.256286185807994</v>
      </c>
      <c r="L111" s="383">
        <v>0.98234322309157052</v>
      </c>
      <c r="M111" s="32">
        <v>7.1386356117260057</v>
      </c>
      <c r="N111" s="166">
        <v>30.776805422287914</v>
      </c>
      <c r="O111" s="166">
        <v>22.752137735565061</v>
      </c>
      <c r="P111" s="166">
        <v>21.194665690814766</v>
      </c>
      <c r="Q111" s="166">
        <v>12.167298019769328</v>
      </c>
      <c r="R111" s="166">
        <v>9.7738557224220326</v>
      </c>
      <c r="S111" s="166">
        <v>7.581653129080804</v>
      </c>
      <c r="T111" s="166">
        <v>7.9113958496554755</v>
      </c>
      <c r="U111" s="166">
        <v>11.515297870561874</v>
      </c>
      <c r="V111" s="166">
        <v>14.548674976662149</v>
      </c>
      <c r="W111" s="166">
        <v>23.734520684551548</v>
      </c>
      <c r="X111" s="166">
        <v>27.48521285976291</v>
      </c>
      <c r="Y111" s="166">
        <v>32.377026516868099</v>
      </c>
      <c r="Z111" s="166"/>
      <c r="AA111" s="166">
        <v>51.007715746297905</v>
      </c>
      <c r="AB111" s="166">
        <v>44.24491929980752</v>
      </c>
      <c r="AC111" s="166">
        <v>44.60366595832096</v>
      </c>
      <c r="AD111" s="166">
        <v>42.473840256127033</v>
      </c>
      <c r="AE111" s="166">
        <v>39.120568919592827</v>
      </c>
      <c r="AF111" s="166">
        <v>35.544670285045477</v>
      </c>
      <c r="AG111" s="166">
        <v>38.813862856098808</v>
      </c>
      <c r="AH111" s="166">
        <v>41.911346077563572</v>
      </c>
      <c r="AI111" s="166">
        <v>45.176110168153997</v>
      </c>
      <c r="AJ111" s="166">
        <v>46.624304976916363</v>
      </c>
      <c r="AK111" s="166">
        <v>48.87529245764479</v>
      </c>
      <c r="AL111" s="166">
        <v>51.21849520664103</v>
      </c>
      <c r="AM111" s="32"/>
      <c r="AN111" s="32"/>
      <c r="AO111" s="32"/>
      <c r="AP111" s="32"/>
      <c r="AQ111" s="32"/>
      <c r="AR111" s="32"/>
      <c r="AS111" s="383"/>
      <c r="AT111" s="32"/>
      <c r="AU111" s="32"/>
      <c r="AV111" s="32"/>
      <c r="AW111" s="32"/>
      <c r="AX111" s="32"/>
      <c r="AY111" s="32"/>
      <c r="AZ111" s="383"/>
      <c r="BA111" s="32"/>
      <c r="BB111" s="32"/>
      <c r="BC111" s="32"/>
      <c r="BD111" s="32"/>
      <c r="BE111" s="32"/>
      <c r="BF111" s="32"/>
      <c r="BG111" s="32"/>
      <c r="BH111" s="383"/>
      <c r="BI111" s="32"/>
      <c r="BJ111" s="32"/>
      <c r="BK111" s="32"/>
      <c r="BL111" s="32"/>
      <c r="BM111" s="32"/>
      <c r="BN111" s="32"/>
      <c r="BO111" s="32"/>
      <c r="BP111" s="32"/>
      <c r="BQ111" s="32"/>
      <c r="BR111" s="32"/>
      <c r="BS111" s="32"/>
      <c r="BT111" s="32"/>
      <c r="BU111" s="32"/>
      <c r="BV111" s="32"/>
      <c r="BW111" s="32"/>
      <c r="BX111" s="32"/>
      <c r="BY111" s="32"/>
      <c r="BZ111" s="32"/>
      <c r="CA111" s="32"/>
      <c r="CB111" s="32"/>
      <c r="CC111" s="32"/>
      <c r="CD111" s="383"/>
      <c r="CE111" s="32"/>
      <c r="CF111" s="32"/>
      <c r="CG111" s="32"/>
      <c r="CH111" s="32"/>
      <c r="CI111" s="32"/>
      <c r="CJ111" s="32"/>
      <c r="CK111" s="32"/>
      <c r="CL111" s="32"/>
      <c r="CM111" s="32"/>
      <c r="CN111" s="32"/>
      <c r="CO111" s="32"/>
      <c r="CP111" s="32"/>
      <c r="CQ111" s="32"/>
      <c r="CR111" s="32"/>
      <c r="CS111" s="32"/>
      <c r="CT111" s="32"/>
      <c r="CU111" s="32"/>
      <c r="CV111" s="32"/>
      <c r="CW111" s="383"/>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row>
    <row r="112" spans="1:131">
      <c r="A112" s="11"/>
      <c r="B112" s="11" t="s">
        <v>644</v>
      </c>
      <c r="C112" s="393">
        <v>0</v>
      </c>
      <c r="D112" s="393">
        <v>0</v>
      </c>
      <c r="E112" s="393">
        <v>0</v>
      </c>
      <c r="F112" s="393">
        <v>0</v>
      </c>
      <c r="G112" s="393">
        <v>0</v>
      </c>
      <c r="H112" s="393">
        <v>0</v>
      </c>
      <c r="I112" s="393">
        <v>0</v>
      </c>
      <c r="J112" s="393">
        <v>0</v>
      </c>
      <c r="K112" s="393">
        <v>0</v>
      </c>
      <c r="L112" s="394">
        <v>0</v>
      </c>
      <c r="M112" s="393">
        <v>0</v>
      </c>
      <c r="N112" s="393">
        <v>0</v>
      </c>
      <c r="O112" s="393">
        <v>0</v>
      </c>
      <c r="P112" s="393">
        <v>0</v>
      </c>
      <c r="Q112" s="393">
        <v>0</v>
      </c>
      <c r="R112" s="393">
        <v>0</v>
      </c>
      <c r="S112" s="393">
        <v>0</v>
      </c>
      <c r="T112" s="393">
        <v>0</v>
      </c>
      <c r="U112" s="393">
        <v>0</v>
      </c>
      <c r="V112" s="393">
        <v>0</v>
      </c>
      <c r="W112" s="393">
        <v>0</v>
      </c>
      <c r="X112" s="393">
        <v>0</v>
      </c>
      <c r="Y112" s="393">
        <v>0</v>
      </c>
      <c r="Z112" s="393"/>
      <c r="AA112" s="393">
        <v>0</v>
      </c>
      <c r="AB112" s="393">
        <v>0</v>
      </c>
      <c r="AC112" s="393">
        <v>0</v>
      </c>
      <c r="AD112" s="393">
        <v>0</v>
      </c>
      <c r="AE112" s="393">
        <v>0</v>
      </c>
      <c r="AF112" s="393">
        <v>0</v>
      </c>
      <c r="AG112" s="393">
        <v>0</v>
      </c>
      <c r="AH112" s="393">
        <v>0</v>
      </c>
      <c r="AI112" s="393">
        <v>0</v>
      </c>
      <c r="AJ112" s="393">
        <v>0</v>
      </c>
      <c r="AK112" s="393">
        <v>0</v>
      </c>
      <c r="AL112" s="393">
        <v>0</v>
      </c>
      <c r="AM112" s="32"/>
      <c r="AN112" s="32"/>
      <c r="AO112" s="32"/>
      <c r="AP112" s="32"/>
      <c r="AQ112" s="32"/>
      <c r="AR112" s="32"/>
      <c r="AS112" s="383"/>
      <c r="AT112" s="32"/>
      <c r="AU112" s="32"/>
      <c r="AV112" s="32"/>
      <c r="AW112" s="32"/>
      <c r="AX112" s="32"/>
      <c r="AY112" s="32"/>
      <c r="AZ112" s="383"/>
      <c r="BA112" s="32"/>
      <c r="BB112" s="32"/>
      <c r="BC112" s="32"/>
      <c r="BD112" s="32"/>
      <c r="BE112" s="32"/>
      <c r="BF112" s="32"/>
      <c r="BG112" s="32"/>
      <c r="BH112" s="383"/>
      <c r="BI112" s="32"/>
      <c r="BJ112" s="32"/>
      <c r="BK112" s="32"/>
      <c r="BL112" s="32"/>
      <c r="BM112" s="32"/>
      <c r="BN112" s="32"/>
      <c r="BO112" s="32"/>
      <c r="BP112" s="32"/>
      <c r="BQ112" s="32"/>
      <c r="BR112" s="32"/>
      <c r="BS112" s="32"/>
      <c r="BT112" s="32"/>
      <c r="BU112" s="32"/>
      <c r="BV112" s="32"/>
      <c r="BW112" s="32"/>
      <c r="BX112" s="32"/>
      <c r="BY112" s="32"/>
      <c r="BZ112" s="32"/>
      <c r="CA112" s="32"/>
      <c r="CB112" s="32"/>
      <c r="CC112" s="32"/>
      <c r="CD112" s="383"/>
      <c r="CE112" s="32"/>
      <c r="CF112" s="32"/>
      <c r="CG112" s="32"/>
      <c r="CH112" s="32"/>
      <c r="CI112" s="32"/>
      <c r="CJ112" s="32"/>
      <c r="CK112" s="32"/>
      <c r="CL112" s="32"/>
      <c r="CM112" s="32"/>
      <c r="CN112" s="32"/>
      <c r="CO112" s="32"/>
      <c r="CP112" s="32"/>
      <c r="CQ112" s="32"/>
      <c r="CR112" s="32"/>
      <c r="CS112" s="32"/>
      <c r="CT112" s="32"/>
      <c r="CU112" s="32"/>
      <c r="CV112" s="32"/>
      <c r="CW112" s="383"/>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row>
    <row r="113" spans="1:131">
      <c r="A113" s="11"/>
      <c r="B113" s="11" t="s">
        <v>645</v>
      </c>
      <c r="C113" s="393">
        <v>0</v>
      </c>
      <c r="D113" s="393">
        <v>0</v>
      </c>
      <c r="E113" s="393">
        <v>0</v>
      </c>
      <c r="F113" s="393">
        <v>0</v>
      </c>
      <c r="G113" s="393">
        <v>0</v>
      </c>
      <c r="H113" s="393">
        <v>0</v>
      </c>
      <c r="I113" s="393">
        <v>0</v>
      </c>
      <c r="J113" s="393">
        <v>0</v>
      </c>
      <c r="K113" s="393">
        <v>0</v>
      </c>
      <c r="L113" s="394">
        <v>0</v>
      </c>
      <c r="M113" s="393">
        <v>0</v>
      </c>
      <c r="N113" s="393">
        <v>0</v>
      </c>
      <c r="O113" s="393">
        <v>0</v>
      </c>
      <c r="P113" s="393">
        <v>0</v>
      </c>
      <c r="Q113" s="393">
        <v>0</v>
      </c>
      <c r="R113" s="393">
        <v>0</v>
      </c>
      <c r="S113" s="393">
        <v>0</v>
      </c>
      <c r="T113" s="393">
        <v>0</v>
      </c>
      <c r="U113" s="393">
        <v>0</v>
      </c>
      <c r="V113" s="393">
        <v>0</v>
      </c>
      <c r="W113" s="393">
        <v>0</v>
      </c>
      <c r="X113" s="393">
        <v>0</v>
      </c>
      <c r="Y113" s="393">
        <v>0</v>
      </c>
      <c r="Z113" s="393"/>
      <c r="AA113" s="393">
        <v>0</v>
      </c>
      <c r="AB113" s="393">
        <v>0</v>
      </c>
      <c r="AC113" s="393">
        <v>0</v>
      </c>
      <c r="AD113" s="393">
        <v>0</v>
      </c>
      <c r="AE113" s="393">
        <v>0</v>
      </c>
      <c r="AF113" s="393">
        <v>0</v>
      </c>
      <c r="AG113" s="393">
        <v>0</v>
      </c>
      <c r="AH113" s="393">
        <v>0</v>
      </c>
      <c r="AI113" s="393">
        <v>0</v>
      </c>
      <c r="AJ113" s="393">
        <v>0</v>
      </c>
      <c r="AK113" s="393">
        <v>0</v>
      </c>
      <c r="AL113" s="393">
        <v>0</v>
      </c>
      <c r="AM113" s="32"/>
      <c r="AN113" s="32"/>
      <c r="AO113" s="32"/>
      <c r="AP113" s="32"/>
      <c r="AQ113" s="32"/>
      <c r="AR113" s="32"/>
      <c r="AS113" s="32"/>
      <c r="AT113" s="32"/>
      <c r="AU113" s="32"/>
      <c r="AV113" s="32"/>
      <c r="AW113" s="32"/>
      <c r="AX113" s="32"/>
      <c r="AY113" s="32"/>
      <c r="AZ113" s="32"/>
      <c r="BA113" s="32"/>
      <c r="BB113" s="32"/>
      <c r="BC113" s="32"/>
      <c r="BD113" s="32"/>
      <c r="BE113" s="32"/>
      <c r="BF113" s="32"/>
      <c r="BG113" s="32"/>
      <c r="BH113" s="32"/>
      <c r="BI113" s="32"/>
      <c r="BJ113" s="32"/>
      <c r="BK113" s="32"/>
      <c r="BL113" s="32"/>
      <c r="BM113" s="32"/>
      <c r="BN113" s="32"/>
      <c r="BO113" s="32"/>
      <c r="BP113" s="32"/>
      <c r="BQ113" s="32"/>
      <c r="BR113" s="32"/>
      <c r="BS113" s="32"/>
      <c r="BT113" s="32"/>
      <c r="BU113" s="32"/>
      <c r="BV113" s="32"/>
      <c r="BW113" s="32"/>
      <c r="BX113" s="32"/>
      <c r="BY113" s="32"/>
      <c r="BZ113" s="32"/>
      <c r="CA113" s="32"/>
      <c r="CB113" s="32"/>
      <c r="CC113" s="32"/>
      <c r="CD113" s="32"/>
      <c r="CE113" s="32"/>
      <c r="CF113" s="32"/>
      <c r="CG113" s="32"/>
      <c r="CH113" s="32"/>
      <c r="CI113" s="32"/>
      <c r="CJ113" s="32"/>
      <c r="CK113" s="32"/>
      <c r="CL113" s="32"/>
      <c r="CM113" s="32"/>
      <c r="CN113" s="32"/>
      <c r="CO113" s="32"/>
      <c r="CP113" s="32"/>
      <c r="CQ113" s="32"/>
      <c r="CR113" s="32"/>
      <c r="CS113" s="32"/>
      <c r="CT113" s="32"/>
      <c r="CU113" s="32"/>
      <c r="CV113" s="32"/>
      <c r="CW113" s="32"/>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row>
    <row r="114" spans="1:131">
      <c r="A114" s="11"/>
      <c r="B114" s="11" t="s">
        <v>646</v>
      </c>
      <c r="C114" s="393">
        <v>0</v>
      </c>
      <c r="D114" s="393">
        <v>0</v>
      </c>
      <c r="E114" s="393">
        <v>0</v>
      </c>
      <c r="F114" s="393">
        <v>0</v>
      </c>
      <c r="G114" s="393">
        <v>0</v>
      </c>
      <c r="H114" s="393">
        <v>0</v>
      </c>
      <c r="I114" s="393">
        <v>0</v>
      </c>
      <c r="J114" s="393">
        <v>0</v>
      </c>
      <c r="K114" s="393">
        <v>0</v>
      </c>
      <c r="L114" s="394">
        <v>0</v>
      </c>
      <c r="M114" s="393">
        <v>0</v>
      </c>
      <c r="N114" s="393">
        <v>0</v>
      </c>
      <c r="O114" s="393">
        <v>0</v>
      </c>
      <c r="P114" s="393">
        <v>0</v>
      </c>
      <c r="Q114" s="393">
        <v>0</v>
      </c>
      <c r="R114" s="393">
        <v>0</v>
      </c>
      <c r="S114" s="393">
        <v>0</v>
      </c>
      <c r="T114" s="393">
        <v>0</v>
      </c>
      <c r="U114" s="393">
        <v>0</v>
      </c>
      <c r="V114" s="393">
        <v>0</v>
      </c>
      <c r="W114" s="393">
        <v>0</v>
      </c>
      <c r="X114" s="393">
        <v>0</v>
      </c>
      <c r="Y114" s="393">
        <v>0</v>
      </c>
      <c r="Z114" s="393"/>
      <c r="AA114" s="393">
        <v>0</v>
      </c>
      <c r="AB114" s="393">
        <v>0</v>
      </c>
      <c r="AC114" s="393">
        <v>0</v>
      </c>
      <c r="AD114" s="393">
        <v>0</v>
      </c>
      <c r="AE114" s="393">
        <v>0</v>
      </c>
      <c r="AF114" s="393">
        <v>0</v>
      </c>
      <c r="AG114" s="393">
        <v>0</v>
      </c>
      <c r="AH114" s="393">
        <v>0</v>
      </c>
      <c r="AI114" s="393">
        <v>0</v>
      </c>
      <c r="AJ114" s="393">
        <v>0</v>
      </c>
      <c r="AK114" s="393">
        <v>0</v>
      </c>
      <c r="AL114" s="393">
        <v>0</v>
      </c>
      <c r="AM114" s="32"/>
      <c r="AN114" s="32"/>
      <c r="AO114" s="32"/>
      <c r="AP114" s="32"/>
      <c r="AQ114" s="32"/>
      <c r="AR114" s="32"/>
      <c r="AS114" s="32"/>
      <c r="AT114" s="32"/>
      <c r="AU114" s="32"/>
      <c r="AV114" s="32"/>
      <c r="AW114" s="32"/>
      <c r="AX114" s="32"/>
      <c r="AY114" s="32"/>
      <c r="AZ114" s="32"/>
      <c r="BA114" s="32"/>
      <c r="BB114" s="32"/>
      <c r="BC114" s="32"/>
      <c r="BD114" s="32"/>
      <c r="BE114" s="32"/>
      <c r="BF114" s="32"/>
      <c r="BG114" s="32"/>
      <c r="BH114" s="32"/>
      <c r="BI114" s="32"/>
      <c r="BJ114" s="32"/>
      <c r="BK114" s="32"/>
      <c r="BL114" s="32"/>
      <c r="BM114" s="32"/>
      <c r="BN114" s="32"/>
      <c r="BO114" s="32"/>
      <c r="BP114" s="32"/>
      <c r="BQ114" s="32"/>
      <c r="BR114" s="32"/>
      <c r="BS114" s="32"/>
      <c r="BT114" s="32"/>
      <c r="BU114" s="32"/>
      <c r="BV114" s="32"/>
      <c r="BW114" s="32"/>
      <c r="BX114" s="32"/>
      <c r="BY114" s="32"/>
      <c r="BZ114" s="32"/>
      <c r="CA114" s="32"/>
      <c r="CB114" s="32"/>
      <c r="CC114" s="32"/>
      <c r="CD114" s="32"/>
      <c r="CE114" s="32"/>
      <c r="CF114" s="32"/>
      <c r="CG114" s="32"/>
      <c r="CH114" s="32"/>
      <c r="CI114" s="32"/>
      <c r="CJ114" s="32"/>
      <c r="CK114" s="32"/>
      <c r="CL114" s="32"/>
      <c r="CM114" s="32"/>
      <c r="CN114" s="32"/>
      <c r="CO114" s="32"/>
      <c r="CP114" s="32"/>
      <c r="CQ114" s="32"/>
      <c r="CR114" s="32"/>
      <c r="CS114" s="32"/>
      <c r="CT114" s="32"/>
      <c r="CU114" s="32"/>
      <c r="CV114" s="32"/>
      <c r="CW114" s="32"/>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row>
    <row r="115" spans="1:131">
      <c r="A115" s="11"/>
      <c r="B115" s="11" t="s">
        <v>647</v>
      </c>
      <c r="C115" s="393">
        <v>0</v>
      </c>
      <c r="D115" s="393">
        <v>0</v>
      </c>
      <c r="E115" s="393">
        <v>0</v>
      </c>
      <c r="F115" s="393">
        <v>0</v>
      </c>
      <c r="G115" s="393">
        <v>0</v>
      </c>
      <c r="H115" s="393">
        <v>0</v>
      </c>
      <c r="I115" s="393">
        <v>0</v>
      </c>
      <c r="J115" s="393">
        <v>0</v>
      </c>
      <c r="K115" s="393">
        <v>0</v>
      </c>
      <c r="L115" s="394">
        <v>0</v>
      </c>
      <c r="M115" s="393">
        <v>0</v>
      </c>
      <c r="N115" s="393">
        <v>0</v>
      </c>
      <c r="O115" s="393">
        <v>0</v>
      </c>
      <c r="P115" s="393">
        <v>0</v>
      </c>
      <c r="Q115" s="393">
        <v>0</v>
      </c>
      <c r="R115" s="393">
        <v>0</v>
      </c>
      <c r="S115" s="393">
        <v>0</v>
      </c>
      <c r="T115" s="393">
        <v>0</v>
      </c>
      <c r="U115" s="393">
        <v>0</v>
      </c>
      <c r="V115" s="393">
        <v>0</v>
      </c>
      <c r="W115" s="393">
        <v>0</v>
      </c>
      <c r="X115" s="393">
        <v>0</v>
      </c>
      <c r="Y115" s="393">
        <v>0</v>
      </c>
      <c r="Z115" s="393"/>
      <c r="AA115" s="393">
        <v>0</v>
      </c>
      <c r="AB115" s="393">
        <v>0</v>
      </c>
      <c r="AC115" s="393">
        <v>0</v>
      </c>
      <c r="AD115" s="393">
        <v>0</v>
      </c>
      <c r="AE115" s="393">
        <v>0</v>
      </c>
      <c r="AF115" s="393">
        <v>0</v>
      </c>
      <c r="AG115" s="393">
        <v>0</v>
      </c>
      <c r="AH115" s="393">
        <v>0</v>
      </c>
      <c r="AI115" s="393">
        <v>0</v>
      </c>
      <c r="AJ115" s="393">
        <v>0</v>
      </c>
      <c r="AK115" s="393">
        <v>0</v>
      </c>
      <c r="AL115" s="393">
        <v>0</v>
      </c>
      <c r="AM115" s="32"/>
      <c r="AN115" s="32"/>
      <c r="AO115" s="32"/>
      <c r="AP115" s="32"/>
      <c r="AQ115" s="32"/>
      <c r="AR115" s="32"/>
      <c r="AS115" s="32"/>
      <c r="AT115" s="32"/>
      <c r="AU115" s="32"/>
      <c r="AV115" s="32"/>
      <c r="AW115" s="32"/>
      <c r="AX115" s="32"/>
      <c r="AY115" s="32"/>
      <c r="AZ115" s="32"/>
      <c r="BA115" s="32"/>
      <c r="BB115" s="32"/>
      <c r="BC115" s="32"/>
      <c r="BD115" s="32"/>
      <c r="BE115" s="32"/>
      <c r="BF115" s="32"/>
      <c r="BG115" s="32"/>
      <c r="BH115" s="32"/>
      <c r="BI115" s="32"/>
      <c r="BJ115" s="32"/>
      <c r="BK115" s="32"/>
      <c r="BL115" s="32"/>
      <c r="BM115" s="32"/>
      <c r="BN115" s="32"/>
      <c r="BO115" s="32"/>
      <c r="BP115" s="32"/>
      <c r="BQ115" s="32"/>
      <c r="BR115" s="32"/>
      <c r="BS115" s="32"/>
      <c r="BT115" s="32"/>
      <c r="BU115" s="32"/>
      <c r="BV115" s="32"/>
      <c r="BW115" s="32"/>
      <c r="BX115" s="32"/>
      <c r="BY115" s="32"/>
      <c r="BZ115" s="32"/>
      <c r="CA115" s="32"/>
      <c r="CB115" s="32"/>
      <c r="CC115" s="32"/>
      <c r="CD115" s="32"/>
      <c r="CE115" s="32"/>
      <c r="CF115" s="32"/>
      <c r="CG115" s="32"/>
      <c r="CH115" s="32"/>
      <c r="CI115" s="32"/>
      <c r="CJ115" s="32"/>
      <c r="CK115" s="32"/>
      <c r="CL115" s="32"/>
      <c r="CM115" s="32"/>
      <c r="CN115" s="32"/>
      <c r="CO115" s="32"/>
      <c r="CP115" s="32"/>
      <c r="CQ115" s="32"/>
      <c r="CR115" s="32"/>
      <c r="CS115" s="32"/>
      <c r="CT115" s="32"/>
      <c r="CU115" s="32"/>
      <c r="CV115" s="32"/>
      <c r="CW115" s="32"/>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row>
    <row r="116" spans="1:131">
      <c r="A116" s="11"/>
      <c r="B116" s="11" t="s">
        <v>648</v>
      </c>
      <c r="C116" s="393">
        <v>0</v>
      </c>
      <c r="D116" s="393">
        <v>0</v>
      </c>
      <c r="E116" s="393">
        <v>0</v>
      </c>
      <c r="F116" s="393">
        <v>0</v>
      </c>
      <c r="G116" s="393">
        <v>0</v>
      </c>
      <c r="H116" s="393">
        <v>0</v>
      </c>
      <c r="I116" s="393">
        <v>0</v>
      </c>
      <c r="J116" s="393">
        <v>0</v>
      </c>
      <c r="K116" s="393">
        <v>0</v>
      </c>
      <c r="L116" s="394">
        <v>0</v>
      </c>
      <c r="M116" s="393">
        <v>0</v>
      </c>
      <c r="N116" s="393">
        <v>0</v>
      </c>
      <c r="O116" s="393">
        <v>0</v>
      </c>
      <c r="P116" s="393">
        <v>0</v>
      </c>
      <c r="Q116" s="393">
        <v>0</v>
      </c>
      <c r="R116" s="393">
        <v>0</v>
      </c>
      <c r="S116" s="393">
        <v>0</v>
      </c>
      <c r="T116" s="393">
        <v>0</v>
      </c>
      <c r="U116" s="393">
        <v>0</v>
      </c>
      <c r="V116" s="393">
        <v>0</v>
      </c>
      <c r="W116" s="393">
        <v>0</v>
      </c>
      <c r="X116" s="393">
        <v>0</v>
      </c>
      <c r="Y116" s="393">
        <v>0</v>
      </c>
      <c r="Z116" s="393"/>
      <c r="AA116" s="393">
        <v>0</v>
      </c>
      <c r="AB116" s="393">
        <v>0</v>
      </c>
      <c r="AC116" s="393">
        <v>0</v>
      </c>
      <c r="AD116" s="393">
        <v>0</v>
      </c>
      <c r="AE116" s="393">
        <v>0</v>
      </c>
      <c r="AF116" s="393">
        <v>0</v>
      </c>
      <c r="AG116" s="393">
        <v>0</v>
      </c>
      <c r="AH116" s="393">
        <v>0</v>
      </c>
      <c r="AI116" s="393">
        <v>0</v>
      </c>
      <c r="AJ116" s="393">
        <v>0</v>
      </c>
      <c r="AK116" s="393">
        <v>0</v>
      </c>
      <c r="AL116" s="393">
        <v>0</v>
      </c>
      <c r="AM116" s="32"/>
      <c r="AN116" s="32"/>
      <c r="AO116" s="32"/>
      <c r="AP116" s="32"/>
      <c r="AQ116" s="32"/>
      <c r="AR116" s="32"/>
      <c r="AS116" s="32"/>
      <c r="AT116" s="32"/>
      <c r="AU116" s="32"/>
      <c r="AV116" s="32"/>
      <c r="AW116" s="32"/>
      <c r="AX116" s="32"/>
      <c r="AY116" s="32"/>
      <c r="AZ116" s="32"/>
      <c r="BA116" s="32"/>
      <c r="BB116" s="32"/>
      <c r="BC116" s="32"/>
      <c r="BD116" s="32"/>
      <c r="BE116" s="32"/>
      <c r="BF116" s="32"/>
      <c r="BG116" s="32"/>
      <c r="BH116" s="32"/>
      <c r="BI116" s="32"/>
      <c r="BJ116" s="32"/>
      <c r="BK116" s="32"/>
      <c r="BL116" s="32"/>
      <c r="BM116" s="32"/>
      <c r="BN116" s="32"/>
      <c r="BO116" s="32"/>
      <c r="BP116" s="32"/>
      <c r="BQ116" s="32"/>
      <c r="BR116" s="32"/>
      <c r="BS116" s="32"/>
      <c r="BT116" s="32"/>
      <c r="BU116" s="32"/>
      <c r="BV116" s="32"/>
      <c r="BW116" s="32"/>
      <c r="BX116" s="32"/>
      <c r="BY116" s="32"/>
      <c r="BZ116" s="32"/>
      <c r="CA116" s="32"/>
      <c r="CB116" s="32"/>
      <c r="CC116" s="32"/>
      <c r="CD116" s="32"/>
      <c r="CE116" s="32"/>
      <c r="CF116" s="32"/>
      <c r="CG116" s="32"/>
      <c r="CH116" s="32"/>
      <c r="CI116" s="32"/>
      <c r="CJ116" s="32"/>
      <c r="CK116" s="32"/>
      <c r="CL116" s="32"/>
      <c r="CM116" s="32"/>
      <c r="CN116" s="32"/>
      <c r="CO116" s="32"/>
      <c r="CP116" s="32"/>
      <c r="CQ116" s="32"/>
      <c r="CR116" s="32"/>
      <c r="CS116" s="32"/>
      <c r="CT116" s="32"/>
      <c r="CU116" s="32"/>
      <c r="CV116" s="32"/>
      <c r="CW116" s="32"/>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row>
    <row r="117" spans="1:131">
      <c r="A117" s="11"/>
      <c r="B117" s="11" t="s">
        <v>649</v>
      </c>
      <c r="C117" s="393">
        <v>0</v>
      </c>
      <c r="D117" s="393">
        <v>0</v>
      </c>
      <c r="E117" s="393">
        <v>0</v>
      </c>
      <c r="F117" s="393">
        <v>0</v>
      </c>
      <c r="G117" s="393">
        <v>0</v>
      </c>
      <c r="H117" s="393">
        <v>0</v>
      </c>
      <c r="I117" s="393">
        <v>0</v>
      </c>
      <c r="J117" s="393">
        <v>0</v>
      </c>
      <c r="K117" s="393">
        <v>0</v>
      </c>
      <c r="L117" s="394">
        <v>0</v>
      </c>
      <c r="M117" s="393">
        <v>0</v>
      </c>
      <c r="N117" s="393">
        <v>0</v>
      </c>
      <c r="O117" s="393">
        <v>0</v>
      </c>
      <c r="P117" s="393">
        <v>0</v>
      </c>
      <c r="Q117" s="393">
        <v>0</v>
      </c>
      <c r="R117" s="393">
        <v>0</v>
      </c>
      <c r="S117" s="393">
        <v>0</v>
      </c>
      <c r="T117" s="393">
        <v>0</v>
      </c>
      <c r="U117" s="393">
        <v>0</v>
      </c>
      <c r="V117" s="393">
        <v>0</v>
      </c>
      <c r="W117" s="393">
        <v>0</v>
      </c>
      <c r="X117" s="393">
        <v>0</v>
      </c>
      <c r="Y117" s="393">
        <v>0</v>
      </c>
      <c r="Z117" s="393"/>
      <c r="AA117" s="393">
        <v>0</v>
      </c>
      <c r="AB117" s="393">
        <v>0</v>
      </c>
      <c r="AC117" s="393">
        <v>0</v>
      </c>
      <c r="AD117" s="393">
        <v>0</v>
      </c>
      <c r="AE117" s="393">
        <v>0</v>
      </c>
      <c r="AF117" s="393">
        <v>0</v>
      </c>
      <c r="AG117" s="393">
        <v>0</v>
      </c>
      <c r="AH117" s="393">
        <v>0</v>
      </c>
      <c r="AI117" s="393">
        <v>0</v>
      </c>
      <c r="AJ117" s="393">
        <v>0</v>
      </c>
      <c r="AK117" s="393">
        <v>0</v>
      </c>
      <c r="AL117" s="393">
        <v>0</v>
      </c>
      <c r="AM117" s="32"/>
      <c r="AN117" s="32"/>
      <c r="AO117" s="32"/>
      <c r="AP117" s="32"/>
      <c r="AQ117" s="32"/>
      <c r="AR117" s="32"/>
      <c r="AS117" s="32"/>
      <c r="AT117" s="32"/>
      <c r="AU117" s="32"/>
      <c r="AV117" s="32"/>
      <c r="AW117" s="32"/>
      <c r="AX117" s="32"/>
      <c r="AY117" s="32"/>
      <c r="AZ117" s="32"/>
      <c r="BA117" s="32"/>
      <c r="BB117" s="32"/>
      <c r="BC117" s="32"/>
      <c r="BD117" s="32"/>
      <c r="BE117" s="32"/>
      <c r="BF117" s="32"/>
      <c r="BG117" s="32"/>
      <c r="BH117" s="32"/>
      <c r="BI117" s="32"/>
      <c r="BJ117" s="32"/>
      <c r="BK117" s="32"/>
      <c r="BL117" s="32"/>
      <c r="BM117" s="32"/>
      <c r="BN117" s="32"/>
      <c r="BO117" s="32"/>
      <c r="BP117" s="32"/>
      <c r="BQ117" s="32"/>
      <c r="BR117" s="32"/>
      <c r="BS117" s="32"/>
      <c r="BT117" s="32"/>
      <c r="BU117" s="32"/>
      <c r="BV117" s="32"/>
      <c r="BW117" s="32"/>
      <c r="BX117" s="32"/>
      <c r="BY117" s="32"/>
      <c r="BZ117" s="32"/>
      <c r="CA117" s="32"/>
      <c r="CB117" s="32"/>
      <c r="CC117" s="32"/>
      <c r="CD117" s="32"/>
      <c r="CE117" s="32"/>
      <c r="CF117" s="32"/>
      <c r="CG117" s="32"/>
      <c r="CH117" s="32"/>
      <c r="CI117" s="32"/>
      <c r="CJ117" s="32"/>
      <c r="CK117" s="32"/>
      <c r="CL117" s="32"/>
      <c r="CM117" s="32"/>
      <c r="CN117" s="32"/>
      <c r="CO117" s="32"/>
      <c r="CP117" s="32"/>
      <c r="CQ117" s="32"/>
      <c r="CR117" s="32"/>
      <c r="CS117" s="32"/>
      <c r="CT117" s="32"/>
      <c r="CU117" s="32"/>
      <c r="CV117" s="32"/>
      <c r="CW117" s="32"/>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row>
    <row r="118" spans="1:131">
      <c r="A118" s="11"/>
      <c r="B118" s="11" t="s">
        <v>650</v>
      </c>
      <c r="C118" s="393">
        <v>0</v>
      </c>
      <c r="D118" s="393">
        <v>0</v>
      </c>
      <c r="E118" s="393">
        <v>0</v>
      </c>
      <c r="F118" s="393">
        <v>0</v>
      </c>
      <c r="G118" s="393">
        <v>0</v>
      </c>
      <c r="H118" s="393">
        <v>0</v>
      </c>
      <c r="I118" s="393">
        <v>0</v>
      </c>
      <c r="J118" s="393">
        <v>0</v>
      </c>
      <c r="K118" s="393">
        <v>0</v>
      </c>
      <c r="L118" s="394">
        <v>0</v>
      </c>
      <c r="M118" s="393">
        <v>0</v>
      </c>
      <c r="N118" s="393">
        <v>0</v>
      </c>
      <c r="O118" s="393">
        <v>0</v>
      </c>
      <c r="P118" s="393">
        <v>0</v>
      </c>
      <c r="Q118" s="393">
        <v>0</v>
      </c>
      <c r="R118" s="393">
        <v>0</v>
      </c>
      <c r="S118" s="393">
        <v>0</v>
      </c>
      <c r="T118" s="393">
        <v>0</v>
      </c>
      <c r="U118" s="393">
        <v>0</v>
      </c>
      <c r="V118" s="393">
        <v>0</v>
      </c>
      <c r="W118" s="393">
        <v>0</v>
      </c>
      <c r="X118" s="393">
        <v>0</v>
      </c>
      <c r="Y118" s="393">
        <v>0</v>
      </c>
      <c r="Z118" s="393"/>
      <c r="AA118" s="393">
        <v>0</v>
      </c>
      <c r="AB118" s="393">
        <v>0</v>
      </c>
      <c r="AC118" s="393">
        <v>0</v>
      </c>
      <c r="AD118" s="393">
        <v>0</v>
      </c>
      <c r="AE118" s="393">
        <v>0</v>
      </c>
      <c r="AF118" s="393">
        <v>0</v>
      </c>
      <c r="AG118" s="393">
        <v>0</v>
      </c>
      <c r="AH118" s="393">
        <v>0</v>
      </c>
      <c r="AI118" s="393">
        <v>0</v>
      </c>
      <c r="AJ118" s="393">
        <v>0</v>
      </c>
      <c r="AK118" s="393">
        <v>0</v>
      </c>
      <c r="AL118" s="393">
        <v>0</v>
      </c>
      <c r="AM118" s="32"/>
      <c r="AN118" s="32"/>
      <c r="AO118" s="32"/>
      <c r="AP118" s="32"/>
      <c r="AQ118" s="32"/>
      <c r="AR118" s="32"/>
      <c r="AS118" s="32"/>
      <c r="AT118" s="32"/>
      <c r="AU118" s="32"/>
      <c r="AV118" s="32"/>
      <c r="AW118" s="32"/>
      <c r="AX118" s="32"/>
      <c r="AY118" s="32"/>
      <c r="AZ118" s="32"/>
      <c r="BA118" s="32"/>
      <c r="BB118" s="32"/>
      <c r="BC118" s="32"/>
      <c r="BD118" s="32"/>
      <c r="BE118" s="32"/>
      <c r="BF118" s="32"/>
      <c r="BG118" s="32"/>
      <c r="BH118" s="32"/>
      <c r="BI118" s="32"/>
      <c r="BJ118" s="32"/>
      <c r="BK118" s="32"/>
      <c r="BL118" s="32"/>
      <c r="BM118" s="32"/>
      <c r="BN118" s="32"/>
      <c r="BO118" s="32"/>
      <c r="BP118" s="32"/>
      <c r="BQ118" s="32"/>
      <c r="BR118" s="32"/>
      <c r="BS118" s="32"/>
      <c r="BT118" s="32"/>
      <c r="BU118" s="32"/>
      <c r="BV118" s="32"/>
      <c r="BW118" s="32"/>
      <c r="BX118" s="32"/>
      <c r="BY118" s="32"/>
      <c r="BZ118" s="32"/>
      <c r="CA118" s="32"/>
      <c r="CB118" s="32"/>
      <c r="CC118" s="32"/>
      <c r="CD118" s="32"/>
      <c r="CE118" s="32"/>
      <c r="CF118" s="32"/>
      <c r="CG118" s="32"/>
      <c r="CH118" s="32"/>
      <c r="CI118" s="32"/>
      <c r="CJ118" s="32"/>
      <c r="CK118" s="32"/>
      <c r="CL118" s="32"/>
      <c r="CM118" s="32"/>
      <c r="CN118" s="32"/>
      <c r="CO118" s="32"/>
      <c r="CP118" s="32"/>
      <c r="CQ118" s="32"/>
      <c r="CR118" s="32"/>
      <c r="CS118" s="32"/>
      <c r="CT118" s="32"/>
      <c r="CU118" s="32"/>
      <c r="CV118" s="32"/>
      <c r="CW118" s="32"/>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row>
    <row r="119" spans="1:131">
      <c r="A119" s="11"/>
      <c r="B119" s="11" t="s">
        <v>651</v>
      </c>
      <c r="C119" s="393">
        <v>0</v>
      </c>
      <c r="D119" s="393">
        <v>0</v>
      </c>
      <c r="E119" s="393">
        <v>0</v>
      </c>
      <c r="F119" s="393">
        <v>0</v>
      </c>
      <c r="G119" s="393">
        <v>0</v>
      </c>
      <c r="H119" s="393">
        <v>0</v>
      </c>
      <c r="I119" s="393">
        <v>0</v>
      </c>
      <c r="J119" s="393">
        <v>0</v>
      </c>
      <c r="K119" s="393">
        <v>0</v>
      </c>
      <c r="L119" s="394">
        <v>0</v>
      </c>
      <c r="M119" s="393">
        <v>0</v>
      </c>
      <c r="N119" s="393">
        <v>0</v>
      </c>
      <c r="O119" s="393">
        <v>0</v>
      </c>
      <c r="P119" s="393">
        <v>0</v>
      </c>
      <c r="Q119" s="393">
        <v>0</v>
      </c>
      <c r="R119" s="393">
        <v>0</v>
      </c>
      <c r="S119" s="393">
        <v>0</v>
      </c>
      <c r="T119" s="393">
        <v>0</v>
      </c>
      <c r="U119" s="393">
        <v>0</v>
      </c>
      <c r="V119" s="393">
        <v>0</v>
      </c>
      <c r="W119" s="393">
        <v>0</v>
      </c>
      <c r="X119" s="393">
        <v>0</v>
      </c>
      <c r="Y119" s="393">
        <v>0</v>
      </c>
      <c r="Z119" s="393"/>
      <c r="AA119" s="393">
        <v>0</v>
      </c>
      <c r="AB119" s="393">
        <v>0</v>
      </c>
      <c r="AC119" s="393">
        <v>0</v>
      </c>
      <c r="AD119" s="393">
        <v>0</v>
      </c>
      <c r="AE119" s="393">
        <v>0</v>
      </c>
      <c r="AF119" s="393">
        <v>0</v>
      </c>
      <c r="AG119" s="393">
        <v>0</v>
      </c>
      <c r="AH119" s="393">
        <v>0</v>
      </c>
      <c r="AI119" s="393">
        <v>0</v>
      </c>
      <c r="AJ119" s="393">
        <v>0</v>
      </c>
      <c r="AK119" s="393">
        <v>0</v>
      </c>
      <c r="AL119" s="393">
        <v>0</v>
      </c>
      <c r="AM119" s="32"/>
      <c r="AN119" s="32"/>
      <c r="AO119" s="32"/>
      <c r="AP119" s="32"/>
      <c r="AQ119" s="32"/>
      <c r="AR119" s="32"/>
      <c r="AS119" s="32"/>
      <c r="AT119" s="32"/>
      <c r="AU119" s="32"/>
      <c r="AV119" s="32"/>
      <c r="AW119" s="32"/>
      <c r="AX119" s="32"/>
      <c r="AY119" s="32"/>
      <c r="AZ119" s="32"/>
      <c r="BA119" s="32"/>
      <c r="BB119" s="32"/>
      <c r="BC119" s="32"/>
      <c r="BD119" s="32"/>
      <c r="BE119" s="32"/>
      <c r="BF119" s="32"/>
      <c r="BG119" s="32"/>
      <c r="BH119" s="32"/>
      <c r="BI119" s="32"/>
      <c r="BJ119" s="32"/>
      <c r="BK119" s="32"/>
      <c r="BL119" s="32"/>
      <c r="BM119" s="32"/>
      <c r="BN119" s="32"/>
      <c r="BO119" s="32"/>
      <c r="BP119" s="32"/>
      <c r="BQ119" s="32"/>
      <c r="BR119" s="32"/>
      <c r="BS119" s="32"/>
      <c r="BT119" s="32"/>
      <c r="BU119" s="32"/>
      <c r="BV119" s="32"/>
      <c r="BW119" s="32"/>
      <c r="BX119" s="32"/>
      <c r="BY119" s="32"/>
      <c r="BZ119" s="32"/>
      <c r="CA119" s="32"/>
      <c r="CB119" s="32"/>
      <c r="CC119" s="32"/>
      <c r="CD119" s="32"/>
      <c r="CE119" s="32"/>
      <c r="CF119" s="32"/>
      <c r="CG119" s="32"/>
      <c r="CH119" s="32"/>
      <c r="CI119" s="32"/>
      <c r="CJ119" s="32"/>
      <c r="CK119" s="32"/>
      <c r="CL119" s="32"/>
      <c r="CM119" s="32"/>
      <c r="CN119" s="32"/>
      <c r="CO119" s="32"/>
      <c r="CP119" s="32"/>
      <c r="CQ119" s="32"/>
      <c r="CR119" s="32"/>
      <c r="CS119" s="32"/>
      <c r="CT119" s="32"/>
      <c r="CU119" s="32"/>
      <c r="CV119" s="32"/>
      <c r="CW119" s="32"/>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row>
    <row r="120" spans="1:131">
      <c r="A120" s="11"/>
      <c r="B120" s="11" t="s">
        <v>652</v>
      </c>
      <c r="C120" s="393">
        <v>0</v>
      </c>
      <c r="D120" s="393">
        <v>0</v>
      </c>
      <c r="E120" s="393">
        <v>0</v>
      </c>
      <c r="F120" s="393">
        <v>0</v>
      </c>
      <c r="G120" s="393">
        <v>0</v>
      </c>
      <c r="H120" s="393">
        <v>0</v>
      </c>
      <c r="I120" s="393">
        <v>0</v>
      </c>
      <c r="J120" s="393">
        <v>0</v>
      </c>
      <c r="K120" s="393">
        <v>0</v>
      </c>
      <c r="L120" s="394">
        <v>0</v>
      </c>
      <c r="M120" s="393">
        <v>0</v>
      </c>
      <c r="N120" s="393">
        <v>0</v>
      </c>
      <c r="O120" s="393">
        <v>0</v>
      </c>
      <c r="P120" s="393">
        <v>0</v>
      </c>
      <c r="Q120" s="393">
        <v>0</v>
      </c>
      <c r="R120" s="393">
        <v>0</v>
      </c>
      <c r="S120" s="393">
        <v>0</v>
      </c>
      <c r="T120" s="393">
        <v>0</v>
      </c>
      <c r="U120" s="393">
        <v>0</v>
      </c>
      <c r="V120" s="393">
        <v>0</v>
      </c>
      <c r="W120" s="393">
        <v>0</v>
      </c>
      <c r="X120" s="393">
        <v>0</v>
      </c>
      <c r="Y120" s="393">
        <v>0</v>
      </c>
      <c r="Z120" s="393"/>
      <c r="AA120" s="393">
        <v>0</v>
      </c>
      <c r="AB120" s="393">
        <v>0</v>
      </c>
      <c r="AC120" s="393">
        <v>0</v>
      </c>
      <c r="AD120" s="393">
        <v>0</v>
      </c>
      <c r="AE120" s="393">
        <v>0</v>
      </c>
      <c r="AF120" s="393">
        <v>0</v>
      </c>
      <c r="AG120" s="393">
        <v>0</v>
      </c>
      <c r="AH120" s="393">
        <v>0</v>
      </c>
      <c r="AI120" s="393">
        <v>0</v>
      </c>
      <c r="AJ120" s="393">
        <v>0</v>
      </c>
      <c r="AK120" s="393">
        <v>0</v>
      </c>
      <c r="AL120" s="393">
        <v>0</v>
      </c>
      <c r="AM120" s="32"/>
      <c r="AN120" s="32"/>
      <c r="AO120" s="32"/>
      <c r="AP120" s="32"/>
      <c r="AQ120" s="32"/>
      <c r="AR120" s="32"/>
      <c r="AS120" s="32"/>
      <c r="AT120" s="32"/>
      <c r="AU120" s="32"/>
      <c r="AV120" s="32"/>
      <c r="AW120" s="32"/>
      <c r="AX120" s="32"/>
      <c r="AY120" s="32"/>
      <c r="AZ120" s="32"/>
      <c r="BA120" s="32"/>
      <c r="BB120" s="32"/>
      <c r="BC120" s="32"/>
      <c r="BD120" s="32"/>
      <c r="BE120" s="32"/>
      <c r="BF120" s="32"/>
      <c r="BG120" s="32"/>
      <c r="BH120" s="32"/>
      <c r="BI120" s="32"/>
      <c r="BJ120" s="32"/>
      <c r="BK120" s="32"/>
      <c r="BL120" s="32"/>
      <c r="BM120" s="32"/>
      <c r="BN120" s="32"/>
      <c r="BO120" s="32"/>
      <c r="BP120" s="32"/>
      <c r="BQ120" s="32"/>
      <c r="BR120" s="32"/>
      <c r="BS120" s="32"/>
      <c r="BT120" s="32"/>
      <c r="BU120" s="32"/>
      <c r="BV120" s="32"/>
      <c r="BW120" s="32"/>
      <c r="BX120" s="32"/>
      <c r="BY120" s="32"/>
      <c r="BZ120" s="32"/>
      <c r="CA120" s="32"/>
      <c r="CB120" s="32"/>
      <c r="CC120" s="32"/>
      <c r="CD120" s="32"/>
      <c r="CE120" s="32"/>
      <c r="CF120" s="32"/>
      <c r="CG120" s="32"/>
      <c r="CH120" s="32"/>
      <c r="CI120" s="32"/>
      <c r="CJ120" s="32"/>
      <c r="CK120" s="32"/>
      <c r="CL120" s="32"/>
      <c r="CM120" s="32"/>
      <c r="CN120" s="32"/>
      <c r="CO120" s="32"/>
      <c r="CP120" s="32"/>
      <c r="CQ120" s="32"/>
      <c r="CR120" s="32"/>
      <c r="CS120" s="32"/>
      <c r="CT120" s="32"/>
      <c r="CU120" s="32"/>
      <c r="CV120" s="32"/>
      <c r="CW120" s="32"/>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row>
    <row r="121" spans="1:131">
      <c r="A121" s="11"/>
      <c r="B121" s="11" t="s">
        <v>653</v>
      </c>
      <c r="C121" s="393">
        <v>0</v>
      </c>
      <c r="D121" s="393">
        <v>0</v>
      </c>
      <c r="E121" s="393">
        <v>0</v>
      </c>
      <c r="F121" s="393">
        <v>0</v>
      </c>
      <c r="G121" s="393">
        <v>0</v>
      </c>
      <c r="H121" s="393">
        <v>0</v>
      </c>
      <c r="I121" s="393">
        <v>0</v>
      </c>
      <c r="J121" s="393">
        <v>0</v>
      </c>
      <c r="K121" s="393">
        <v>0</v>
      </c>
      <c r="L121" s="394">
        <v>0</v>
      </c>
      <c r="M121" s="393">
        <v>0</v>
      </c>
      <c r="N121" s="393">
        <v>0</v>
      </c>
      <c r="O121" s="393">
        <v>0</v>
      </c>
      <c r="P121" s="393">
        <v>0</v>
      </c>
      <c r="Q121" s="393">
        <v>0</v>
      </c>
      <c r="R121" s="393">
        <v>0</v>
      </c>
      <c r="S121" s="393">
        <v>0</v>
      </c>
      <c r="T121" s="393">
        <v>0</v>
      </c>
      <c r="U121" s="393">
        <v>0</v>
      </c>
      <c r="V121" s="393">
        <v>0</v>
      </c>
      <c r="W121" s="393">
        <v>0</v>
      </c>
      <c r="X121" s="393">
        <v>0</v>
      </c>
      <c r="Y121" s="393">
        <v>0</v>
      </c>
      <c r="Z121" s="393"/>
      <c r="AA121" s="393">
        <v>0</v>
      </c>
      <c r="AB121" s="393">
        <v>0</v>
      </c>
      <c r="AC121" s="393">
        <v>0</v>
      </c>
      <c r="AD121" s="393">
        <v>0</v>
      </c>
      <c r="AE121" s="393">
        <v>0</v>
      </c>
      <c r="AF121" s="393">
        <v>0</v>
      </c>
      <c r="AG121" s="393">
        <v>0</v>
      </c>
      <c r="AH121" s="393">
        <v>0</v>
      </c>
      <c r="AI121" s="393">
        <v>0</v>
      </c>
      <c r="AJ121" s="393">
        <v>0</v>
      </c>
      <c r="AK121" s="393">
        <v>0</v>
      </c>
      <c r="AL121" s="393">
        <v>0</v>
      </c>
      <c r="AM121" s="32"/>
      <c r="AN121" s="32"/>
      <c r="AO121" s="32"/>
      <c r="AP121" s="32"/>
      <c r="AQ121" s="32"/>
      <c r="AR121" s="32"/>
      <c r="AS121" s="32"/>
      <c r="AT121" s="32"/>
      <c r="AU121" s="32"/>
      <c r="AV121" s="32"/>
      <c r="AW121" s="32"/>
      <c r="AX121" s="32"/>
      <c r="AY121" s="32"/>
      <c r="AZ121" s="32"/>
      <c r="BA121" s="32"/>
      <c r="BB121" s="32"/>
      <c r="BC121" s="32"/>
      <c r="BD121" s="32"/>
      <c r="BE121" s="32"/>
      <c r="BF121" s="32"/>
      <c r="BG121" s="32"/>
      <c r="BH121" s="32"/>
      <c r="BI121" s="32"/>
      <c r="BJ121" s="32"/>
      <c r="BK121" s="32"/>
      <c r="BL121" s="32"/>
      <c r="BM121" s="32"/>
      <c r="BN121" s="32"/>
      <c r="BO121" s="32"/>
      <c r="BP121" s="32"/>
      <c r="BQ121" s="32"/>
      <c r="BR121" s="32"/>
      <c r="BS121" s="32"/>
      <c r="BT121" s="32"/>
      <c r="BU121" s="32"/>
      <c r="BV121" s="32"/>
      <c r="BW121" s="32"/>
      <c r="BX121" s="32"/>
      <c r="BY121" s="32"/>
      <c r="BZ121" s="32"/>
      <c r="CA121" s="32"/>
      <c r="CB121" s="32"/>
      <c r="CC121" s="32"/>
      <c r="CD121" s="32"/>
      <c r="CE121" s="32"/>
      <c r="CF121" s="32"/>
      <c r="CG121" s="32"/>
      <c r="CH121" s="32"/>
      <c r="CI121" s="32"/>
      <c r="CJ121" s="32"/>
      <c r="CK121" s="32"/>
      <c r="CL121" s="32"/>
      <c r="CM121" s="32"/>
      <c r="CN121" s="32"/>
      <c r="CO121" s="32"/>
      <c r="CP121" s="32"/>
      <c r="CQ121" s="32"/>
      <c r="CR121" s="32"/>
      <c r="CS121" s="32"/>
      <c r="CT121" s="32"/>
      <c r="CU121" s="32"/>
      <c r="CV121" s="32"/>
      <c r="CW121" s="32"/>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row>
    <row r="122" spans="1:131">
      <c r="A122" s="11"/>
      <c r="B122" s="11" t="s">
        <v>654</v>
      </c>
      <c r="C122" s="393">
        <v>0</v>
      </c>
      <c r="D122" s="393">
        <v>0</v>
      </c>
      <c r="E122" s="393">
        <v>0</v>
      </c>
      <c r="F122" s="393">
        <v>0</v>
      </c>
      <c r="G122" s="393">
        <v>0</v>
      </c>
      <c r="H122" s="393">
        <v>0</v>
      </c>
      <c r="I122" s="393">
        <v>0</v>
      </c>
      <c r="J122" s="393">
        <v>0</v>
      </c>
      <c r="K122" s="393">
        <v>0</v>
      </c>
      <c r="L122" s="394">
        <v>0</v>
      </c>
      <c r="M122" s="393">
        <v>0</v>
      </c>
      <c r="N122" s="393">
        <v>0</v>
      </c>
      <c r="O122" s="393">
        <v>0</v>
      </c>
      <c r="P122" s="393">
        <v>0</v>
      </c>
      <c r="Q122" s="393">
        <v>0</v>
      </c>
      <c r="R122" s="393">
        <v>0</v>
      </c>
      <c r="S122" s="393">
        <v>0</v>
      </c>
      <c r="T122" s="393">
        <v>0</v>
      </c>
      <c r="U122" s="393">
        <v>0</v>
      </c>
      <c r="V122" s="393">
        <v>0</v>
      </c>
      <c r="W122" s="393">
        <v>0</v>
      </c>
      <c r="X122" s="393">
        <v>0</v>
      </c>
      <c r="Y122" s="393">
        <v>0</v>
      </c>
      <c r="Z122" s="393"/>
      <c r="AA122" s="393">
        <v>0</v>
      </c>
      <c r="AB122" s="393">
        <v>0</v>
      </c>
      <c r="AC122" s="393">
        <v>0</v>
      </c>
      <c r="AD122" s="393">
        <v>0</v>
      </c>
      <c r="AE122" s="393">
        <v>0</v>
      </c>
      <c r="AF122" s="393">
        <v>0</v>
      </c>
      <c r="AG122" s="393">
        <v>0</v>
      </c>
      <c r="AH122" s="393">
        <v>0</v>
      </c>
      <c r="AI122" s="393">
        <v>0</v>
      </c>
      <c r="AJ122" s="393">
        <v>0</v>
      </c>
      <c r="AK122" s="393">
        <v>0</v>
      </c>
      <c r="AL122" s="393">
        <v>0</v>
      </c>
      <c r="AM122" s="32"/>
      <c r="AN122" s="32"/>
      <c r="AO122" s="32"/>
      <c r="AP122" s="32"/>
      <c r="AQ122" s="32"/>
      <c r="AR122" s="32"/>
      <c r="AS122" s="32"/>
      <c r="AT122" s="32"/>
      <c r="AU122" s="32"/>
      <c r="AV122" s="32"/>
      <c r="AW122" s="32"/>
      <c r="AX122" s="32"/>
      <c r="AY122" s="32"/>
      <c r="AZ122" s="32"/>
      <c r="BA122" s="32"/>
      <c r="BB122" s="32"/>
      <c r="BC122" s="32"/>
      <c r="BD122" s="32"/>
      <c r="BE122" s="32"/>
      <c r="BF122" s="32"/>
      <c r="BG122" s="32"/>
      <c r="BH122" s="32"/>
      <c r="BI122" s="32"/>
      <c r="BJ122" s="32"/>
      <c r="BK122" s="32"/>
      <c r="BL122" s="32"/>
      <c r="BM122" s="32"/>
      <c r="BN122" s="32"/>
      <c r="BO122" s="32"/>
      <c r="BP122" s="32"/>
      <c r="BQ122" s="32"/>
      <c r="BR122" s="32"/>
      <c r="BS122" s="32"/>
      <c r="BT122" s="32"/>
      <c r="BU122" s="32"/>
      <c r="BV122" s="32"/>
      <c r="BW122" s="32"/>
      <c r="BX122" s="32"/>
      <c r="BY122" s="32"/>
      <c r="BZ122" s="32"/>
      <c r="CA122" s="32"/>
      <c r="CB122" s="32"/>
      <c r="CC122" s="32"/>
      <c r="CD122" s="32"/>
      <c r="CE122" s="32"/>
      <c r="CF122" s="32"/>
      <c r="CG122" s="32"/>
      <c r="CH122" s="32"/>
      <c r="CI122" s="32"/>
      <c r="CJ122" s="32"/>
      <c r="CK122" s="32"/>
      <c r="CL122" s="32"/>
      <c r="CM122" s="32"/>
      <c r="CN122" s="32"/>
      <c r="CO122" s="32"/>
      <c r="CP122" s="32"/>
      <c r="CQ122" s="32"/>
      <c r="CR122" s="32"/>
      <c r="CS122" s="32"/>
      <c r="CT122" s="32"/>
      <c r="CU122" s="32"/>
      <c r="CV122" s="32"/>
      <c r="CW122" s="32"/>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row>
    <row r="123" spans="1:131">
      <c r="A123" s="11"/>
      <c r="B123" s="11" t="s">
        <v>655</v>
      </c>
      <c r="C123" s="393">
        <v>0</v>
      </c>
      <c r="D123" s="393">
        <v>0</v>
      </c>
      <c r="E123" s="393">
        <v>0</v>
      </c>
      <c r="F123" s="393">
        <v>0</v>
      </c>
      <c r="G123" s="393">
        <v>0</v>
      </c>
      <c r="H123" s="393">
        <v>0</v>
      </c>
      <c r="I123" s="393">
        <v>0</v>
      </c>
      <c r="J123" s="393">
        <v>0</v>
      </c>
      <c r="K123" s="393">
        <v>0</v>
      </c>
      <c r="L123" s="394">
        <v>0</v>
      </c>
      <c r="M123" s="393">
        <v>0</v>
      </c>
      <c r="N123" s="393">
        <v>0</v>
      </c>
      <c r="O123" s="393">
        <v>0</v>
      </c>
      <c r="P123" s="393">
        <v>0</v>
      </c>
      <c r="Q123" s="393">
        <v>0</v>
      </c>
      <c r="R123" s="393">
        <v>0</v>
      </c>
      <c r="S123" s="393">
        <v>0</v>
      </c>
      <c r="T123" s="393">
        <v>0</v>
      </c>
      <c r="U123" s="393">
        <v>0</v>
      </c>
      <c r="V123" s="393">
        <v>0</v>
      </c>
      <c r="W123" s="393">
        <v>0</v>
      </c>
      <c r="X123" s="393">
        <v>0</v>
      </c>
      <c r="Y123" s="393">
        <v>0</v>
      </c>
      <c r="Z123" s="393"/>
      <c r="AA123" s="393">
        <v>0</v>
      </c>
      <c r="AB123" s="393">
        <v>0</v>
      </c>
      <c r="AC123" s="393">
        <v>0</v>
      </c>
      <c r="AD123" s="393">
        <v>0</v>
      </c>
      <c r="AE123" s="393">
        <v>0</v>
      </c>
      <c r="AF123" s="393">
        <v>0</v>
      </c>
      <c r="AG123" s="393">
        <v>0</v>
      </c>
      <c r="AH123" s="393">
        <v>0</v>
      </c>
      <c r="AI123" s="393">
        <v>0</v>
      </c>
      <c r="AJ123" s="393">
        <v>0</v>
      </c>
      <c r="AK123" s="393">
        <v>0</v>
      </c>
      <c r="AL123" s="393">
        <v>0</v>
      </c>
      <c r="AM123" s="32"/>
      <c r="AN123" s="32"/>
      <c r="AO123" s="32"/>
      <c r="AP123" s="32"/>
      <c r="AQ123" s="32"/>
      <c r="AR123" s="32"/>
      <c r="AS123" s="32"/>
      <c r="AT123" s="32"/>
      <c r="AU123" s="32"/>
      <c r="AV123" s="32"/>
      <c r="AW123" s="32"/>
      <c r="AX123" s="32"/>
      <c r="AY123" s="32"/>
      <c r="AZ123" s="32"/>
      <c r="BA123" s="32"/>
      <c r="BB123" s="32"/>
      <c r="BC123" s="32"/>
      <c r="BD123" s="32"/>
      <c r="BE123" s="32"/>
      <c r="BF123" s="32"/>
      <c r="BG123" s="32"/>
      <c r="BH123" s="32"/>
      <c r="BI123" s="32"/>
      <c r="BJ123" s="32"/>
      <c r="BK123" s="32"/>
      <c r="BL123" s="32"/>
      <c r="BM123" s="32"/>
      <c r="BN123" s="32"/>
      <c r="BO123" s="32"/>
      <c r="BP123" s="32"/>
      <c r="BQ123" s="32"/>
      <c r="BR123" s="32"/>
      <c r="BS123" s="32"/>
      <c r="BT123" s="32"/>
      <c r="BU123" s="32"/>
      <c r="BV123" s="32"/>
      <c r="BW123" s="32"/>
      <c r="BX123" s="32"/>
      <c r="BY123" s="32"/>
      <c r="BZ123" s="32"/>
      <c r="CA123" s="32"/>
      <c r="CB123" s="32"/>
      <c r="CC123" s="32"/>
      <c r="CD123" s="32"/>
      <c r="CE123" s="32"/>
      <c r="CF123" s="32"/>
      <c r="CG123" s="32"/>
      <c r="CH123" s="32"/>
      <c r="CI123" s="32"/>
      <c r="CJ123" s="32"/>
      <c r="CK123" s="32"/>
      <c r="CL123" s="32"/>
      <c r="CM123" s="32"/>
      <c r="CN123" s="32"/>
      <c r="CO123" s="32"/>
      <c r="CP123" s="32"/>
      <c r="CQ123" s="32"/>
      <c r="CR123" s="32"/>
      <c r="CS123" s="32"/>
      <c r="CT123" s="32"/>
      <c r="CU123" s="32"/>
      <c r="CV123" s="32"/>
      <c r="CW123" s="32"/>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row>
    <row r="124" spans="1:131">
      <c r="A124" s="11"/>
      <c r="B124" s="11" t="s">
        <v>656</v>
      </c>
      <c r="C124" s="393">
        <v>0</v>
      </c>
      <c r="D124" s="393">
        <v>0</v>
      </c>
      <c r="E124" s="393">
        <v>0</v>
      </c>
      <c r="F124" s="393">
        <v>0</v>
      </c>
      <c r="G124" s="393">
        <v>0</v>
      </c>
      <c r="H124" s="393">
        <v>0</v>
      </c>
      <c r="I124" s="393">
        <v>0</v>
      </c>
      <c r="J124" s="393">
        <v>0</v>
      </c>
      <c r="K124" s="393">
        <v>0</v>
      </c>
      <c r="L124" s="394">
        <v>0</v>
      </c>
      <c r="M124" s="393">
        <v>0</v>
      </c>
      <c r="N124" s="393">
        <v>0</v>
      </c>
      <c r="O124" s="393">
        <v>0</v>
      </c>
      <c r="P124" s="393">
        <v>0</v>
      </c>
      <c r="Q124" s="393">
        <v>0</v>
      </c>
      <c r="R124" s="393">
        <v>0</v>
      </c>
      <c r="S124" s="393">
        <v>0</v>
      </c>
      <c r="T124" s="393">
        <v>0</v>
      </c>
      <c r="U124" s="393">
        <v>0</v>
      </c>
      <c r="V124" s="393">
        <v>0</v>
      </c>
      <c r="W124" s="393">
        <v>0</v>
      </c>
      <c r="X124" s="393">
        <v>0</v>
      </c>
      <c r="Y124" s="393">
        <v>0</v>
      </c>
      <c r="Z124" s="393"/>
      <c r="AA124" s="393">
        <v>0</v>
      </c>
      <c r="AB124" s="393">
        <v>0</v>
      </c>
      <c r="AC124" s="393">
        <v>0</v>
      </c>
      <c r="AD124" s="393">
        <v>0</v>
      </c>
      <c r="AE124" s="393">
        <v>0</v>
      </c>
      <c r="AF124" s="393">
        <v>0</v>
      </c>
      <c r="AG124" s="393">
        <v>0</v>
      </c>
      <c r="AH124" s="393">
        <v>0</v>
      </c>
      <c r="AI124" s="393">
        <v>0</v>
      </c>
      <c r="AJ124" s="393">
        <v>0</v>
      </c>
      <c r="AK124" s="393">
        <v>0</v>
      </c>
      <c r="AL124" s="393">
        <v>0</v>
      </c>
      <c r="AM124" s="32"/>
      <c r="AN124" s="32"/>
      <c r="AO124" s="32"/>
      <c r="AP124" s="32"/>
      <c r="AQ124" s="32"/>
      <c r="AR124" s="32"/>
      <c r="AS124" s="32"/>
      <c r="AT124" s="32"/>
      <c r="AU124" s="32"/>
      <c r="AV124" s="32"/>
      <c r="AW124" s="32"/>
      <c r="AX124" s="32"/>
      <c r="AY124" s="32"/>
      <c r="AZ124" s="32"/>
      <c r="BA124" s="32"/>
      <c r="BB124" s="32"/>
      <c r="BC124" s="32"/>
      <c r="BD124" s="32"/>
      <c r="BE124" s="32"/>
      <c r="BF124" s="32"/>
      <c r="BG124" s="32"/>
      <c r="BH124" s="32"/>
      <c r="BI124" s="32"/>
      <c r="BJ124" s="32"/>
      <c r="BK124" s="32"/>
      <c r="BL124" s="32"/>
      <c r="BM124" s="32"/>
      <c r="BN124" s="32"/>
      <c r="BO124" s="32"/>
      <c r="BP124" s="32"/>
      <c r="BQ124" s="32"/>
      <c r="BR124" s="32"/>
      <c r="BS124" s="32"/>
      <c r="BT124" s="32"/>
      <c r="BU124" s="32"/>
      <c r="BV124" s="32"/>
      <c r="BW124" s="32"/>
      <c r="BX124" s="32"/>
      <c r="BY124" s="32"/>
      <c r="BZ124" s="32"/>
      <c r="CA124" s="32"/>
      <c r="CB124" s="32"/>
      <c r="CC124" s="32"/>
      <c r="CD124" s="32"/>
      <c r="CE124" s="32"/>
      <c r="CF124" s="32"/>
      <c r="CG124" s="32"/>
      <c r="CH124" s="32"/>
      <c r="CI124" s="32"/>
      <c r="CJ124" s="32"/>
      <c r="CK124" s="32"/>
      <c r="CL124" s="32"/>
      <c r="CM124" s="32"/>
      <c r="CN124" s="32"/>
      <c r="CO124" s="32"/>
      <c r="CP124" s="32"/>
      <c r="CQ124" s="32"/>
      <c r="CR124" s="32"/>
      <c r="CS124" s="32"/>
      <c r="CT124" s="32"/>
      <c r="CU124" s="32"/>
      <c r="CV124" s="32"/>
      <c r="CW124" s="32"/>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row>
    <row r="125" spans="1:131">
      <c r="A125" s="11"/>
      <c r="B125" s="11" t="s">
        <v>657</v>
      </c>
      <c r="C125" s="393">
        <v>0</v>
      </c>
      <c r="D125" s="393">
        <v>0</v>
      </c>
      <c r="E125" s="393">
        <v>0</v>
      </c>
      <c r="F125" s="393">
        <v>0</v>
      </c>
      <c r="G125" s="393">
        <v>0</v>
      </c>
      <c r="H125" s="393">
        <v>0</v>
      </c>
      <c r="I125" s="393">
        <v>0</v>
      </c>
      <c r="J125" s="393">
        <v>0</v>
      </c>
      <c r="K125" s="393">
        <v>0</v>
      </c>
      <c r="L125" s="394">
        <v>0</v>
      </c>
      <c r="M125" s="393">
        <v>0</v>
      </c>
      <c r="N125" s="393">
        <v>0</v>
      </c>
      <c r="O125" s="393">
        <v>0</v>
      </c>
      <c r="P125" s="393">
        <v>0</v>
      </c>
      <c r="Q125" s="393">
        <v>0</v>
      </c>
      <c r="R125" s="393">
        <v>0</v>
      </c>
      <c r="S125" s="393">
        <v>0</v>
      </c>
      <c r="T125" s="393">
        <v>0</v>
      </c>
      <c r="U125" s="393">
        <v>0</v>
      </c>
      <c r="V125" s="393">
        <v>0</v>
      </c>
      <c r="W125" s="393">
        <v>0</v>
      </c>
      <c r="X125" s="393">
        <v>0</v>
      </c>
      <c r="Y125" s="393">
        <v>0</v>
      </c>
      <c r="Z125" s="393"/>
      <c r="AA125" s="393">
        <v>0</v>
      </c>
      <c r="AB125" s="393">
        <v>0</v>
      </c>
      <c r="AC125" s="393">
        <v>0</v>
      </c>
      <c r="AD125" s="393">
        <v>0</v>
      </c>
      <c r="AE125" s="393">
        <v>0</v>
      </c>
      <c r="AF125" s="393">
        <v>0</v>
      </c>
      <c r="AG125" s="393">
        <v>0</v>
      </c>
      <c r="AH125" s="393">
        <v>0</v>
      </c>
      <c r="AI125" s="393">
        <v>0</v>
      </c>
      <c r="AJ125" s="393">
        <v>0</v>
      </c>
      <c r="AK125" s="393">
        <v>0</v>
      </c>
      <c r="AL125" s="393">
        <v>0</v>
      </c>
      <c r="AM125" s="32"/>
      <c r="AN125" s="32"/>
      <c r="AO125" s="32"/>
      <c r="AP125" s="32"/>
      <c r="AQ125" s="32"/>
      <c r="AR125" s="32"/>
      <c r="AS125" s="32"/>
      <c r="AT125" s="32"/>
      <c r="AU125" s="32"/>
      <c r="AV125" s="32"/>
      <c r="AW125" s="32"/>
      <c r="AX125" s="32"/>
      <c r="AY125" s="32"/>
      <c r="AZ125" s="32"/>
      <c r="BA125" s="32"/>
      <c r="BB125" s="32"/>
      <c r="BC125" s="32"/>
      <c r="BD125" s="32"/>
      <c r="BE125" s="32"/>
      <c r="BF125" s="32"/>
      <c r="BG125" s="32"/>
      <c r="BH125" s="32"/>
      <c r="BI125" s="32"/>
      <c r="BJ125" s="32"/>
      <c r="BK125" s="32"/>
      <c r="BL125" s="32"/>
      <c r="BM125" s="32"/>
      <c r="BN125" s="32"/>
      <c r="BO125" s="32"/>
      <c r="BP125" s="32"/>
      <c r="BQ125" s="32"/>
      <c r="BR125" s="32"/>
      <c r="BS125" s="32"/>
      <c r="BT125" s="32"/>
      <c r="BU125" s="32"/>
      <c r="BV125" s="32"/>
      <c r="BW125" s="32"/>
      <c r="BX125" s="32"/>
      <c r="BY125" s="32"/>
      <c r="BZ125" s="32"/>
      <c r="CA125" s="32"/>
      <c r="CB125" s="32"/>
      <c r="CC125" s="32"/>
      <c r="CD125" s="32"/>
      <c r="CE125" s="32"/>
      <c r="CF125" s="32"/>
      <c r="CG125" s="32"/>
      <c r="CH125" s="32"/>
      <c r="CI125" s="32"/>
      <c r="CJ125" s="32"/>
      <c r="CK125" s="32"/>
      <c r="CL125" s="32"/>
      <c r="CM125" s="32"/>
      <c r="CN125" s="32"/>
      <c r="CO125" s="32"/>
      <c r="CP125" s="32"/>
      <c r="CQ125" s="32"/>
      <c r="CR125" s="32"/>
      <c r="CS125" s="32"/>
      <c r="CT125" s="32"/>
      <c r="CU125" s="32"/>
      <c r="CV125" s="32"/>
      <c r="CW125" s="32"/>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row>
    <row r="126" spans="1:131">
      <c r="A126" s="11"/>
      <c r="B126" s="11" t="s">
        <v>658</v>
      </c>
      <c r="C126" s="393">
        <v>0</v>
      </c>
      <c r="D126" s="393">
        <v>0</v>
      </c>
      <c r="E126" s="393">
        <v>0</v>
      </c>
      <c r="F126" s="393">
        <v>0</v>
      </c>
      <c r="G126" s="393">
        <v>0</v>
      </c>
      <c r="H126" s="393">
        <v>0</v>
      </c>
      <c r="I126" s="393">
        <v>0</v>
      </c>
      <c r="J126" s="393">
        <v>0</v>
      </c>
      <c r="K126" s="393">
        <v>0</v>
      </c>
      <c r="L126" s="394">
        <v>0</v>
      </c>
      <c r="M126" s="393">
        <v>0</v>
      </c>
      <c r="N126" s="393">
        <v>0</v>
      </c>
      <c r="O126" s="393">
        <v>0</v>
      </c>
      <c r="P126" s="393">
        <v>0</v>
      </c>
      <c r="Q126" s="393">
        <v>0</v>
      </c>
      <c r="R126" s="393">
        <v>0</v>
      </c>
      <c r="S126" s="393">
        <v>0</v>
      </c>
      <c r="T126" s="393">
        <v>0</v>
      </c>
      <c r="U126" s="393">
        <v>0</v>
      </c>
      <c r="V126" s="393">
        <v>0</v>
      </c>
      <c r="W126" s="393">
        <v>0</v>
      </c>
      <c r="X126" s="393">
        <v>0</v>
      </c>
      <c r="Y126" s="393">
        <v>0</v>
      </c>
      <c r="Z126" s="393"/>
      <c r="AA126" s="393">
        <v>0</v>
      </c>
      <c r="AB126" s="393">
        <v>0</v>
      </c>
      <c r="AC126" s="393">
        <v>0</v>
      </c>
      <c r="AD126" s="393">
        <v>0</v>
      </c>
      <c r="AE126" s="393">
        <v>0</v>
      </c>
      <c r="AF126" s="393">
        <v>0</v>
      </c>
      <c r="AG126" s="393">
        <v>0</v>
      </c>
      <c r="AH126" s="393">
        <v>0</v>
      </c>
      <c r="AI126" s="393">
        <v>0</v>
      </c>
      <c r="AJ126" s="393">
        <v>0</v>
      </c>
      <c r="AK126" s="393">
        <v>0</v>
      </c>
      <c r="AL126" s="393">
        <v>0</v>
      </c>
      <c r="AM126" s="32"/>
      <c r="AN126" s="32"/>
      <c r="AO126" s="32"/>
      <c r="AP126" s="32"/>
      <c r="AQ126" s="32"/>
      <c r="AR126" s="32"/>
      <c r="AS126" s="32"/>
      <c r="AT126" s="32"/>
      <c r="AU126" s="32"/>
      <c r="AV126" s="32"/>
      <c r="AW126" s="32"/>
      <c r="AX126" s="32"/>
      <c r="AY126" s="32"/>
      <c r="AZ126" s="32"/>
      <c r="BA126" s="32"/>
      <c r="BB126" s="32"/>
      <c r="BC126" s="32"/>
      <c r="BD126" s="32"/>
      <c r="BE126" s="32"/>
      <c r="BF126" s="32"/>
      <c r="BG126" s="32"/>
      <c r="BH126" s="32"/>
      <c r="BI126" s="32"/>
      <c r="BJ126" s="32"/>
      <c r="BK126" s="32"/>
      <c r="BL126" s="32"/>
      <c r="BM126" s="32"/>
      <c r="BN126" s="32"/>
      <c r="BO126" s="32"/>
      <c r="BP126" s="32"/>
      <c r="BQ126" s="32"/>
      <c r="BR126" s="32"/>
      <c r="BS126" s="32"/>
      <c r="BT126" s="32"/>
      <c r="BU126" s="32"/>
      <c r="BV126" s="32"/>
      <c r="BW126" s="32"/>
      <c r="BX126" s="32"/>
      <c r="BY126" s="32"/>
      <c r="BZ126" s="32"/>
      <c r="CA126" s="32"/>
      <c r="CB126" s="32"/>
      <c r="CC126" s="32"/>
      <c r="CD126" s="32"/>
      <c r="CE126" s="32"/>
      <c r="CF126" s="32"/>
      <c r="CG126" s="32"/>
      <c r="CH126" s="32"/>
      <c r="CI126" s="32"/>
      <c r="CJ126" s="32"/>
      <c r="CK126" s="32"/>
      <c r="CL126" s="32"/>
      <c r="CM126" s="32"/>
      <c r="CN126" s="32"/>
      <c r="CO126" s="32"/>
      <c r="CP126" s="32"/>
      <c r="CQ126" s="32"/>
      <c r="CR126" s="32"/>
      <c r="CS126" s="32"/>
      <c r="CT126" s="32"/>
      <c r="CU126" s="32"/>
      <c r="CV126" s="32"/>
      <c r="CW126" s="32"/>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row>
    <row r="127" spans="1:131">
      <c r="A127" s="11"/>
      <c r="B127" s="11" t="s">
        <v>659</v>
      </c>
      <c r="C127" s="393">
        <v>0</v>
      </c>
      <c r="D127" s="393">
        <v>0</v>
      </c>
      <c r="E127" s="393">
        <v>0</v>
      </c>
      <c r="F127" s="393">
        <v>0</v>
      </c>
      <c r="G127" s="393">
        <v>0</v>
      </c>
      <c r="H127" s="393">
        <v>0</v>
      </c>
      <c r="I127" s="393">
        <v>0</v>
      </c>
      <c r="J127" s="393">
        <v>0</v>
      </c>
      <c r="K127" s="393">
        <v>0</v>
      </c>
      <c r="L127" s="394">
        <v>0</v>
      </c>
      <c r="M127" s="393">
        <v>0</v>
      </c>
      <c r="N127" s="393">
        <v>0</v>
      </c>
      <c r="O127" s="393">
        <v>0</v>
      </c>
      <c r="P127" s="393">
        <v>0</v>
      </c>
      <c r="Q127" s="393">
        <v>0</v>
      </c>
      <c r="R127" s="393">
        <v>0</v>
      </c>
      <c r="S127" s="393">
        <v>0</v>
      </c>
      <c r="T127" s="393">
        <v>0</v>
      </c>
      <c r="U127" s="393">
        <v>0</v>
      </c>
      <c r="V127" s="393">
        <v>0</v>
      </c>
      <c r="W127" s="393">
        <v>0</v>
      </c>
      <c r="X127" s="393">
        <v>0</v>
      </c>
      <c r="Y127" s="393">
        <v>0</v>
      </c>
      <c r="Z127" s="393"/>
      <c r="AA127" s="393">
        <v>0</v>
      </c>
      <c r="AB127" s="393">
        <v>0</v>
      </c>
      <c r="AC127" s="393">
        <v>0</v>
      </c>
      <c r="AD127" s="393">
        <v>0</v>
      </c>
      <c r="AE127" s="393">
        <v>0</v>
      </c>
      <c r="AF127" s="393">
        <v>0</v>
      </c>
      <c r="AG127" s="393">
        <v>0</v>
      </c>
      <c r="AH127" s="393">
        <v>0</v>
      </c>
      <c r="AI127" s="393">
        <v>0</v>
      </c>
      <c r="AJ127" s="393">
        <v>0</v>
      </c>
      <c r="AK127" s="393">
        <v>0</v>
      </c>
      <c r="AL127" s="393">
        <v>0</v>
      </c>
      <c r="AM127" s="32"/>
      <c r="AN127" s="32"/>
      <c r="AO127" s="32"/>
      <c r="AP127" s="32"/>
      <c r="AQ127" s="32"/>
      <c r="AR127" s="32"/>
      <c r="AS127" s="32"/>
      <c r="AT127" s="32"/>
      <c r="AU127" s="32"/>
      <c r="AV127" s="32"/>
      <c r="AW127" s="32"/>
      <c r="AX127" s="32"/>
      <c r="AY127" s="32"/>
      <c r="AZ127" s="32"/>
      <c r="BA127" s="32"/>
      <c r="BB127" s="32"/>
      <c r="BC127" s="32"/>
      <c r="BD127" s="32"/>
      <c r="BE127" s="32"/>
      <c r="BF127" s="32"/>
      <c r="BG127" s="32"/>
      <c r="BH127" s="32"/>
      <c r="BI127" s="32"/>
      <c r="BJ127" s="32"/>
      <c r="BK127" s="32"/>
      <c r="BL127" s="32"/>
      <c r="BM127" s="32"/>
      <c r="BN127" s="32"/>
      <c r="BO127" s="32"/>
      <c r="BP127" s="32"/>
      <c r="BQ127" s="32"/>
      <c r="BR127" s="32"/>
      <c r="BS127" s="32"/>
      <c r="BT127" s="32"/>
      <c r="BU127" s="32"/>
      <c r="BV127" s="32"/>
      <c r="BW127" s="32"/>
      <c r="BX127" s="32"/>
      <c r="BY127" s="32"/>
      <c r="BZ127" s="32"/>
      <c r="CA127" s="32"/>
      <c r="CB127" s="32"/>
      <c r="CC127" s="32"/>
      <c r="CD127" s="32"/>
      <c r="CE127" s="32"/>
      <c r="CF127" s="32"/>
      <c r="CG127" s="32"/>
      <c r="CH127" s="32"/>
      <c r="CI127" s="32"/>
      <c r="CJ127" s="32"/>
      <c r="CK127" s="32"/>
      <c r="CL127" s="32"/>
      <c r="CM127" s="32"/>
      <c r="CN127" s="32"/>
      <c r="CO127" s="32"/>
      <c r="CP127" s="32"/>
      <c r="CQ127" s="32"/>
      <c r="CR127" s="32"/>
      <c r="CS127" s="32"/>
      <c r="CT127" s="32"/>
      <c r="CU127" s="32"/>
      <c r="CV127" s="32"/>
      <c r="CW127" s="32"/>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row>
    <row r="128" spans="1:131">
      <c r="A128" s="11"/>
      <c r="B128" s="11" t="s">
        <v>660</v>
      </c>
      <c r="C128" s="393">
        <v>0</v>
      </c>
      <c r="D128" s="393">
        <v>0</v>
      </c>
      <c r="E128" s="393">
        <v>0</v>
      </c>
      <c r="F128" s="393">
        <v>0</v>
      </c>
      <c r="G128" s="393">
        <v>0</v>
      </c>
      <c r="H128" s="393">
        <v>0</v>
      </c>
      <c r="I128" s="393">
        <v>0</v>
      </c>
      <c r="J128" s="393">
        <v>0</v>
      </c>
      <c r="K128" s="393">
        <v>0</v>
      </c>
      <c r="L128" s="394">
        <v>0</v>
      </c>
      <c r="M128" s="393">
        <v>0</v>
      </c>
      <c r="N128" s="393">
        <v>0</v>
      </c>
      <c r="O128" s="393">
        <v>0</v>
      </c>
      <c r="P128" s="393">
        <v>0</v>
      </c>
      <c r="Q128" s="393">
        <v>0</v>
      </c>
      <c r="R128" s="393">
        <v>0</v>
      </c>
      <c r="S128" s="393">
        <v>0</v>
      </c>
      <c r="T128" s="393">
        <v>0</v>
      </c>
      <c r="U128" s="393">
        <v>0</v>
      </c>
      <c r="V128" s="393">
        <v>0</v>
      </c>
      <c r="W128" s="393">
        <v>0</v>
      </c>
      <c r="X128" s="393">
        <v>0</v>
      </c>
      <c r="Y128" s="393">
        <v>0</v>
      </c>
      <c r="Z128" s="393"/>
      <c r="AA128" s="393">
        <v>0</v>
      </c>
      <c r="AB128" s="393">
        <v>0</v>
      </c>
      <c r="AC128" s="393">
        <v>0</v>
      </c>
      <c r="AD128" s="393">
        <v>0</v>
      </c>
      <c r="AE128" s="393">
        <v>0</v>
      </c>
      <c r="AF128" s="393">
        <v>0</v>
      </c>
      <c r="AG128" s="393">
        <v>0</v>
      </c>
      <c r="AH128" s="393">
        <v>0</v>
      </c>
      <c r="AI128" s="393">
        <v>0</v>
      </c>
      <c r="AJ128" s="393">
        <v>0</v>
      </c>
      <c r="AK128" s="393">
        <v>0</v>
      </c>
      <c r="AL128" s="393">
        <v>0</v>
      </c>
      <c r="AM128" s="32"/>
      <c r="AN128" s="32"/>
      <c r="AO128" s="32"/>
      <c r="AP128" s="32"/>
      <c r="AQ128" s="32"/>
      <c r="AR128" s="32"/>
      <c r="AS128" s="32"/>
      <c r="AT128" s="32"/>
      <c r="AU128" s="32"/>
      <c r="AV128" s="32"/>
      <c r="AW128" s="32"/>
      <c r="AX128" s="32"/>
      <c r="AY128" s="32"/>
      <c r="AZ128" s="32"/>
      <c r="BA128" s="32"/>
      <c r="BB128" s="32"/>
      <c r="BC128" s="32"/>
      <c r="BD128" s="32"/>
      <c r="BE128" s="32"/>
      <c r="BF128" s="32"/>
      <c r="BG128" s="32"/>
      <c r="BH128" s="32"/>
      <c r="BI128" s="32"/>
      <c r="BJ128" s="32"/>
      <c r="BK128" s="32"/>
      <c r="BL128" s="32"/>
      <c r="BM128" s="32"/>
      <c r="BN128" s="32"/>
      <c r="BO128" s="32"/>
      <c r="BP128" s="32"/>
      <c r="BQ128" s="32"/>
      <c r="BR128" s="32"/>
      <c r="BS128" s="32"/>
      <c r="BT128" s="32"/>
      <c r="BU128" s="32"/>
      <c r="BV128" s="32"/>
      <c r="BW128" s="32"/>
      <c r="BX128" s="32"/>
      <c r="BY128" s="32"/>
      <c r="BZ128" s="32"/>
      <c r="CA128" s="32"/>
      <c r="CB128" s="32"/>
      <c r="CC128" s="32"/>
      <c r="CD128" s="32"/>
      <c r="CE128" s="32"/>
      <c r="CF128" s="32"/>
      <c r="CG128" s="32"/>
      <c r="CH128" s="32"/>
      <c r="CI128" s="32"/>
      <c r="CJ128" s="32"/>
      <c r="CK128" s="32"/>
      <c r="CL128" s="32"/>
      <c r="CM128" s="32"/>
      <c r="CN128" s="32"/>
      <c r="CO128" s="32"/>
      <c r="CP128" s="32"/>
      <c r="CQ128" s="32"/>
      <c r="CR128" s="32"/>
      <c r="CS128" s="32"/>
      <c r="CT128" s="32"/>
      <c r="CU128" s="32"/>
      <c r="CV128" s="32"/>
      <c r="CW128" s="32"/>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row>
    <row r="129" spans="1:131">
      <c r="A129" s="11"/>
      <c r="B129" s="11"/>
      <c r="C129" s="32"/>
      <c r="D129" s="32"/>
      <c r="E129" s="32"/>
      <c r="F129" s="32"/>
      <c r="G129" s="32"/>
      <c r="H129" s="32"/>
      <c r="I129" s="32"/>
      <c r="J129" s="32"/>
      <c r="K129" s="32"/>
      <c r="L129" s="32"/>
      <c r="M129" s="32"/>
      <c r="N129" s="32"/>
      <c r="O129" s="32"/>
      <c r="P129" s="32"/>
      <c r="Q129" s="32"/>
      <c r="R129" s="32"/>
      <c r="S129" s="32"/>
      <c r="T129" s="32"/>
      <c r="U129" s="32"/>
      <c r="V129" s="32"/>
      <c r="W129" s="32"/>
      <c r="X129" s="32"/>
      <c r="Y129" s="32"/>
      <c r="Z129" s="32"/>
      <c r="AA129" s="32"/>
      <c r="AB129" s="32"/>
      <c r="AC129" s="32"/>
      <c r="AD129" s="32"/>
      <c r="AE129" s="32"/>
      <c r="AF129" s="32"/>
      <c r="AG129" s="32"/>
      <c r="AH129" s="32"/>
      <c r="AI129" s="32"/>
      <c r="AJ129" s="32"/>
      <c r="AK129" s="32"/>
      <c r="AL129" s="32"/>
      <c r="AM129" s="32"/>
      <c r="AN129" s="32"/>
      <c r="AO129" s="32"/>
      <c r="AP129" s="32"/>
      <c r="AQ129" s="32"/>
      <c r="AR129" s="32"/>
      <c r="AS129" s="32"/>
      <c r="AT129" s="32"/>
      <c r="AU129" s="32"/>
      <c r="AV129" s="32"/>
      <c r="AW129" s="32"/>
      <c r="AX129" s="32"/>
      <c r="AY129" s="32"/>
      <c r="AZ129" s="32"/>
      <c r="BA129" s="32"/>
      <c r="BB129" s="32"/>
      <c r="BC129" s="32"/>
      <c r="BD129" s="32"/>
      <c r="BE129" s="32"/>
      <c r="BF129" s="32"/>
      <c r="BG129" s="32"/>
      <c r="BH129" s="32"/>
      <c r="BI129" s="32"/>
      <c r="BJ129" s="32"/>
      <c r="BK129" s="32"/>
      <c r="BL129" s="32"/>
      <c r="BM129" s="32"/>
      <c r="BN129" s="32"/>
      <c r="BO129" s="32"/>
      <c r="BP129" s="32"/>
      <c r="BQ129" s="32"/>
      <c r="BR129" s="32"/>
      <c r="BS129" s="32"/>
      <c r="BT129" s="32"/>
      <c r="BU129" s="32"/>
      <c r="BV129" s="32"/>
      <c r="BW129" s="32"/>
      <c r="BX129" s="32"/>
      <c r="BY129" s="32"/>
      <c r="BZ129" s="32"/>
      <c r="CA129" s="32"/>
      <c r="CB129" s="32"/>
      <c r="CC129" s="32"/>
      <c r="CD129" s="32"/>
      <c r="CE129" s="32"/>
      <c r="CF129" s="32"/>
      <c r="CG129" s="32"/>
      <c r="CH129" s="32"/>
      <c r="CI129" s="32"/>
      <c r="CJ129" s="32"/>
      <c r="CK129" s="32"/>
      <c r="CL129" s="32"/>
      <c r="CM129" s="32"/>
      <c r="CN129" s="32"/>
      <c r="CO129" s="32"/>
      <c r="CP129" s="32"/>
      <c r="CQ129" s="32"/>
      <c r="CR129" s="32"/>
      <c r="CS129" s="32"/>
      <c r="CT129" s="32"/>
      <c r="CU129" s="32"/>
      <c r="CV129" s="32"/>
      <c r="CW129" s="32"/>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row>
    <row r="130" spans="1:131">
      <c r="A130" s="11"/>
      <c r="B130" s="11"/>
      <c r="C130" s="32"/>
      <c r="D130" s="32"/>
      <c r="E130" s="32"/>
      <c r="F130" s="32"/>
      <c r="G130" s="32"/>
      <c r="H130" s="32"/>
      <c r="I130" s="32"/>
      <c r="J130" s="32"/>
      <c r="K130" s="32"/>
      <c r="L130" s="32"/>
      <c r="M130" s="32"/>
      <c r="N130" s="32"/>
      <c r="O130" s="32"/>
      <c r="P130" s="32"/>
      <c r="Q130" s="32"/>
      <c r="R130" s="32"/>
      <c r="S130" s="32"/>
      <c r="T130" s="32"/>
      <c r="U130" s="32"/>
      <c r="V130" s="32"/>
      <c r="W130" s="32"/>
      <c r="X130" s="32"/>
      <c r="Y130" s="32"/>
      <c r="Z130" s="32"/>
      <c r="AA130" s="32"/>
      <c r="AB130" s="32"/>
      <c r="AC130" s="32"/>
      <c r="AD130" s="32"/>
      <c r="AE130" s="32"/>
      <c r="AF130" s="32"/>
      <c r="AG130" s="32"/>
      <c r="AH130" s="32"/>
      <c r="AI130" s="32"/>
      <c r="AJ130" s="32"/>
      <c r="AK130" s="32"/>
      <c r="AL130" s="32"/>
      <c r="AM130" s="32"/>
      <c r="AN130" s="32"/>
      <c r="AO130" s="32"/>
      <c r="AP130" s="32"/>
      <c r="AQ130" s="32"/>
      <c r="AR130" s="32"/>
      <c r="AS130" s="32"/>
      <c r="AT130" s="32"/>
      <c r="AU130" s="32"/>
      <c r="AV130" s="32"/>
      <c r="AW130" s="32"/>
      <c r="AX130" s="32"/>
      <c r="AY130" s="32"/>
      <c r="AZ130" s="32"/>
      <c r="BA130" s="32"/>
      <c r="BB130" s="32"/>
      <c r="BC130" s="32"/>
      <c r="BD130" s="32"/>
      <c r="BE130" s="32"/>
      <c r="BF130" s="32"/>
      <c r="BG130" s="32"/>
      <c r="BH130" s="32"/>
      <c r="BI130" s="32"/>
      <c r="BJ130" s="32"/>
      <c r="BK130" s="32"/>
      <c r="BL130" s="32"/>
      <c r="BM130" s="32"/>
      <c r="BN130" s="32"/>
      <c r="BO130" s="32"/>
      <c r="BP130" s="32"/>
      <c r="BQ130" s="32"/>
      <c r="BR130" s="32"/>
      <c r="BS130" s="32"/>
      <c r="BT130" s="32"/>
      <c r="BU130" s="32"/>
      <c r="BV130" s="32"/>
      <c r="BW130" s="32"/>
      <c r="BX130" s="32"/>
      <c r="BY130" s="32"/>
      <c r="BZ130" s="32"/>
      <c r="CA130" s="32"/>
      <c r="CB130" s="32"/>
      <c r="CC130" s="32"/>
      <c r="CD130" s="32"/>
      <c r="CE130" s="32"/>
      <c r="CF130" s="32"/>
      <c r="CG130" s="32"/>
      <c r="CH130" s="32"/>
      <c r="CI130" s="32"/>
      <c r="CJ130" s="32"/>
      <c r="CK130" s="32"/>
      <c r="CL130" s="32"/>
      <c r="CM130" s="32"/>
      <c r="CN130" s="32"/>
      <c r="CO130" s="32"/>
      <c r="CP130" s="32"/>
      <c r="CQ130" s="32"/>
      <c r="CR130" s="32"/>
      <c r="CS130" s="32"/>
      <c r="CT130" s="32"/>
      <c r="CU130" s="32"/>
      <c r="CV130" s="32"/>
      <c r="CW130" s="32"/>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row>
    <row r="131" spans="1:131" ht="13.5" thickBot="1">
      <c r="A131" s="367" t="s">
        <v>661</v>
      </c>
      <c r="B131" s="369"/>
      <c r="C131" s="32"/>
      <c r="D131" s="32"/>
      <c r="E131" s="32"/>
      <c r="F131" s="32"/>
      <c r="G131" s="32"/>
      <c r="H131" s="32"/>
      <c r="I131" s="32"/>
      <c r="J131" s="32"/>
      <c r="K131" s="32"/>
      <c r="L131" s="32"/>
      <c r="M131" s="32"/>
      <c r="N131" s="32"/>
      <c r="O131" s="32"/>
      <c r="P131" s="32"/>
      <c r="Q131" s="32"/>
      <c r="R131" s="32"/>
      <c r="S131" s="32"/>
      <c r="T131" s="32"/>
      <c r="U131" s="32"/>
      <c r="V131" s="32"/>
      <c r="W131" s="32"/>
      <c r="X131" s="32"/>
      <c r="Y131" s="32"/>
      <c r="Z131" s="32"/>
      <c r="AA131" s="32"/>
      <c r="AB131" s="32"/>
      <c r="AC131" s="32"/>
      <c r="AD131" s="32"/>
      <c r="AE131" s="32"/>
      <c r="AF131" s="32"/>
      <c r="AG131" s="32"/>
      <c r="AH131" s="32"/>
      <c r="AI131" s="32"/>
      <c r="AJ131" s="32"/>
      <c r="AK131" s="32"/>
      <c r="AL131" s="32"/>
      <c r="AM131" s="32"/>
      <c r="AN131" s="32"/>
      <c r="AO131" s="32"/>
      <c r="AP131" s="32"/>
      <c r="AQ131" s="32"/>
      <c r="AR131" s="32"/>
      <c r="AS131" s="32"/>
      <c r="AT131" s="32"/>
      <c r="AU131" s="32"/>
      <c r="AV131" s="32"/>
      <c r="AW131" s="32"/>
      <c r="AX131" s="32"/>
      <c r="AY131" s="32"/>
      <c r="AZ131" s="32"/>
      <c r="BA131" s="32"/>
      <c r="BB131" s="32"/>
      <c r="BC131" s="32"/>
      <c r="BD131" s="32"/>
      <c r="BE131" s="32"/>
      <c r="BF131" s="32"/>
      <c r="BG131" s="32"/>
      <c r="BH131" s="32"/>
      <c r="BI131" s="32"/>
      <c r="BJ131" s="32"/>
      <c r="BK131" s="32"/>
      <c r="BL131" s="32"/>
      <c r="BM131" s="32"/>
      <c r="BN131" s="32"/>
      <c r="BO131" s="32"/>
      <c r="BP131" s="32"/>
      <c r="BQ131" s="32"/>
      <c r="BR131" s="32"/>
      <c r="BS131" s="32"/>
      <c r="BT131" s="32"/>
      <c r="BU131" s="32"/>
      <c r="BV131" s="32"/>
      <c r="BW131" s="32"/>
      <c r="BX131" s="32"/>
      <c r="BY131" s="32"/>
      <c r="BZ131" s="32"/>
      <c r="CA131" s="32"/>
      <c r="CB131" s="32"/>
      <c r="CC131" s="32"/>
      <c r="CD131" s="32"/>
      <c r="CE131" s="32"/>
      <c r="CF131" s="32"/>
      <c r="CG131" s="32"/>
      <c r="CH131" s="32"/>
      <c r="CI131" s="32"/>
      <c r="CJ131" s="32"/>
      <c r="CK131" s="32"/>
      <c r="CL131" s="32"/>
      <c r="CM131" s="32"/>
      <c r="CN131" s="32"/>
      <c r="CO131" s="32"/>
      <c r="CP131" s="32"/>
      <c r="CQ131" s="32"/>
      <c r="CR131" s="32"/>
      <c r="CS131" s="32"/>
      <c r="CT131" s="32"/>
      <c r="CU131" s="32"/>
      <c r="CV131" s="32"/>
      <c r="CW131" s="32"/>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row>
    <row r="132" spans="1:131" ht="13.5" thickBot="1">
      <c r="A132" s="395"/>
      <c r="B132" s="396"/>
      <c r="C132" s="397"/>
      <c r="D132" s="397"/>
      <c r="E132" s="397"/>
      <c r="F132" s="397"/>
      <c r="G132" s="397"/>
      <c r="H132" s="397"/>
      <c r="I132" s="397"/>
      <c r="J132" s="397"/>
      <c r="K132" s="397"/>
      <c r="L132" s="397"/>
      <c r="M132" s="397"/>
      <c r="N132" s="397"/>
      <c r="O132" s="398" t="s">
        <v>956</v>
      </c>
      <c r="P132" s="399"/>
      <c r="Q132" s="399"/>
      <c r="R132" s="399"/>
      <c r="S132" s="399"/>
      <c r="T132" s="399"/>
      <c r="U132" s="399"/>
      <c r="V132" s="399"/>
      <c r="W132" s="399"/>
      <c r="X132" s="399"/>
      <c r="Y132" s="399"/>
      <c r="Z132" s="387"/>
      <c r="AA132" s="397"/>
      <c r="AB132" s="398" t="s">
        <v>957</v>
      </c>
      <c r="AC132" s="399"/>
      <c r="AD132" s="399"/>
      <c r="AE132" s="399"/>
      <c r="AF132" s="399"/>
      <c r="AG132" s="399"/>
      <c r="AH132" s="399"/>
      <c r="AI132" s="399"/>
      <c r="AJ132" s="399"/>
      <c r="AK132" s="399"/>
      <c r="AL132" s="399"/>
      <c r="AM132" s="387"/>
      <c r="AN132" s="32"/>
      <c r="AO132" s="32"/>
      <c r="AP132" s="32"/>
      <c r="AQ132" s="32"/>
      <c r="AR132" s="32"/>
      <c r="AS132" s="32"/>
      <c r="AT132" s="32"/>
      <c r="AU132" s="32"/>
      <c r="AV132" s="32"/>
      <c r="AW132" s="32"/>
      <c r="AX132" s="32"/>
      <c r="AY132" s="32"/>
      <c r="AZ132" s="32"/>
      <c r="BA132" s="32"/>
      <c r="BB132" s="32"/>
      <c r="BC132" s="32"/>
      <c r="BD132" s="32"/>
      <c r="BE132" s="32"/>
      <c r="BF132" s="32"/>
      <c r="BG132" s="32"/>
      <c r="BH132" s="32"/>
      <c r="BI132" s="32"/>
      <c r="BJ132" s="32"/>
      <c r="BK132" s="32"/>
      <c r="BL132" s="32"/>
      <c r="BM132" s="32"/>
      <c r="BN132" s="32"/>
      <c r="BO132" s="32"/>
      <c r="BP132" s="32"/>
      <c r="BQ132" s="32"/>
      <c r="BR132" s="32"/>
      <c r="BS132" s="32"/>
      <c r="BT132" s="32"/>
      <c r="BU132" s="32"/>
      <c r="BV132" s="32"/>
      <c r="BW132" s="32"/>
      <c r="BX132" s="32"/>
      <c r="BY132" s="32"/>
      <c r="BZ132" s="32"/>
      <c r="CA132" s="32"/>
      <c r="CB132" s="32"/>
      <c r="CC132" s="32"/>
      <c r="CD132" s="32"/>
      <c r="CE132" s="32"/>
      <c r="CF132" s="32"/>
      <c r="CG132" s="32"/>
      <c r="CH132" s="32"/>
      <c r="CI132" s="32"/>
      <c r="CJ132" s="32"/>
      <c r="CK132" s="32"/>
      <c r="CL132" s="32"/>
      <c r="CM132" s="32"/>
      <c r="CN132" s="32"/>
      <c r="CO132" s="32"/>
      <c r="CP132" s="32"/>
      <c r="CQ132" s="32"/>
      <c r="CR132" s="32"/>
      <c r="CS132" s="32"/>
      <c r="CT132" s="32"/>
      <c r="CU132" s="32"/>
      <c r="CV132" s="32"/>
      <c r="CW132" s="32"/>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row>
    <row r="133" spans="1:131" ht="102">
      <c r="A133" s="378" t="s">
        <v>308</v>
      </c>
      <c r="B133" s="379" t="s">
        <v>309</v>
      </c>
      <c r="C133" s="380" t="s">
        <v>662</v>
      </c>
      <c r="D133" s="380" t="s">
        <v>616</v>
      </c>
      <c r="E133" s="380" t="s">
        <v>617</v>
      </c>
      <c r="F133" s="380" t="s">
        <v>618</v>
      </c>
      <c r="G133" s="380" t="s">
        <v>619</v>
      </c>
      <c r="H133" s="380" t="s">
        <v>620</v>
      </c>
      <c r="I133" s="380" t="s">
        <v>621</v>
      </c>
      <c r="J133" s="380" t="s">
        <v>622</v>
      </c>
      <c r="K133" s="380" t="s">
        <v>372</v>
      </c>
      <c r="L133" s="380" t="s">
        <v>371</v>
      </c>
      <c r="M133" s="380" t="s">
        <v>623</v>
      </c>
      <c r="N133" s="380" t="s">
        <v>958</v>
      </c>
      <c r="O133" s="380" t="s">
        <v>624</v>
      </c>
      <c r="P133" s="380" t="s">
        <v>625</v>
      </c>
      <c r="Q133" s="380" t="s">
        <v>626</v>
      </c>
      <c r="R133" s="380" t="s">
        <v>627</v>
      </c>
      <c r="S133" s="380" t="s">
        <v>628</v>
      </c>
      <c r="T133" s="380" t="s">
        <v>629</v>
      </c>
      <c r="U133" s="380" t="s">
        <v>630</v>
      </c>
      <c r="V133" s="380" t="s">
        <v>631</v>
      </c>
      <c r="W133" s="380" t="s">
        <v>632</v>
      </c>
      <c r="X133" s="380" t="s">
        <v>633</v>
      </c>
      <c r="Y133" s="380" t="s">
        <v>634</v>
      </c>
      <c r="Z133" s="380" t="s">
        <v>635</v>
      </c>
      <c r="AA133" s="380"/>
      <c r="AB133" s="380" t="s">
        <v>624</v>
      </c>
      <c r="AC133" s="380" t="s">
        <v>625</v>
      </c>
      <c r="AD133" s="380" t="s">
        <v>626</v>
      </c>
      <c r="AE133" s="380" t="s">
        <v>627</v>
      </c>
      <c r="AF133" s="380" t="s">
        <v>628</v>
      </c>
      <c r="AG133" s="380" t="s">
        <v>629</v>
      </c>
      <c r="AH133" s="380" t="s">
        <v>630</v>
      </c>
      <c r="AI133" s="380" t="s">
        <v>631</v>
      </c>
      <c r="AJ133" s="380" t="s">
        <v>632</v>
      </c>
      <c r="AK133" s="380" t="s">
        <v>633</v>
      </c>
      <c r="AL133" s="380" t="s">
        <v>634</v>
      </c>
      <c r="AM133" s="380" t="s">
        <v>635</v>
      </c>
      <c r="AN133" s="32"/>
      <c r="AO133" s="32"/>
      <c r="AP133" s="32"/>
      <c r="AQ133" s="32"/>
      <c r="AR133" s="32"/>
      <c r="AS133" s="32"/>
      <c r="AT133" s="32"/>
      <c r="AU133" s="32"/>
      <c r="AV133" s="32"/>
      <c r="AW133" s="32"/>
      <c r="AX133" s="32"/>
      <c r="AY133" s="32"/>
      <c r="AZ133" s="32"/>
      <c r="BA133" s="32"/>
      <c r="BB133" s="32"/>
      <c r="BC133" s="32"/>
      <c r="BD133" s="32"/>
      <c r="BE133" s="32"/>
      <c r="BF133" s="32"/>
      <c r="BG133" s="32"/>
      <c r="BH133" s="32"/>
      <c r="BI133" s="32"/>
      <c r="BJ133" s="32"/>
      <c r="BK133" s="32"/>
      <c r="BL133" s="32"/>
      <c r="BM133" s="32"/>
      <c r="BN133" s="32"/>
      <c r="BO133" s="32"/>
      <c r="BP133" s="32"/>
      <c r="BQ133" s="32"/>
      <c r="BR133" s="32"/>
      <c r="BS133" s="32"/>
      <c r="BT133" s="32"/>
      <c r="BU133" s="32"/>
      <c r="BV133" s="32"/>
      <c r="BW133" s="32"/>
      <c r="BX133" s="32"/>
      <c r="BY133" s="32"/>
      <c r="BZ133" s="32"/>
      <c r="CA133" s="32"/>
      <c r="CB133" s="32"/>
      <c r="CC133" s="32"/>
      <c r="CD133" s="32"/>
      <c r="CE133" s="32"/>
      <c r="CF133" s="32"/>
      <c r="CG133" s="32"/>
      <c r="CH133" s="32"/>
      <c r="CI133" s="32"/>
      <c r="CJ133" s="32"/>
      <c r="CK133" s="32"/>
      <c r="CL133" s="32"/>
      <c r="CM133" s="32"/>
      <c r="CN133" s="32"/>
      <c r="CO133" s="32"/>
      <c r="CP133" s="32"/>
      <c r="CQ133" s="32"/>
      <c r="CR133" s="32"/>
      <c r="CS133" s="32"/>
      <c r="CT133" s="32"/>
      <c r="CU133" s="32"/>
      <c r="CV133" s="32"/>
      <c r="CW133" s="32"/>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row>
    <row r="134" spans="1:131">
      <c r="A134" s="11" t="s">
        <v>663</v>
      </c>
      <c r="B134" s="11"/>
      <c r="C134" s="166">
        <v>327.31145340319665</v>
      </c>
      <c r="D134" s="166">
        <v>-8.5918959509302795</v>
      </c>
      <c r="E134" s="166">
        <v>-1.7183791901860559</v>
      </c>
      <c r="F134" s="166">
        <v>-10.310275141116335</v>
      </c>
      <c r="G134" s="166">
        <v>-15.772332364840597</v>
      </c>
      <c r="H134" s="166">
        <v>215.83401368381348</v>
      </c>
      <c r="I134" s="166">
        <v>-275.93904611984783</v>
      </c>
      <c r="J134" s="166">
        <v>-14.913956936814882</v>
      </c>
      <c r="K134" s="166">
        <v>-16.798138858384949</v>
      </c>
      <c r="L134" s="382">
        <v>9999</v>
      </c>
      <c r="M134" s="166">
        <v>3.109467045598445</v>
      </c>
      <c r="N134" s="166">
        <v>7.6399321391375424E-2</v>
      </c>
      <c r="O134" s="166">
        <v>13.405847760628477</v>
      </c>
      <c r="P134" s="166">
        <v>9.9104403633442892</v>
      </c>
      <c r="Q134" s="166">
        <v>9.2320322947720754</v>
      </c>
      <c r="R134" s="166">
        <v>5.2998660086111791</v>
      </c>
      <c r="S134" s="166">
        <v>4.2573236582329095</v>
      </c>
      <c r="T134" s="166">
        <v>3.3024378660413309</v>
      </c>
      <c r="U134" s="166">
        <v>3.4460681308315255</v>
      </c>
      <c r="V134" s="166">
        <v>5.0158659436189756</v>
      </c>
      <c r="W134" s="166">
        <v>6.3371529039448617</v>
      </c>
      <c r="X134" s="166">
        <v>10.338349500632882</v>
      </c>
      <c r="Y134" s="166">
        <v>11.972086583086911</v>
      </c>
      <c r="Z134" s="166">
        <v>14.102876580967084</v>
      </c>
      <c r="AA134" s="166"/>
      <c r="AB134" s="166">
        <v>22.218084772927305</v>
      </c>
      <c r="AC134" s="166">
        <v>19.272326811572601</v>
      </c>
      <c r="AD134" s="166">
        <v>19.428590693501764</v>
      </c>
      <c r="AE134" s="166">
        <v>18.500875203589072</v>
      </c>
      <c r="AF134" s="166">
        <v>17.04024781160178</v>
      </c>
      <c r="AG134" s="166">
        <v>15.482647792872569</v>
      </c>
      <c r="AH134" s="166">
        <v>16.906651918914203</v>
      </c>
      <c r="AI134" s="166">
        <v>18.255862401883515</v>
      </c>
      <c r="AJ134" s="166">
        <v>19.677937557907565</v>
      </c>
      <c r="AK134" s="166">
        <v>20.308746339638414</v>
      </c>
      <c r="AL134" s="166">
        <v>21.289237818974108</v>
      </c>
      <c r="AM134" s="32">
        <v>22.309896685101304</v>
      </c>
      <c r="AN134" s="32"/>
      <c r="AO134" s="32"/>
      <c r="AP134" s="32"/>
      <c r="AQ134" s="32"/>
      <c r="AR134" s="32"/>
      <c r="AS134" s="32"/>
      <c r="AT134" s="32"/>
      <c r="AU134" s="32"/>
      <c r="AV134" s="32"/>
      <c r="AW134" s="32"/>
      <c r="AX134" s="32"/>
      <c r="AY134" s="32"/>
      <c r="AZ134" s="32"/>
      <c r="BA134" s="32"/>
      <c r="BB134" s="32"/>
      <c r="BC134" s="32"/>
      <c r="BD134" s="32"/>
      <c r="BE134" s="32"/>
      <c r="BF134" s="32"/>
      <c r="BG134" s="32"/>
      <c r="BH134" s="32"/>
      <c r="BI134" s="32"/>
      <c r="BJ134" s="32"/>
      <c r="BK134" s="32"/>
      <c r="BL134" s="32"/>
      <c r="BM134" s="32"/>
      <c r="BN134" s="32"/>
      <c r="BO134" s="32"/>
      <c r="BP134" s="32"/>
      <c r="BQ134" s="32"/>
      <c r="BR134" s="32"/>
      <c r="BS134" s="32"/>
      <c r="BT134" s="32"/>
      <c r="BU134" s="32"/>
      <c r="BV134" s="32"/>
      <c r="BW134" s="32"/>
      <c r="BX134" s="32"/>
      <c r="BY134" s="32"/>
      <c r="BZ134" s="32"/>
      <c r="CA134" s="32"/>
      <c r="CB134" s="32"/>
      <c r="CC134" s="32"/>
      <c r="CD134" s="32"/>
      <c r="CE134" s="32"/>
      <c r="CF134" s="32"/>
      <c r="CG134" s="32"/>
      <c r="CH134" s="32"/>
      <c r="CI134" s="32"/>
      <c r="CJ134" s="32"/>
      <c r="CK134" s="32"/>
      <c r="CL134" s="32"/>
      <c r="CM134" s="32"/>
      <c r="CN134" s="32"/>
      <c r="CO134" s="32"/>
      <c r="CP134" s="32"/>
      <c r="CQ134" s="32"/>
      <c r="CR134" s="32"/>
      <c r="CS134" s="32"/>
      <c r="CT134" s="32"/>
      <c r="CU134" s="32"/>
      <c r="CV134" s="32"/>
      <c r="CW134" s="32"/>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row>
    <row r="135" spans="1:131">
      <c r="A135" s="11" t="s">
        <v>665</v>
      </c>
      <c r="B135" s="11"/>
      <c r="C135" s="166">
        <v>714.55317292247162</v>
      </c>
      <c r="D135" s="166">
        <v>2.0115772129567233</v>
      </c>
      <c r="E135" s="166">
        <v>0.40231544259134466</v>
      </c>
      <c r="F135" s="166">
        <v>2.413892655548068</v>
      </c>
      <c r="G135" s="166">
        <v>3.6926965318822242</v>
      </c>
      <c r="H135" s="166">
        <v>471.18693128156463</v>
      </c>
      <c r="I135" s="166">
        <v>29.592898700759623</v>
      </c>
      <c r="J135" s="166">
        <v>-13.074224745945859</v>
      </c>
      <c r="K135" s="166">
        <v>-12.872156914216788</v>
      </c>
      <c r="L135" s="382">
        <v>127.59968960714825</v>
      </c>
      <c r="M135" s="166">
        <v>6.788273127714926</v>
      </c>
      <c r="N135" s="166">
        <v>0.16678725092483371</v>
      </c>
      <c r="O135" s="166">
        <v>29.266287364752312</v>
      </c>
      <c r="P135" s="166">
        <v>21.635468398850211</v>
      </c>
      <c r="Q135" s="166">
        <v>20.154436699854532</v>
      </c>
      <c r="R135" s="166">
        <v>11.570130018799055</v>
      </c>
      <c r="S135" s="166">
        <v>9.2941572820577623</v>
      </c>
      <c r="T135" s="166">
        <v>7.2095474540338929</v>
      </c>
      <c r="U135" s="166">
        <v>7.5231064828012189</v>
      </c>
      <c r="V135" s="166">
        <v>10.950129876914666</v>
      </c>
      <c r="W135" s="166">
        <v>13.834629579034559</v>
      </c>
      <c r="X135" s="166">
        <v>22.569636233776009</v>
      </c>
      <c r="Y135" s="166">
        <v>26.136245357443258</v>
      </c>
      <c r="Z135" s="166">
        <v>30.787970000702796</v>
      </c>
      <c r="AA135" s="166"/>
      <c r="AB135" s="166">
        <v>48.504269574700466</v>
      </c>
      <c r="AC135" s="166">
        <v>42.07338951822188</v>
      </c>
      <c r="AD135" s="166">
        <v>42.414528978771465</v>
      </c>
      <c r="AE135" s="166">
        <v>40.389234599384601</v>
      </c>
      <c r="AF135" s="166">
        <v>37.200540997158818</v>
      </c>
      <c r="AG135" s="166">
        <v>33.800146590073922</v>
      </c>
      <c r="AH135" s="166">
        <v>36.908887991995798</v>
      </c>
      <c r="AI135" s="166">
        <v>39.854347497069654</v>
      </c>
      <c r="AJ135" s="166">
        <v>42.958877767263004</v>
      </c>
      <c r="AK135" s="166">
        <v>44.335995530196548</v>
      </c>
      <c r="AL135" s="166">
        <v>46.476505097760381</v>
      </c>
      <c r="AM135" s="32">
        <v>48.70470403085497</v>
      </c>
      <c r="AN135" s="32"/>
      <c r="AO135" s="32"/>
      <c r="AP135" s="32"/>
      <c r="AQ135" s="32"/>
      <c r="AR135" s="32"/>
      <c r="AS135" s="32"/>
      <c r="AT135" s="32"/>
      <c r="AU135" s="32"/>
      <c r="AV135" s="32"/>
      <c r="AW135" s="32"/>
      <c r="AX135" s="32"/>
      <c r="AY135" s="32"/>
      <c r="AZ135" s="32"/>
      <c r="BA135" s="32"/>
      <c r="BB135" s="32"/>
      <c r="BC135" s="32"/>
      <c r="BD135" s="32"/>
      <c r="BE135" s="32"/>
      <c r="BF135" s="32"/>
      <c r="BG135" s="32"/>
      <c r="BH135" s="32"/>
      <c r="BI135" s="32"/>
      <c r="BJ135" s="32"/>
      <c r="BK135" s="32"/>
      <c r="BL135" s="32"/>
      <c r="BM135" s="32"/>
      <c r="BN135" s="32"/>
      <c r="BO135" s="32"/>
      <c r="BP135" s="32"/>
      <c r="BQ135" s="32"/>
      <c r="BR135" s="32"/>
      <c r="BS135" s="32"/>
      <c r="BT135" s="32"/>
      <c r="BU135" s="32"/>
      <c r="BV135" s="32"/>
      <c r="BW135" s="32"/>
      <c r="BX135" s="32"/>
      <c r="BY135" s="32"/>
      <c r="BZ135" s="32"/>
      <c r="CA135" s="32"/>
      <c r="CB135" s="32"/>
      <c r="CC135" s="32"/>
      <c r="CD135" s="32"/>
      <c r="CE135" s="32"/>
      <c r="CF135" s="32"/>
      <c r="CG135" s="32"/>
      <c r="CH135" s="32"/>
      <c r="CI135" s="32"/>
      <c r="CJ135" s="32"/>
      <c r="CK135" s="32"/>
      <c r="CL135" s="32"/>
      <c r="CM135" s="32"/>
      <c r="CN135" s="32"/>
      <c r="CO135" s="32"/>
      <c r="CP135" s="32"/>
      <c r="CQ135" s="32"/>
      <c r="CR135" s="32"/>
      <c r="CS135" s="32"/>
      <c r="CT135" s="32"/>
      <c r="CU135" s="32"/>
      <c r="CV135" s="32"/>
      <c r="CW135" s="32"/>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row>
    <row r="136" spans="1:131">
      <c r="A136" s="11" t="s">
        <v>664</v>
      </c>
      <c r="B136" s="11"/>
      <c r="C136" s="166">
        <v>424.12188328301545</v>
      </c>
      <c r="D136" s="166">
        <v>2.0115772129567233</v>
      </c>
      <c r="E136" s="166">
        <v>0.40231544259134466</v>
      </c>
      <c r="F136" s="166">
        <v>2.413892655548068</v>
      </c>
      <c r="G136" s="166">
        <v>3.6926965318822242</v>
      </c>
      <c r="H136" s="166">
        <v>279.67224308325115</v>
      </c>
      <c r="I136" s="166">
        <v>49.857601071931967</v>
      </c>
      <c r="J136" s="166">
        <v>-12.952202725261527</v>
      </c>
      <c r="K136" s="166">
        <v>-12.611762356587549</v>
      </c>
      <c r="L136" s="382">
        <v>75.73658996037183</v>
      </c>
      <c r="M136" s="166">
        <v>4.0291685661275602</v>
      </c>
      <c r="N136" s="166">
        <v>9.8996303774740002E-2</v>
      </c>
      <c r="O136" s="166">
        <v>17.370957661659439</v>
      </c>
      <c r="P136" s="166">
        <v>12.841697372220771</v>
      </c>
      <c r="Q136" s="166">
        <v>11.962633396042692</v>
      </c>
      <c r="R136" s="166">
        <v>6.8674320111581491</v>
      </c>
      <c r="S136" s="166">
        <v>5.5165320641891231</v>
      </c>
      <c r="T136" s="166">
        <v>4.2792152630394726</v>
      </c>
      <c r="U136" s="166">
        <v>4.46532771882395</v>
      </c>
      <c r="V136" s="166">
        <v>6.4994319269428988</v>
      </c>
      <c r="W136" s="166">
        <v>8.2115220727172868</v>
      </c>
      <c r="X136" s="166">
        <v>13.396171183918664</v>
      </c>
      <c r="Y136" s="166">
        <v>15.513126276675999</v>
      </c>
      <c r="Z136" s="166">
        <v>18.274149935901015</v>
      </c>
      <c r="AA136" s="166"/>
      <c r="AB136" s="166">
        <v>28.789630973370599</v>
      </c>
      <c r="AC136" s="166">
        <v>24.972592488234923</v>
      </c>
      <c r="AD136" s="166">
        <v>25.175075264819196</v>
      </c>
      <c r="AE136" s="166">
        <v>23.972965052537958</v>
      </c>
      <c r="AF136" s="166">
        <v>22.080321107991043</v>
      </c>
      <c r="AG136" s="166">
        <v>20.062022492172908</v>
      </c>
      <c r="AH136" s="166">
        <v>21.907210937184605</v>
      </c>
      <c r="AI136" s="166">
        <v>23.655483675680056</v>
      </c>
      <c r="AJ136" s="166">
        <v>25.498172610246431</v>
      </c>
      <c r="AK136" s="166">
        <v>26.315558637277952</v>
      </c>
      <c r="AL136" s="166">
        <v>27.586054638670678</v>
      </c>
      <c r="AM136" s="32">
        <v>28.908598521539727</v>
      </c>
      <c r="AN136" s="32"/>
      <c r="AO136" s="32"/>
      <c r="AP136" s="32"/>
      <c r="AQ136" s="32"/>
      <c r="AR136" s="32"/>
      <c r="AS136" s="32"/>
      <c r="AT136" s="32"/>
      <c r="AU136" s="32"/>
      <c r="AV136" s="32"/>
      <c r="AW136" s="32"/>
      <c r="AX136" s="32"/>
      <c r="AY136" s="32"/>
      <c r="AZ136" s="32"/>
      <c r="BA136" s="32"/>
      <c r="BB136" s="32"/>
      <c r="BC136" s="32"/>
      <c r="BD136" s="32"/>
      <c r="BE136" s="32"/>
      <c r="BF136" s="32"/>
      <c r="BG136" s="32"/>
      <c r="BH136" s="32"/>
      <c r="BI136" s="32"/>
      <c r="BJ136" s="32"/>
      <c r="BK136" s="32"/>
      <c r="BL136" s="32"/>
      <c r="BM136" s="32"/>
      <c r="BN136" s="32"/>
      <c r="BO136" s="32"/>
      <c r="BP136" s="32"/>
      <c r="BQ136" s="32"/>
      <c r="BR136" s="32"/>
      <c r="BS136" s="32"/>
      <c r="BT136" s="32"/>
      <c r="BU136" s="32"/>
      <c r="BV136" s="32"/>
      <c r="BW136" s="32"/>
      <c r="BX136" s="32"/>
      <c r="BY136" s="32"/>
      <c r="BZ136" s="32"/>
      <c r="CA136" s="32"/>
      <c r="CB136" s="32"/>
      <c r="CC136" s="32"/>
      <c r="CD136" s="32"/>
      <c r="CE136" s="32"/>
      <c r="CF136" s="32"/>
      <c r="CG136" s="32"/>
      <c r="CH136" s="32"/>
      <c r="CI136" s="32"/>
      <c r="CJ136" s="32"/>
      <c r="CK136" s="32"/>
      <c r="CL136" s="32"/>
      <c r="CM136" s="32"/>
      <c r="CN136" s="32"/>
      <c r="CO136" s="32"/>
      <c r="CP136" s="32"/>
      <c r="CQ136" s="32"/>
      <c r="CR136" s="32"/>
      <c r="CS136" s="32"/>
      <c r="CT136" s="32"/>
      <c r="CU136" s="32"/>
      <c r="CV136" s="32"/>
      <c r="CW136" s="32"/>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row>
    <row r="137" spans="1:131">
      <c r="A137" s="11" t="s">
        <v>666</v>
      </c>
      <c r="B137" s="11"/>
      <c r="C137" s="166">
        <v>1235.4854860853059</v>
      </c>
      <c r="D137" s="166">
        <v>134.02315442591345</v>
      </c>
      <c r="E137" s="166">
        <v>26.804630885182689</v>
      </c>
      <c r="F137" s="166">
        <v>160.82778531109614</v>
      </c>
      <c r="G137" s="166">
        <v>246.02925224682076</v>
      </c>
      <c r="H137" s="166">
        <v>814.69740376425398</v>
      </c>
      <c r="I137" s="166">
        <v>1140.3220962062569</v>
      </c>
      <c r="J137" s="166">
        <v>-6.38607218242658</v>
      </c>
      <c r="K137" s="166">
        <v>1.4003368403310341</v>
      </c>
      <c r="L137" s="382">
        <v>3.3113843021680025</v>
      </c>
      <c r="M137" s="166">
        <v>11.737143214371596</v>
      </c>
      <c r="N137" s="166">
        <v>0.28838053708293826</v>
      </c>
      <c r="O137" s="166">
        <v>50.602354927442711</v>
      </c>
      <c r="P137" s="166">
        <v>37.408422779947465</v>
      </c>
      <c r="Q137" s="166">
        <v>34.847671197167841</v>
      </c>
      <c r="R137" s="166">
        <v>20.005128032504174</v>
      </c>
      <c r="S137" s="166">
        <v>16.069897752203097</v>
      </c>
      <c r="T137" s="166">
        <v>12.465540114071507</v>
      </c>
      <c r="U137" s="166">
        <v>13.007693789617592</v>
      </c>
      <c r="V137" s="166">
        <v>18.93312778718149</v>
      </c>
      <c r="W137" s="166">
        <v>23.920520820524271</v>
      </c>
      <c r="X137" s="166">
        <v>39.023629100980457</v>
      </c>
      <c r="Y137" s="166">
        <v>45.190411327708347</v>
      </c>
      <c r="Z137" s="166">
        <v>53.233393291537745</v>
      </c>
      <c r="AA137" s="166"/>
      <c r="AB137" s="166">
        <v>83.865446748514358</v>
      </c>
      <c r="AC137" s="166">
        <v>72.746247683119122</v>
      </c>
      <c r="AD137" s="166">
        <v>73.336088814908095</v>
      </c>
      <c r="AE137" s="166">
        <v>69.834289500871449</v>
      </c>
      <c r="AF137" s="166">
        <v>64.320935401539117</v>
      </c>
      <c r="AG137" s="166">
        <v>58.441543781547168</v>
      </c>
      <c r="AH137" s="166">
        <v>63.816657947450807</v>
      </c>
      <c r="AI137" s="166">
        <v>68.909452446546254</v>
      </c>
      <c r="AJ137" s="166">
        <v>74.277285429848305</v>
      </c>
      <c r="AK137" s="166">
        <v>76.658366465114042</v>
      </c>
      <c r="AL137" s="166">
        <v>80.359376556127629</v>
      </c>
      <c r="AM137" s="32">
        <v>84.212004388833122</v>
      </c>
      <c r="AN137" s="32"/>
      <c r="AO137" s="32"/>
      <c r="AP137" s="32"/>
      <c r="AQ137" s="32"/>
      <c r="AR137" s="32"/>
      <c r="AS137" s="32"/>
      <c r="AT137" s="32"/>
      <c r="AU137" s="32"/>
      <c r="AV137" s="32"/>
      <c r="AW137" s="32"/>
      <c r="AX137" s="32"/>
      <c r="AY137" s="32"/>
      <c r="AZ137" s="32"/>
      <c r="BA137" s="32"/>
      <c r="BB137" s="32"/>
      <c r="BC137" s="32"/>
      <c r="BD137" s="32"/>
      <c r="BE137" s="32"/>
      <c r="BF137" s="32"/>
      <c r="BG137" s="32"/>
      <c r="BH137" s="32"/>
      <c r="BI137" s="32"/>
      <c r="BJ137" s="32"/>
      <c r="BK137" s="32"/>
      <c r="BL137" s="32"/>
      <c r="BM137" s="32"/>
      <c r="BN137" s="32"/>
      <c r="BO137" s="32"/>
      <c r="BP137" s="32"/>
      <c r="BQ137" s="32"/>
      <c r="BR137" s="32"/>
      <c r="BS137" s="32"/>
      <c r="BT137" s="32"/>
      <c r="BU137" s="32"/>
      <c r="BV137" s="32"/>
      <c r="BW137" s="32"/>
      <c r="BX137" s="32"/>
      <c r="BY137" s="32"/>
      <c r="BZ137" s="32"/>
      <c r="CA137" s="32"/>
      <c r="CB137" s="32"/>
      <c r="CC137" s="32"/>
      <c r="CD137" s="32"/>
      <c r="CE137" s="32"/>
      <c r="CF137" s="32"/>
      <c r="CG137" s="32"/>
      <c r="CH137" s="32"/>
      <c r="CI137" s="32"/>
      <c r="CJ137" s="32"/>
      <c r="CK137" s="32"/>
      <c r="CL137" s="32"/>
      <c r="CM137" s="32"/>
      <c r="CN137" s="32"/>
      <c r="CO137" s="32"/>
      <c r="CP137" s="32"/>
      <c r="CQ137" s="32"/>
      <c r="CR137" s="32"/>
      <c r="CS137" s="32"/>
      <c r="CT137" s="32"/>
      <c r="CU137" s="32"/>
      <c r="CV137" s="32"/>
      <c r="CW137" s="32"/>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row>
    <row r="138" spans="1:131">
      <c r="A138" s="11" t="s">
        <v>667</v>
      </c>
      <c r="B138" s="11"/>
      <c r="C138" s="166">
        <v>3130.2038994474719</v>
      </c>
      <c r="D138" s="166">
        <v>532.0694632777404</v>
      </c>
      <c r="E138" s="166">
        <v>106.41389265554808</v>
      </c>
      <c r="F138" s="166">
        <v>638.48335593328852</v>
      </c>
      <c r="G138" s="166">
        <v>976.73161592351858</v>
      </c>
      <c r="H138" s="166">
        <v>2064.1027505818233</v>
      </c>
      <c r="I138" s="166">
        <v>1786.8210434990756</v>
      </c>
      <c r="J138" s="166">
        <v>-2.4932388965458538</v>
      </c>
      <c r="K138" s="166">
        <v>9.7076292103174033</v>
      </c>
      <c r="L138" s="382">
        <v>2.1132752507762067</v>
      </c>
      <c r="M138" s="166">
        <v>29.73701583044155</v>
      </c>
      <c r="N138" s="166">
        <v>0.73063576372878758</v>
      </c>
      <c r="O138" s="166">
        <v>128.20522013333431</v>
      </c>
      <c r="P138" s="166">
        <v>94.777309953672855</v>
      </c>
      <c r="Q138" s="166">
        <v>88.289435607749851</v>
      </c>
      <c r="R138" s="166">
        <v>50.684634082351991</v>
      </c>
      <c r="S138" s="166">
        <v>40.714405125917544</v>
      </c>
      <c r="T138" s="166">
        <v>31.582469169606536</v>
      </c>
      <c r="U138" s="166">
        <v>32.956060011755014</v>
      </c>
      <c r="V138" s="166">
        <v>47.968633460806828</v>
      </c>
      <c r="W138" s="166">
        <v>60.604603123641709</v>
      </c>
      <c r="X138" s="166">
        <v>98.869567759573613</v>
      </c>
      <c r="Y138" s="166">
        <v>114.49361675938046</v>
      </c>
      <c r="Z138" s="166">
        <v>134.8711718095303</v>
      </c>
      <c r="AA138" s="166"/>
      <c r="AB138" s="166">
        <v>212.479993814333</v>
      </c>
      <c r="AC138" s="166">
        <v>184.30859021208164</v>
      </c>
      <c r="AD138" s="166">
        <v>185.80300113926339</v>
      </c>
      <c r="AE138" s="166">
        <v>176.93090511601383</v>
      </c>
      <c r="AF138" s="166">
        <v>162.96236991658603</v>
      </c>
      <c r="AG138" s="166">
        <v>148.06644861071092</v>
      </c>
      <c r="AH138" s="166">
        <v>161.68474159074287</v>
      </c>
      <c r="AI138" s="166">
        <v>174.58775451942125</v>
      </c>
      <c r="AJ138" s="166">
        <v>188.18760002562308</v>
      </c>
      <c r="AK138" s="166">
        <v>194.22026429034486</v>
      </c>
      <c r="AL138" s="166">
        <v>203.59707717018901</v>
      </c>
      <c r="AM138" s="32">
        <v>213.35802604484209</v>
      </c>
      <c r="AN138" s="32"/>
      <c r="AO138" s="32"/>
      <c r="AP138" s="32"/>
      <c r="AQ138" s="32"/>
      <c r="AR138" s="32"/>
      <c r="AS138" s="32"/>
      <c r="AT138" s="32"/>
      <c r="AU138" s="32"/>
      <c r="AV138" s="32"/>
      <c r="AW138" s="32"/>
      <c r="AX138" s="32"/>
      <c r="AY138" s="32"/>
      <c r="AZ138" s="32"/>
      <c r="BA138" s="32"/>
      <c r="BB138" s="32"/>
      <c r="BC138" s="32"/>
      <c r="BD138" s="32"/>
      <c r="BE138" s="32"/>
      <c r="BF138" s="32"/>
      <c r="BG138" s="32"/>
      <c r="BH138" s="32"/>
      <c r="BI138" s="32"/>
      <c r="BJ138" s="32"/>
      <c r="BK138" s="32"/>
      <c r="BL138" s="32"/>
      <c r="BM138" s="32"/>
      <c r="BN138" s="32"/>
      <c r="BO138" s="32"/>
      <c r="BP138" s="32"/>
      <c r="BQ138" s="32"/>
      <c r="BR138" s="32"/>
      <c r="BS138" s="32"/>
      <c r="BT138" s="32"/>
      <c r="BU138" s="32"/>
      <c r="BV138" s="32"/>
      <c r="BW138" s="32"/>
      <c r="BX138" s="32"/>
      <c r="BY138" s="32"/>
      <c r="BZ138" s="32"/>
      <c r="CA138" s="32"/>
      <c r="CB138" s="32"/>
      <c r="CC138" s="32"/>
      <c r="CD138" s="32"/>
      <c r="CE138" s="32"/>
      <c r="CF138" s="32"/>
      <c r="CG138" s="32"/>
      <c r="CH138" s="32"/>
      <c r="CI138" s="32"/>
      <c r="CJ138" s="32"/>
      <c r="CK138" s="32"/>
      <c r="CL138" s="32"/>
      <c r="CM138" s="32"/>
      <c r="CN138" s="32"/>
      <c r="CO138" s="32"/>
      <c r="CP138" s="32"/>
      <c r="CQ138" s="32"/>
      <c r="CR138" s="32"/>
      <c r="CS138" s="32"/>
      <c r="CT138" s="32"/>
      <c r="CU138" s="32"/>
      <c r="CV138" s="32"/>
      <c r="CW138" s="32"/>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row>
    <row r="139" spans="1:131">
      <c r="A139" s="11" t="s">
        <v>670</v>
      </c>
      <c r="B139" s="11"/>
      <c r="C139" s="166">
        <v>714.55317292247162</v>
      </c>
      <c r="D139" s="166">
        <v>162.01157721295672</v>
      </c>
      <c r="E139" s="166">
        <v>32.402315442591345</v>
      </c>
      <c r="F139" s="166">
        <v>194.41389265554807</v>
      </c>
      <c r="G139" s="166">
        <v>297.40821552641307</v>
      </c>
      <c r="H139" s="166">
        <v>471.18693128156463</v>
      </c>
      <c r="I139" s="166">
        <v>2383.3995344211876</v>
      </c>
      <c r="J139" s="166">
        <v>1.0990030039660381</v>
      </c>
      <c r="K139" s="166">
        <v>17.37346063430973</v>
      </c>
      <c r="L139" s="382">
        <v>1.5843104079944896</v>
      </c>
      <c r="M139" s="166">
        <v>6.788273127714926</v>
      </c>
      <c r="N139" s="166">
        <v>0.16678725092483371</v>
      </c>
      <c r="O139" s="166">
        <v>29.266287364752312</v>
      </c>
      <c r="P139" s="166">
        <v>21.635468398850211</v>
      </c>
      <c r="Q139" s="166">
        <v>20.154436699854532</v>
      </c>
      <c r="R139" s="166">
        <v>11.570130018799055</v>
      </c>
      <c r="S139" s="166">
        <v>9.2941572820577623</v>
      </c>
      <c r="T139" s="166">
        <v>7.2095474540338929</v>
      </c>
      <c r="U139" s="166">
        <v>7.5231064828012189</v>
      </c>
      <c r="V139" s="166">
        <v>10.950129876914666</v>
      </c>
      <c r="W139" s="166">
        <v>13.834629579034559</v>
      </c>
      <c r="X139" s="166">
        <v>22.569636233776009</v>
      </c>
      <c r="Y139" s="166">
        <v>26.136245357443258</v>
      </c>
      <c r="Z139" s="166">
        <v>30.787970000702796</v>
      </c>
      <c r="AA139" s="166"/>
      <c r="AB139" s="166">
        <v>48.504269574700466</v>
      </c>
      <c r="AC139" s="166">
        <v>42.07338951822188</v>
      </c>
      <c r="AD139" s="166">
        <v>42.414528978771465</v>
      </c>
      <c r="AE139" s="166">
        <v>40.389234599384601</v>
      </c>
      <c r="AF139" s="166">
        <v>37.200540997158818</v>
      </c>
      <c r="AG139" s="166">
        <v>33.800146590073922</v>
      </c>
      <c r="AH139" s="166">
        <v>36.908887991995798</v>
      </c>
      <c r="AI139" s="166">
        <v>39.854347497069654</v>
      </c>
      <c r="AJ139" s="166">
        <v>42.958877767263004</v>
      </c>
      <c r="AK139" s="166">
        <v>44.335995530196548</v>
      </c>
      <c r="AL139" s="166">
        <v>46.476505097760381</v>
      </c>
      <c r="AM139" s="32">
        <v>48.70470403085497</v>
      </c>
      <c r="AN139" s="32"/>
      <c r="AO139" s="32"/>
      <c r="AP139" s="32"/>
      <c r="AQ139" s="32"/>
      <c r="AR139" s="32"/>
      <c r="AS139" s="32"/>
      <c r="AT139" s="32"/>
      <c r="AU139" s="32"/>
      <c r="AV139" s="32"/>
      <c r="AW139" s="32"/>
      <c r="AX139" s="32"/>
      <c r="AY139" s="32"/>
      <c r="AZ139" s="32"/>
      <c r="BA139" s="32"/>
      <c r="BB139" s="32"/>
      <c r="BC139" s="32"/>
      <c r="BD139" s="32"/>
      <c r="BE139" s="32"/>
      <c r="BF139" s="32"/>
      <c r="BG139" s="32"/>
      <c r="BH139" s="32"/>
      <c r="BI139" s="32"/>
      <c r="BJ139" s="32"/>
      <c r="BK139" s="32"/>
      <c r="BL139" s="32"/>
      <c r="BM139" s="32"/>
      <c r="BN139" s="32"/>
      <c r="BO139" s="32"/>
      <c r="BP139" s="32"/>
      <c r="BQ139" s="32"/>
      <c r="BR139" s="32"/>
      <c r="BS139" s="32"/>
      <c r="BT139" s="32"/>
      <c r="BU139" s="32"/>
      <c r="BV139" s="32"/>
      <c r="BW139" s="32"/>
      <c r="BX139" s="32"/>
      <c r="BY139" s="32"/>
      <c r="BZ139" s="32"/>
      <c r="CA139" s="32"/>
      <c r="CB139" s="32"/>
      <c r="CC139" s="32"/>
      <c r="CD139" s="32"/>
      <c r="CE139" s="32"/>
      <c r="CF139" s="32"/>
      <c r="CG139" s="32"/>
      <c r="CH139" s="32"/>
      <c r="CI139" s="32"/>
      <c r="CJ139" s="32"/>
      <c r="CK139" s="32"/>
      <c r="CL139" s="32"/>
      <c r="CM139" s="32"/>
      <c r="CN139" s="32"/>
      <c r="CO139" s="32"/>
      <c r="CP139" s="32"/>
      <c r="CQ139" s="32"/>
      <c r="CR139" s="32"/>
      <c r="CS139" s="32"/>
      <c r="CT139" s="32"/>
      <c r="CU139" s="32"/>
      <c r="CV139" s="32"/>
      <c r="CW139" s="32"/>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row>
    <row r="140" spans="1:131">
      <c r="A140" s="11" t="s">
        <v>671</v>
      </c>
      <c r="B140" s="11"/>
      <c r="C140" s="166">
        <v>1235.4854860853059</v>
      </c>
      <c r="D140" s="166">
        <v>324.02315442591345</v>
      </c>
      <c r="E140" s="166">
        <v>64.804630885182689</v>
      </c>
      <c r="F140" s="166">
        <v>388.82778531109614</v>
      </c>
      <c r="G140" s="166">
        <v>594.81643105282615</v>
      </c>
      <c r="H140" s="166">
        <v>814.69740376425398</v>
      </c>
      <c r="I140" s="166">
        <v>2756.9173719051046</v>
      </c>
      <c r="J140" s="166">
        <v>3.3481059247307288</v>
      </c>
      <c r="K140" s="166">
        <v>22.173038258337233</v>
      </c>
      <c r="L140" s="382">
        <v>1.3696619011049143</v>
      </c>
      <c r="M140" s="166">
        <v>11.737143214371596</v>
      </c>
      <c r="N140" s="166">
        <v>0.28838053708293826</v>
      </c>
      <c r="O140" s="166">
        <v>50.602354927442711</v>
      </c>
      <c r="P140" s="166">
        <v>37.408422779947465</v>
      </c>
      <c r="Q140" s="166">
        <v>34.847671197167841</v>
      </c>
      <c r="R140" s="166">
        <v>20.005128032504174</v>
      </c>
      <c r="S140" s="166">
        <v>16.069897752203097</v>
      </c>
      <c r="T140" s="166">
        <v>12.465540114071507</v>
      </c>
      <c r="U140" s="166">
        <v>13.007693789617592</v>
      </c>
      <c r="V140" s="166">
        <v>18.93312778718149</v>
      </c>
      <c r="W140" s="166">
        <v>23.920520820524271</v>
      </c>
      <c r="X140" s="166">
        <v>39.023629100980457</v>
      </c>
      <c r="Y140" s="166">
        <v>45.190411327708347</v>
      </c>
      <c r="Z140" s="166">
        <v>53.233393291537745</v>
      </c>
      <c r="AA140" s="166"/>
      <c r="AB140" s="166">
        <v>83.865446748514358</v>
      </c>
      <c r="AC140" s="166">
        <v>72.746247683119122</v>
      </c>
      <c r="AD140" s="166">
        <v>73.336088814908095</v>
      </c>
      <c r="AE140" s="166">
        <v>69.834289500871449</v>
      </c>
      <c r="AF140" s="166">
        <v>64.320935401539117</v>
      </c>
      <c r="AG140" s="166">
        <v>58.441543781547168</v>
      </c>
      <c r="AH140" s="166">
        <v>63.816657947450807</v>
      </c>
      <c r="AI140" s="166">
        <v>68.909452446546254</v>
      </c>
      <c r="AJ140" s="166">
        <v>74.277285429848305</v>
      </c>
      <c r="AK140" s="166">
        <v>76.658366465114042</v>
      </c>
      <c r="AL140" s="166">
        <v>80.359376556127629</v>
      </c>
      <c r="AM140" s="32">
        <v>84.212004388833122</v>
      </c>
      <c r="AN140" s="32"/>
      <c r="AO140" s="32"/>
      <c r="AP140" s="32"/>
      <c r="AQ140" s="32"/>
      <c r="AR140" s="32"/>
      <c r="AS140" s="32"/>
      <c r="AT140" s="32"/>
      <c r="AU140" s="32"/>
      <c r="AV140" s="32"/>
      <c r="AW140" s="32"/>
      <c r="AX140" s="32"/>
      <c r="AY140" s="32"/>
      <c r="AZ140" s="32"/>
      <c r="BA140" s="32"/>
      <c r="BB140" s="32"/>
      <c r="BC140" s="32"/>
      <c r="BD140" s="32"/>
      <c r="BE140" s="32"/>
      <c r="BF140" s="32"/>
      <c r="BG140" s="32"/>
      <c r="BH140" s="32"/>
      <c r="BI140" s="32"/>
      <c r="BJ140" s="32"/>
      <c r="BK140" s="32"/>
      <c r="BL140" s="32"/>
      <c r="BM140" s="32"/>
      <c r="BN140" s="32"/>
      <c r="BO140" s="32"/>
      <c r="BP140" s="32"/>
      <c r="BQ140" s="32"/>
      <c r="BR140" s="32"/>
      <c r="BS140" s="32"/>
      <c r="BT140" s="32"/>
      <c r="BU140" s="32"/>
      <c r="BV140" s="32"/>
      <c r="BW140" s="32"/>
      <c r="BX140" s="32"/>
      <c r="BY140" s="32"/>
      <c r="BZ140" s="32"/>
      <c r="CA140" s="32"/>
      <c r="CB140" s="32"/>
      <c r="CC140" s="32"/>
      <c r="CD140" s="32"/>
      <c r="CE140" s="32"/>
      <c r="CF140" s="32"/>
      <c r="CG140" s="32"/>
      <c r="CH140" s="32"/>
      <c r="CI140" s="32"/>
      <c r="CJ140" s="32"/>
      <c r="CK140" s="32"/>
      <c r="CL140" s="32"/>
      <c r="CM140" s="32"/>
      <c r="CN140" s="32"/>
      <c r="CO140" s="32"/>
      <c r="CP140" s="32"/>
      <c r="CQ140" s="32"/>
      <c r="CR140" s="32"/>
      <c r="CS140" s="32"/>
      <c r="CT140" s="32"/>
      <c r="CU140" s="32"/>
      <c r="CV140" s="32"/>
      <c r="CW140" s="32"/>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row>
    <row r="141" spans="1:131">
      <c r="A141" s="11" t="s">
        <v>672</v>
      </c>
      <c r="B141" s="11"/>
      <c r="C141" s="166">
        <v>3130.2038994474719</v>
      </c>
      <c r="D141" s="166">
        <v>972.0694632777404</v>
      </c>
      <c r="E141" s="166">
        <v>194.4138926555481</v>
      </c>
      <c r="F141" s="166">
        <v>1166.4833559332885</v>
      </c>
      <c r="G141" s="166">
        <v>1784.4492931584787</v>
      </c>
      <c r="H141" s="166">
        <v>2064.1027505818233</v>
      </c>
      <c r="I141" s="166">
        <v>3264.4500250540573</v>
      </c>
      <c r="J141" s="166">
        <v>6.4041665944702748</v>
      </c>
      <c r="K141" s="166">
        <v>28.69466084516193</v>
      </c>
      <c r="L141" s="382">
        <v>1.1567169537938271</v>
      </c>
      <c r="M141" s="166">
        <v>29.73701583044155</v>
      </c>
      <c r="N141" s="166">
        <v>0.73063576372878758</v>
      </c>
      <c r="O141" s="166">
        <v>128.20522013333431</v>
      </c>
      <c r="P141" s="166">
        <v>94.777309953672855</v>
      </c>
      <c r="Q141" s="166">
        <v>88.289435607749851</v>
      </c>
      <c r="R141" s="166">
        <v>50.684634082351991</v>
      </c>
      <c r="S141" s="166">
        <v>40.714405125917544</v>
      </c>
      <c r="T141" s="166">
        <v>31.582469169606536</v>
      </c>
      <c r="U141" s="166">
        <v>32.956060011755014</v>
      </c>
      <c r="V141" s="166">
        <v>47.968633460806828</v>
      </c>
      <c r="W141" s="166">
        <v>60.604603123641709</v>
      </c>
      <c r="X141" s="166">
        <v>98.869567759573613</v>
      </c>
      <c r="Y141" s="166">
        <v>114.49361675938046</v>
      </c>
      <c r="Z141" s="166">
        <v>134.8711718095303</v>
      </c>
      <c r="AA141" s="166"/>
      <c r="AB141" s="166">
        <v>212.479993814333</v>
      </c>
      <c r="AC141" s="166">
        <v>184.30859021208164</v>
      </c>
      <c r="AD141" s="166">
        <v>185.80300113926339</v>
      </c>
      <c r="AE141" s="166">
        <v>176.93090511601383</v>
      </c>
      <c r="AF141" s="166">
        <v>162.96236991658603</v>
      </c>
      <c r="AG141" s="166">
        <v>148.06644861071092</v>
      </c>
      <c r="AH141" s="166">
        <v>161.68474159074287</v>
      </c>
      <c r="AI141" s="166">
        <v>174.58775451942125</v>
      </c>
      <c r="AJ141" s="166">
        <v>188.18760002562308</v>
      </c>
      <c r="AK141" s="166">
        <v>194.22026429034486</v>
      </c>
      <c r="AL141" s="166">
        <v>203.59707717018901</v>
      </c>
      <c r="AM141" s="32">
        <v>213.35802604484209</v>
      </c>
      <c r="AN141" s="32"/>
      <c r="AO141" s="32"/>
      <c r="AP141" s="32"/>
      <c r="AQ141" s="32"/>
      <c r="AR141" s="32"/>
      <c r="AS141" s="32"/>
      <c r="AT141" s="32"/>
      <c r="AU141" s="32"/>
      <c r="AV141" s="32"/>
      <c r="AW141" s="32"/>
      <c r="AX141" s="32"/>
      <c r="AY141" s="32"/>
      <c r="AZ141" s="32"/>
      <c r="BA141" s="32"/>
      <c r="BB141" s="32"/>
      <c r="BC141" s="32"/>
      <c r="BD141" s="32"/>
      <c r="BE141" s="32"/>
      <c r="BF141" s="32"/>
      <c r="BG141" s="32"/>
      <c r="BH141" s="32"/>
      <c r="BI141" s="32"/>
      <c r="BJ141" s="32"/>
      <c r="BK141" s="32"/>
      <c r="BL141" s="32"/>
      <c r="BM141" s="32"/>
      <c r="BN141" s="32"/>
      <c r="BO141" s="32"/>
      <c r="BP141" s="32"/>
      <c r="BQ141" s="32"/>
      <c r="BR141" s="32"/>
      <c r="BS141" s="32"/>
      <c r="BT141" s="32"/>
      <c r="BU141" s="32"/>
      <c r="BV141" s="32"/>
      <c r="BW141" s="32"/>
      <c r="BX141" s="32"/>
      <c r="BY141" s="32"/>
      <c r="BZ141" s="32"/>
      <c r="CA141" s="32"/>
      <c r="CB141" s="32"/>
      <c r="CC141" s="32"/>
      <c r="CD141" s="32"/>
      <c r="CE141" s="32"/>
      <c r="CF141" s="32"/>
      <c r="CG141" s="32"/>
      <c r="CH141" s="32"/>
      <c r="CI141" s="32"/>
      <c r="CJ141" s="32"/>
      <c r="CK141" s="32"/>
      <c r="CL141" s="32"/>
      <c r="CM141" s="32"/>
      <c r="CN141" s="32"/>
      <c r="CO141" s="32"/>
      <c r="CP141" s="32"/>
      <c r="CQ141" s="32"/>
      <c r="CR141" s="32"/>
      <c r="CS141" s="32"/>
      <c r="CT141" s="32"/>
      <c r="CU141" s="32"/>
      <c r="CV141" s="32"/>
      <c r="CW141" s="32"/>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row>
    <row r="142" spans="1:131">
      <c r="A142" s="11" t="s">
        <v>668</v>
      </c>
      <c r="B142" s="11"/>
      <c r="C142" s="166">
        <v>327.31145340319665</v>
      </c>
      <c r="D142" s="166">
        <v>113.40810404906972</v>
      </c>
      <c r="E142" s="166">
        <v>22.681620809813946</v>
      </c>
      <c r="F142" s="166">
        <v>136.08972485888367</v>
      </c>
      <c r="G142" s="166">
        <v>208.18575086848921</v>
      </c>
      <c r="H142" s="166">
        <v>215.83401368381348</v>
      </c>
      <c r="I142" s="166">
        <v>3642.2373166858997</v>
      </c>
      <c r="J142" s="166">
        <v>8.6789776363219229</v>
      </c>
      <c r="K142" s="166">
        <v>33.549099508044328</v>
      </c>
      <c r="L142" s="382">
        <v>1.0367376863374078</v>
      </c>
      <c r="M142" s="166">
        <v>3.109467045598445</v>
      </c>
      <c r="N142" s="166">
        <v>7.6399321391375424E-2</v>
      </c>
      <c r="O142" s="166">
        <v>13.405847760628477</v>
      </c>
      <c r="P142" s="166">
        <v>9.9104403633442892</v>
      </c>
      <c r="Q142" s="166">
        <v>9.2320322947720754</v>
      </c>
      <c r="R142" s="166">
        <v>5.2998660086111791</v>
      </c>
      <c r="S142" s="166">
        <v>4.2573236582329095</v>
      </c>
      <c r="T142" s="166">
        <v>3.3024378660413309</v>
      </c>
      <c r="U142" s="166">
        <v>3.4460681308315255</v>
      </c>
      <c r="V142" s="166">
        <v>5.0158659436189756</v>
      </c>
      <c r="W142" s="166">
        <v>6.3371529039448617</v>
      </c>
      <c r="X142" s="166">
        <v>10.338349500632882</v>
      </c>
      <c r="Y142" s="166">
        <v>11.972086583086911</v>
      </c>
      <c r="Z142" s="166">
        <v>14.102876580967084</v>
      </c>
      <c r="AA142" s="166"/>
      <c r="AB142" s="166">
        <v>22.218084772927305</v>
      </c>
      <c r="AC142" s="166">
        <v>19.272326811572601</v>
      </c>
      <c r="AD142" s="166">
        <v>19.428590693501764</v>
      </c>
      <c r="AE142" s="166">
        <v>18.500875203589072</v>
      </c>
      <c r="AF142" s="166">
        <v>17.04024781160178</v>
      </c>
      <c r="AG142" s="166">
        <v>15.482647792872569</v>
      </c>
      <c r="AH142" s="166">
        <v>16.906651918914203</v>
      </c>
      <c r="AI142" s="166">
        <v>18.255862401883515</v>
      </c>
      <c r="AJ142" s="166">
        <v>19.677937557907565</v>
      </c>
      <c r="AK142" s="166">
        <v>20.308746339638414</v>
      </c>
      <c r="AL142" s="166">
        <v>21.289237818974108</v>
      </c>
      <c r="AM142" s="32">
        <v>22.309896685101304</v>
      </c>
      <c r="AN142" s="32"/>
      <c r="AO142" s="32"/>
      <c r="AP142" s="32"/>
      <c r="AQ142" s="32"/>
      <c r="AR142" s="32"/>
      <c r="AS142" s="32"/>
      <c r="AT142" s="32"/>
      <c r="AU142" s="32"/>
      <c r="AV142" s="32"/>
      <c r="AW142" s="32"/>
      <c r="AX142" s="32"/>
      <c r="AY142" s="32"/>
      <c r="AZ142" s="32"/>
      <c r="BA142" s="32"/>
      <c r="BB142" s="32"/>
      <c r="BC142" s="32"/>
      <c r="BD142" s="32"/>
      <c r="BE142" s="32"/>
      <c r="BF142" s="32"/>
      <c r="BG142" s="32"/>
      <c r="BH142" s="32"/>
      <c r="BI142" s="32"/>
      <c r="BJ142" s="32"/>
      <c r="BK142" s="32"/>
      <c r="BL142" s="32"/>
      <c r="BM142" s="32"/>
      <c r="BN142" s="32"/>
      <c r="BO142" s="32"/>
      <c r="BP142" s="32"/>
      <c r="BQ142" s="32"/>
      <c r="BR142" s="32"/>
      <c r="BS142" s="32"/>
      <c r="BT142" s="32"/>
      <c r="BU142" s="32"/>
      <c r="BV142" s="32"/>
      <c r="BW142" s="32"/>
      <c r="BX142" s="32"/>
      <c r="BY142" s="32"/>
      <c r="BZ142" s="32"/>
      <c r="CA142" s="32"/>
      <c r="CB142" s="32"/>
      <c r="CC142" s="32"/>
      <c r="CD142" s="32"/>
      <c r="CE142" s="32"/>
      <c r="CF142" s="32"/>
      <c r="CG142" s="32"/>
      <c r="CH142" s="32"/>
      <c r="CI142" s="32"/>
      <c r="CJ142" s="32"/>
      <c r="CK142" s="32"/>
      <c r="CL142" s="32"/>
      <c r="CM142" s="32"/>
      <c r="CN142" s="32"/>
      <c r="CO142" s="32"/>
      <c r="CP142" s="32"/>
      <c r="CQ142" s="32"/>
      <c r="CR142" s="32"/>
      <c r="CS142" s="32"/>
      <c r="CT142" s="32"/>
      <c r="CU142" s="32"/>
      <c r="CV142" s="32"/>
      <c r="CW142" s="32"/>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row>
    <row r="143" spans="1:131">
      <c r="A143" s="11" t="s">
        <v>669</v>
      </c>
      <c r="B143" s="11"/>
      <c r="C143" s="166">
        <v>424.12188328301545</v>
      </c>
      <c r="D143" s="166">
        <v>162.01157721295672</v>
      </c>
      <c r="E143" s="166">
        <v>32.402315442591345</v>
      </c>
      <c r="F143" s="166">
        <v>194.41389265554807</v>
      </c>
      <c r="G143" s="166">
        <v>297.40821552641307</v>
      </c>
      <c r="H143" s="166">
        <v>279.67224308325115</v>
      </c>
      <c r="I143" s="166">
        <v>4015.5100851661305</v>
      </c>
      <c r="J143" s="166">
        <v>10.926604896872652</v>
      </c>
      <c r="K143" s="166">
        <v>38.34552807842995</v>
      </c>
      <c r="L143" s="383">
        <v>0.94036488732576129</v>
      </c>
      <c r="M143" s="166">
        <v>4.0291685661275602</v>
      </c>
      <c r="N143" s="166">
        <v>9.8996303774740002E-2</v>
      </c>
      <c r="O143" s="166">
        <v>17.370957661659439</v>
      </c>
      <c r="P143" s="166">
        <v>12.841697372220771</v>
      </c>
      <c r="Q143" s="166">
        <v>11.962633396042692</v>
      </c>
      <c r="R143" s="166">
        <v>6.8674320111581491</v>
      </c>
      <c r="S143" s="166">
        <v>5.5165320641891231</v>
      </c>
      <c r="T143" s="166">
        <v>4.2792152630394726</v>
      </c>
      <c r="U143" s="166">
        <v>4.46532771882395</v>
      </c>
      <c r="V143" s="166">
        <v>6.4994319269428988</v>
      </c>
      <c r="W143" s="166">
        <v>8.2115220727172868</v>
      </c>
      <c r="X143" s="166">
        <v>13.396171183918664</v>
      </c>
      <c r="Y143" s="166">
        <v>15.513126276675999</v>
      </c>
      <c r="Z143" s="166">
        <v>18.274149935901015</v>
      </c>
      <c r="AA143" s="166"/>
      <c r="AB143" s="166">
        <v>28.789630973370599</v>
      </c>
      <c r="AC143" s="166">
        <v>24.972592488234923</v>
      </c>
      <c r="AD143" s="166">
        <v>25.175075264819196</v>
      </c>
      <c r="AE143" s="166">
        <v>23.972965052537958</v>
      </c>
      <c r="AF143" s="166">
        <v>22.080321107991043</v>
      </c>
      <c r="AG143" s="166">
        <v>20.062022492172908</v>
      </c>
      <c r="AH143" s="166">
        <v>21.907210937184605</v>
      </c>
      <c r="AI143" s="166">
        <v>23.655483675680056</v>
      </c>
      <c r="AJ143" s="166">
        <v>25.498172610246431</v>
      </c>
      <c r="AK143" s="166">
        <v>26.315558637277952</v>
      </c>
      <c r="AL143" s="166">
        <v>27.586054638670678</v>
      </c>
      <c r="AM143" s="32">
        <v>28.908598521539727</v>
      </c>
      <c r="AN143" s="32"/>
      <c r="AO143" s="32"/>
      <c r="AP143" s="32"/>
      <c r="AQ143" s="32"/>
      <c r="AR143" s="32"/>
      <c r="AS143" s="32"/>
      <c r="AT143" s="32"/>
      <c r="AU143" s="32"/>
      <c r="AV143" s="32"/>
      <c r="AW143" s="32"/>
      <c r="AX143" s="32"/>
      <c r="AY143" s="32"/>
      <c r="AZ143" s="32"/>
      <c r="BA143" s="32"/>
      <c r="BB143" s="32"/>
      <c r="BC143" s="32"/>
      <c r="BD143" s="32"/>
      <c r="BE143" s="32"/>
      <c r="BF143" s="32"/>
      <c r="BG143" s="32"/>
      <c r="BH143" s="32"/>
      <c r="BI143" s="32"/>
      <c r="BJ143" s="32"/>
      <c r="BK143" s="32"/>
      <c r="BL143" s="32"/>
      <c r="BM143" s="32"/>
      <c r="BN143" s="32"/>
      <c r="BO143" s="32"/>
      <c r="BP143" s="32"/>
      <c r="BQ143" s="32"/>
      <c r="BR143" s="32"/>
      <c r="BS143" s="32"/>
      <c r="BT143" s="32"/>
      <c r="BU143" s="32"/>
      <c r="BV143" s="32"/>
      <c r="BW143" s="32"/>
      <c r="BX143" s="32"/>
      <c r="BY143" s="32"/>
      <c r="BZ143" s="32"/>
      <c r="CA143" s="32"/>
      <c r="CB143" s="32"/>
      <c r="CC143" s="32"/>
      <c r="CD143" s="32"/>
      <c r="CE143" s="32"/>
      <c r="CF143" s="32"/>
      <c r="CG143" s="32"/>
      <c r="CH143" s="32"/>
      <c r="CI143" s="32"/>
      <c r="CJ143" s="32"/>
      <c r="CK143" s="32"/>
      <c r="CL143" s="32"/>
      <c r="CM143" s="32"/>
      <c r="CN143" s="32"/>
      <c r="CO143" s="32"/>
      <c r="CP143" s="32"/>
      <c r="CQ143" s="32"/>
      <c r="CR143" s="32"/>
      <c r="CS143" s="32"/>
      <c r="CT143" s="32"/>
      <c r="CU143" s="32"/>
      <c r="CV143" s="32"/>
      <c r="CW143" s="32"/>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row>
    <row r="144" spans="1:131">
      <c r="A144" s="11"/>
      <c r="B144" s="11"/>
      <c r="C144" s="32"/>
      <c r="D144" s="32"/>
      <c r="E144" s="32"/>
      <c r="F144" s="32"/>
      <c r="G144" s="32"/>
      <c r="H144" s="32"/>
      <c r="I144" s="32"/>
      <c r="J144" s="32"/>
      <c r="K144" s="32"/>
      <c r="L144" s="32"/>
      <c r="M144" s="32"/>
      <c r="N144" s="32"/>
      <c r="O144" s="32"/>
      <c r="P144" s="32"/>
      <c r="Q144" s="32"/>
      <c r="R144" s="32"/>
      <c r="S144" s="32"/>
      <c r="T144" s="32"/>
      <c r="U144" s="32"/>
      <c r="V144" s="32"/>
      <c r="W144" s="32"/>
      <c r="X144" s="32"/>
      <c r="Y144" s="32"/>
      <c r="Z144" s="32"/>
      <c r="AA144" s="32"/>
      <c r="AB144" s="32"/>
      <c r="AC144" s="32"/>
      <c r="AD144" s="32"/>
      <c r="AE144" s="32"/>
      <c r="AF144" s="32"/>
      <c r="AG144" s="32"/>
      <c r="AH144" s="32"/>
      <c r="AI144" s="32"/>
      <c r="AJ144" s="32"/>
      <c r="AK144" s="32"/>
      <c r="AL144" s="32"/>
      <c r="AM144" s="32"/>
      <c r="AN144" s="32"/>
      <c r="AO144" s="32"/>
      <c r="AP144" s="32"/>
      <c r="AQ144" s="32"/>
      <c r="AR144" s="32"/>
      <c r="AS144" s="32"/>
      <c r="AT144" s="32"/>
      <c r="AU144" s="32"/>
      <c r="AV144" s="32"/>
      <c r="AW144" s="32"/>
      <c r="AX144" s="32"/>
      <c r="AY144" s="32"/>
      <c r="AZ144" s="32"/>
      <c r="BA144" s="32"/>
      <c r="BB144" s="32"/>
      <c r="BC144" s="32"/>
      <c r="BD144" s="32"/>
      <c r="BE144" s="32"/>
      <c r="BF144" s="32"/>
      <c r="BG144" s="32"/>
      <c r="BH144" s="32"/>
      <c r="BI144" s="32"/>
      <c r="BJ144" s="32"/>
      <c r="BK144" s="32"/>
      <c r="BL144" s="32"/>
      <c r="BM144" s="32"/>
      <c r="BN144" s="32"/>
      <c r="BO144" s="32"/>
      <c r="BP144" s="32"/>
      <c r="BQ144" s="32"/>
      <c r="BR144" s="32"/>
      <c r="BS144" s="32"/>
      <c r="BT144" s="32"/>
      <c r="BU144" s="32"/>
      <c r="BV144" s="32"/>
      <c r="BW144" s="32"/>
      <c r="BX144" s="32"/>
      <c r="BY144" s="32"/>
      <c r="BZ144" s="32"/>
      <c r="CA144" s="32"/>
      <c r="CB144" s="32"/>
      <c r="CC144" s="32"/>
      <c r="CD144" s="32"/>
      <c r="CE144" s="32"/>
      <c r="CF144" s="32"/>
      <c r="CG144" s="32"/>
      <c r="CH144" s="32"/>
      <c r="CI144" s="32"/>
      <c r="CJ144" s="32"/>
      <c r="CK144" s="32"/>
      <c r="CL144" s="32"/>
      <c r="CM144" s="32"/>
      <c r="CN144" s="32"/>
      <c r="CO144" s="32"/>
      <c r="CP144" s="32"/>
      <c r="CQ144" s="32"/>
      <c r="CR144" s="32"/>
      <c r="CS144" s="32"/>
      <c r="CT144" s="32"/>
      <c r="CU144" s="32"/>
      <c r="CV144" s="32"/>
      <c r="CW144" s="32"/>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row>
  </sheetData>
  <mergeCells count="3">
    <mergeCell ref="I6:N6"/>
    <mergeCell ref="O6:P6"/>
    <mergeCell ref="R6:T6"/>
  </mergeCells>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sheetPr codeName="Sheet5"/>
  <dimension ref="A10:AU36"/>
  <sheetViews>
    <sheetView workbookViewId="0">
      <pane xSplit="3" ySplit="12" topLeftCell="D13" activePane="bottomRight" state="frozen"/>
      <selection pane="topRight" activeCell="C1" sqref="C1"/>
      <selection pane="bottomLeft" activeCell="A13" sqref="A13"/>
      <selection pane="bottomRight" activeCell="J13" sqref="J13"/>
    </sheetView>
  </sheetViews>
  <sheetFormatPr defaultRowHeight="12.75"/>
  <cols>
    <col min="1" max="1" width="32.28515625" style="34" customWidth="1"/>
    <col min="2" max="2" width="12.5703125" style="34" customWidth="1"/>
    <col min="3" max="3" width="11.5703125" style="34" customWidth="1"/>
    <col min="4" max="4" width="13.5703125" style="34" customWidth="1"/>
    <col min="5" max="5" width="13.42578125" style="34" customWidth="1"/>
    <col min="6" max="6" width="53.42578125" style="34" customWidth="1"/>
    <col min="7" max="9" width="9.140625" style="34"/>
    <col min="10" max="10" width="10.28515625" style="34" bestFit="1" customWidth="1"/>
    <col min="11" max="12" width="9.140625" style="34"/>
    <col min="13" max="13" width="11.28515625" style="34" customWidth="1"/>
    <col min="14" max="17" width="9.140625" style="34"/>
    <col min="18" max="18" width="9.5703125" style="34" customWidth="1"/>
    <col min="19" max="20" width="9.140625" style="34"/>
    <col min="21" max="22" width="10.28515625" style="34" bestFit="1" customWidth="1"/>
    <col min="23" max="23" width="12" style="34" customWidth="1"/>
    <col min="24" max="25" width="10.28515625" style="34" customWidth="1"/>
    <col min="26" max="26" width="9.42578125" style="34" customWidth="1"/>
    <col min="27" max="27" width="11.140625" style="34" customWidth="1"/>
    <col min="28" max="28" width="10.85546875" style="34" customWidth="1"/>
    <col min="29" max="29" width="10" style="34" customWidth="1"/>
    <col min="30" max="36" width="9.140625" style="34"/>
    <col min="37" max="37" width="9.7109375" style="34" customWidth="1"/>
    <col min="38" max="40" width="9.140625" style="34"/>
    <col min="41" max="41" width="13" style="34" customWidth="1"/>
    <col min="42" max="42" width="13.28515625" style="34" customWidth="1"/>
    <col min="43" max="43" width="11.85546875" style="34" customWidth="1"/>
    <col min="44" max="44" width="12.28515625" style="34" customWidth="1"/>
    <col min="45" max="45" width="11.5703125" style="34" customWidth="1"/>
    <col min="46" max="16384" width="9.140625" style="34"/>
  </cols>
  <sheetData>
    <row r="10" spans="1:47">
      <c r="A10" s="34">
        <f>COLUMN()</f>
        <v>1</v>
      </c>
      <c r="B10" s="34">
        <f>COLUMN()</f>
        <v>2</v>
      </c>
      <c r="C10" s="34">
        <f>COLUMN()</f>
        <v>3</v>
      </c>
      <c r="D10" s="34">
        <f>COLUMN()</f>
        <v>4</v>
      </c>
      <c r="E10" s="34">
        <f>COLUMN()</f>
        <v>5</v>
      </c>
      <c r="F10" s="34">
        <f>COLUMN()</f>
        <v>6</v>
      </c>
      <c r="G10" s="34">
        <f>COLUMN()</f>
        <v>7</v>
      </c>
      <c r="H10" s="34">
        <f>COLUMN()</f>
        <v>8</v>
      </c>
      <c r="I10" s="34">
        <f>COLUMN()</f>
        <v>9</v>
      </c>
      <c r="J10" s="34">
        <f>COLUMN()</f>
        <v>10</v>
      </c>
      <c r="K10" s="34">
        <f>COLUMN()</f>
        <v>11</v>
      </c>
      <c r="L10" s="34">
        <f>COLUMN()</f>
        <v>12</v>
      </c>
      <c r="M10" s="34">
        <f>COLUMN()</f>
        <v>13</v>
      </c>
      <c r="N10" s="34">
        <f>COLUMN()</f>
        <v>14</v>
      </c>
      <c r="O10" s="34">
        <f>COLUMN()</f>
        <v>15</v>
      </c>
      <c r="P10" s="34">
        <f>COLUMN()</f>
        <v>16</v>
      </c>
      <c r="Q10" s="34">
        <f>COLUMN()</f>
        <v>17</v>
      </c>
      <c r="R10" s="34">
        <f>COLUMN()</f>
        <v>18</v>
      </c>
      <c r="S10" s="34">
        <f>COLUMN()</f>
        <v>19</v>
      </c>
      <c r="T10" s="34">
        <f>COLUMN()</f>
        <v>20</v>
      </c>
      <c r="U10" s="34">
        <f>COLUMN()</f>
        <v>21</v>
      </c>
      <c r="V10" s="34">
        <f>COLUMN()</f>
        <v>22</v>
      </c>
      <c r="W10" s="34">
        <f>COLUMN()</f>
        <v>23</v>
      </c>
      <c r="X10" s="34">
        <f>COLUMN()</f>
        <v>24</v>
      </c>
      <c r="Y10" s="34">
        <f>COLUMN()</f>
        <v>25</v>
      </c>
      <c r="Z10" s="34">
        <f>COLUMN()</f>
        <v>26</v>
      </c>
      <c r="AA10" s="34">
        <f>COLUMN()</f>
        <v>27</v>
      </c>
      <c r="AB10" s="34">
        <f>COLUMN()</f>
        <v>28</v>
      </c>
      <c r="AC10" s="34">
        <f>COLUMN()</f>
        <v>29</v>
      </c>
      <c r="AD10" s="34">
        <f>COLUMN()</f>
        <v>30</v>
      </c>
      <c r="AE10" s="34">
        <f>COLUMN()</f>
        <v>31</v>
      </c>
      <c r="AF10" s="34">
        <f>COLUMN()</f>
        <v>32</v>
      </c>
      <c r="AG10" s="34">
        <f>COLUMN()</f>
        <v>33</v>
      </c>
      <c r="AH10" s="34">
        <f>COLUMN()</f>
        <v>34</v>
      </c>
      <c r="AI10" s="34">
        <f>COLUMN()</f>
        <v>35</v>
      </c>
      <c r="AJ10" s="34">
        <f>COLUMN()</f>
        <v>36</v>
      </c>
      <c r="AK10" s="34">
        <f>COLUMN()</f>
        <v>37</v>
      </c>
      <c r="AL10" s="34">
        <f>COLUMN()</f>
        <v>38</v>
      </c>
      <c r="AM10" s="34">
        <f>COLUMN()</f>
        <v>39</v>
      </c>
      <c r="AN10" s="34">
        <f>COLUMN()</f>
        <v>40</v>
      </c>
      <c r="AO10" s="34">
        <f>COLUMN()</f>
        <v>41</v>
      </c>
      <c r="AP10" s="34">
        <f>COLUMN()</f>
        <v>42</v>
      </c>
      <c r="AQ10" s="34">
        <f>COLUMN()</f>
        <v>43</v>
      </c>
      <c r="AR10" s="34">
        <f>COLUMN()</f>
        <v>44</v>
      </c>
      <c r="AS10" s="34">
        <f>COLUMN()</f>
        <v>45</v>
      </c>
      <c r="AT10" s="34">
        <f>COLUMN()</f>
        <v>46</v>
      </c>
      <c r="AU10" s="34">
        <f>COLUMN()</f>
        <v>47</v>
      </c>
    </row>
    <row r="11" spans="1:47">
      <c r="F11" s="34">
        <v>1</v>
      </c>
      <c r="G11" s="34">
        <v>2</v>
      </c>
      <c r="H11" s="34">
        <v>3</v>
      </c>
      <c r="I11" s="34">
        <v>4</v>
      </c>
      <c r="J11" s="34">
        <v>5</v>
      </c>
      <c r="K11" s="34">
        <v>6</v>
      </c>
      <c r="L11" s="34">
        <v>7</v>
      </c>
      <c r="M11" s="34">
        <v>8</v>
      </c>
      <c r="N11" s="34">
        <v>9</v>
      </c>
      <c r="O11" s="34">
        <v>10</v>
      </c>
      <c r="P11" s="34">
        <v>11</v>
      </c>
      <c r="Q11" s="34">
        <v>12</v>
      </c>
      <c r="R11" s="34">
        <v>13</v>
      </c>
      <c r="S11" s="34">
        <v>14</v>
      </c>
      <c r="T11" s="34">
        <v>15</v>
      </c>
      <c r="U11" s="34">
        <v>16</v>
      </c>
      <c r="V11" s="34">
        <v>17</v>
      </c>
      <c r="W11" s="34">
        <v>18</v>
      </c>
      <c r="X11" s="34">
        <v>19</v>
      </c>
      <c r="Y11" s="34">
        <v>20</v>
      </c>
      <c r="Z11" s="34">
        <v>21</v>
      </c>
      <c r="AA11" s="34">
        <v>22</v>
      </c>
      <c r="AB11" s="34">
        <v>23</v>
      </c>
      <c r="AC11" s="34">
        <v>24</v>
      </c>
      <c r="AD11" s="34">
        <v>25</v>
      </c>
      <c r="AE11" s="34">
        <v>26</v>
      </c>
      <c r="AF11" s="34">
        <v>27</v>
      </c>
      <c r="AG11" s="34">
        <v>28</v>
      </c>
      <c r="AH11" s="34">
        <v>29</v>
      </c>
      <c r="AI11" s="34">
        <v>30</v>
      </c>
      <c r="AJ11" s="34">
        <v>31</v>
      </c>
      <c r="AK11" s="34">
        <v>32</v>
      </c>
      <c r="AL11" s="34">
        <v>33</v>
      </c>
      <c r="AM11" s="34">
        <v>34</v>
      </c>
      <c r="AN11" s="34">
        <v>35</v>
      </c>
      <c r="AO11" s="34">
        <v>36</v>
      </c>
      <c r="AP11" s="34">
        <v>37</v>
      </c>
      <c r="AQ11" s="34">
        <v>38</v>
      </c>
      <c r="AR11" s="34">
        <v>39</v>
      </c>
      <c r="AS11" s="34">
        <v>40</v>
      </c>
      <c r="AT11" s="34">
        <v>41</v>
      </c>
      <c r="AU11" s="34">
        <v>42</v>
      </c>
    </row>
    <row r="12" spans="1:47" ht="76.5">
      <c r="A12" s="340" t="s">
        <v>522</v>
      </c>
      <c r="B12" s="340" t="s">
        <v>39</v>
      </c>
      <c r="C12" s="340" t="s">
        <v>40</v>
      </c>
      <c r="D12" s="340" t="s">
        <v>41</v>
      </c>
      <c r="E12" s="340" t="s">
        <v>38</v>
      </c>
      <c r="F12" s="340" t="s">
        <v>19</v>
      </c>
      <c r="G12" s="340" t="s">
        <v>20</v>
      </c>
      <c r="H12" s="340" t="s">
        <v>22</v>
      </c>
      <c r="I12" s="340" t="s">
        <v>42</v>
      </c>
      <c r="J12" s="340" t="s">
        <v>43</v>
      </c>
      <c r="K12" s="340" t="s">
        <v>44</v>
      </c>
      <c r="L12" s="340" t="s">
        <v>8</v>
      </c>
      <c r="M12" s="340" t="s">
        <v>45</v>
      </c>
      <c r="N12" s="340" t="s">
        <v>46</v>
      </c>
      <c r="O12" s="340" t="s">
        <v>47</v>
      </c>
      <c r="P12" s="340" t="s">
        <v>28</v>
      </c>
      <c r="Q12" s="340" t="s">
        <v>29</v>
      </c>
      <c r="R12" s="340" t="s">
        <v>30</v>
      </c>
      <c r="S12" s="340" t="s">
        <v>31</v>
      </c>
      <c r="U12" s="340" t="s">
        <v>42</v>
      </c>
      <c r="V12" s="340" t="s">
        <v>43</v>
      </c>
      <c r="W12" s="340" t="s">
        <v>48</v>
      </c>
      <c r="X12" s="340" t="s">
        <v>49</v>
      </c>
      <c r="Y12" s="340" t="s">
        <v>50</v>
      </c>
      <c r="Z12" s="340" t="s">
        <v>51</v>
      </c>
      <c r="AA12" s="340" t="s">
        <v>52</v>
      </c>
      <c r="AB12" s="340" t="s">
        <v>53</v>
      </c>
      <c r="AC12" s="340" t="s">
        <v>54</v>
      </c>
      <c r="AD12" s="340" t="s">
        <v>55</v>
      </c>
      <c r="AE12" s="340" t="s">
        <v>56</v>
      </c>
      <c r="AF12" s="340" t="s">
        <v>57</v>
      </c>
      <c r="AG12" s="340" t="s">
        <v>58</v>
      </c>
      <c r="AH12" s="340" t="s">
        <v>59</v>
      </c>
      <c r="AI12" s="341" t="s">
        <v>60</v>
      </c>
      <c r="AJ12" s="340" t="s">
        <v>61</v>
      </c>
      <c r="AK12" s="340" t="s">
        <v>62</v>
      </c>
      <c r="AL12" s="340" t="s">
        <v>63</v>
      </c>
      <c r="AM12" s="340" t="s">
        <v>64</v>
      </c>
      <c r="AN12" s="341" t="s">
        <v>65</v>
      </c>
      <c r="AO12" s="342" t="s">
        <v>674</v>
      </c>
      <c r="AP12" s="340" t="s">
        <v>66</v>
      </c>
      <c r="AQ12" s="340" t="s">
        <v>67</v>
      </c>
      <c r="AR12" s="340" t="s">
        <v>68</v>
      </c>
      <c r="AS12" s="340" t="s">
        <v>69</v>
      </c>
      <c r="AT12" s="343"/>
      <c r="AU12" s="340" t="s">
        <v>70</v>
      </c>
    </row>
    <row r="13" spans="1:47">
      <c r="A13" s="34" t="s">
        <v>663</v>
      </c>
      <c r="B13" s="34" t="str">
        <f>'Luminaires 7P'!A7</f>
        <v>HPS 100W</v>
      </c>
      <c r="C13" s="34" t="str">
        <f>'Luminaires 7P'!B19</f>
        <v>LED 42W</v>
      </c>
      <c r="D13" s="34" t="s">
        <v>72</v>
      </c>
      <c r="E13" s="34" t="s">
        <v>37</v>
      </c>
      <c r="F13" s="34" t="str">
        <f>CONCATENATE(D13," - ",B13," - ",AJ13," Relamp -"," to ",C13," - ",E13)</f>
        <v>Streetlight - HPS 100W - Group Relamp - to LED 42W - New</v>
      </c>
      <c r="G13" s="40">
        <f>'Luminaires 7P'!AH19</f>
        <v>339.69999999999993</v>
      </c>
      <c r="H13" s="41">
        <f>W13</f>
        <v>-8.5918959509302795</v>
      </c>
      <c r="I13" s="42">
        <f>'Luminaires 7P'!P7</f>
        <v>24000</v>
      </c>
      <c r="J13" s="42">
        <f>'Luminaires 7P'!P19</f>
        <v>50000</v>
      </c>
      <c r="K13" s="34">
        <v>4300</v>
      </c>
      <c r="L13" s="40">
        <f t="shared" ref="L13" si="0">J13/K13</f>
        <v>11.627906976744185</v>
      </c>
      <c r="M13" s="40"/>
      <c r="N13" s="41">
        <f>-(AL13+AM13)</f>
        <v>-77</v>
      </c>
      <c r="O13" s="43">
        <v>5</v>
      </c>
      <c r="U13" s="33">
        <f>'Luminaires 7P'!P7</f>
        <v>24000</v>
      </c>
      <c r="V13" s="33">
        <f>'Luminaires 7P'!P19</f>
        <v>50000</v>
      </c>
      <c r="W13" s="41">
        <f t="shared" ref="W13" si="1">AA13-AB13-Z13+X13</f>
        <v>-8.5918959509302795</v>
      </c>
      <c r="X13" s="44">
        <f>Y13*'Luminaires 7P'!$D$4</f>
        <v>0</v>
      </c>
      <c r="Y13" s="34">
        <v>0</v>
      </c>
      <c r="Z13" s="44"/>
      <c r="AA13" s="44">
        <f>'Luminaires 7P'!N19</f>
        <v>113.40810404906972</v>
      </c>
      <c r="AB13" s="44">
        <f>'Luminaires 7P'!N7</f>
        <v>122</v>
      </c>
      <c r="AC13" s="45">
        <f>'Luminaires 7P'!F7</f>
        <v>121</v>
      </c>
      <c r="AD13" s="45">
        <f>'Luminaires 7P'!F19</f>
        <v>35.411764705882355</v>
      </c>
      <c r="AE13" s="40">
        <f t="shared" ref="AE13:AE36" si="2">AC13-AD13</f>
        <v>85.588235294117652</v>
      </c>
      <c r="AF13" s="46">
        <f t="shared" ref="AF13:AF24" si="3">AA13/AD13</f>
        <v>3.2025544332793774</v>
      </c>
      <c r="AG13" s="46">
        <f t="shared" ref="AG13:AG24" si="4">AA13/AE13</f>
        <v>1.3250431400922236</v>
      </c>
      <c r="AH13" s="47">
        <f t="shared" ref="AH13:AH24" si="5">1-(AD13/AC13)</f>
        <v>0.70734078755469132</v>
      </c>
      <c r="AJ13" s="34" t="s">
        <v>73</v>
      </c>
      <c r="AK13" s="34">
        <v>0.5</v>
      </c>
      <c r="AL13" s="44">
        <f>AK13*'Luminaires 7P'!$D$4</f>
        <v>65</v>
      </c>
      <c r="AM13" s="44">
        <f>'Luminaires 7P'!Q7</f>
        <v>12</v>
      </c>
      <c r="AO13" s="49">
        <f>AR13*AS13</f>
        <v>0.25</v>
      </c>
      <c r="AP13" s="48">
        <f>AQ13*AR13*AS13</f>
        <v>0.13500000000000001</v>
      </c>
      <c r="AQ13" s="269">
        <f t="shared" ref="AQ13:AQ24" si="6">VLOOKUP(A13,WattClass,2,FALSE)</f>
        <v>0.54</v>
      </c>
      <c r="AR13" s="49">
        <v>0.5</v>
      </c>
      <c r="AS13" s="49">
        <v>0.5</v>
      </c>
      <c r="AU13" s="239">
        <f>AA13/AE13</f>
        <v>1.3250431400922236</v>
      </c>
    </row>
    <row r="14" spans="1:47">
      <c r="A14" s="34" t="s">
        <v>663</v>
      </c>
      <c r="B14" s="34" t="str">
        <f>'Luminaires 7P'!A8</f>
        <v>HPS 100W</v>
      </c>
      <c r="C14" s="34" t="str">
        <f>'Luminaires 7P'!B20</f>
        <v>LED 42W</v>
      </c>
      <c r="D14" s="34" t="s">
        <v>72</v>
      </c>
      <c r="E14" s="34" t="s">
        <v>37</v>
      </c>
      <c r="F14" s="34" t="str">
        <f t="shared" ref="F14:F36" si="7">CONCATENATE(D14," - ",B14," - ",AJ14," Relamp -"," to ",C14," - ",E14)</f>
        <v>Streetlight - HPS 100W - Tariff Relamp - to LED 42W - New</v>
      </c>
      <c r="G14" s="40">
        <f>'Luminaires 7P'!AH20</f>
        <v>339.69999999999993</v>
      </c>
      <c r="H14" s="41">
        <f t="shared" ref="H14:H36" si="8">W14</f>
        <v>-8.5918959509302795</v>
      </c>
      <c r="I14" s="42">
        <f>'Luminaires 7P'!P8</f>
        <v>24000</v>
      </c>
      <c r="J14" s="42">
        <f>'Luminaires 7P'!P20</f>
        <v>50000</v>
      </c>
      <c r="K14" s="34">
        <v>4300</v>
      </c>
      <c r="L14" s="40">
        <f t="shared" ref="L14:L36" si="9">J14/K14</f>
        <v>11.627906976744185</v>
      </c>
      <c r="M14" s="35">
        <f>-Pricing!$V$25</f>
        <v>-56</v>
      </c>
      <c r="N14" s="41"/>
      <c r="O14" s="43"/>
      <c r="U14" s="33">
        <f>'Luminaires 7P'!P8</f>
        <v>24000</v>
      </c>
      <c r="V14" s="33">
        <f>'Luminaires 7P'!P20</f>
        <v>50000</v>
      </c>
      <c r="W14" s="41">
        <f t="shared" ref="W14:W36" si="10">AA14-AB14-Z14+X14</f>
        <v>-8.5918959509302795</v>
      </c>
      <c r="X14" s="44">
        <f>Y14*'Luminaires 7P'!$D$4</f>
        <v>0</v>
      </c>
      <c r="Y14" s="34">
        <v>0</v>
      </c>
      <c r="Z14" s="44"/>
      <c r="AA14" s="44">
        <f>'Luminaires 7P'!N20</f>
        <v>113.40810404906972</v>
      </c>
      <c r="AB14" s="44">
        <f>'Luminaires 7P'!N8</f>
        <v>122</v>
      </c>
      <c r="AC14" s="45">
        <f>'Luminaires 7P'!F8</f>
        <v>121</v>
      </c>
      <c r="AD14" s="45">
        <f>'Luminaires 7P'!F20</f>
        <v>35.411764705882355</v>
      </c>
      <c r="AE14" s="40">
        <f t="shared" si="2"/>
        <v>85.588235294117652</v>
      </c>
      <c r="AF14" s="46">
        <f t="shared" si="3"/>
        <v>3.2025544332793774</v>
      </c>
      <c r="AG14" s="46">
        <f t="shared" si="4"/>
        <v>1.3250431400922236</v>
      </c>
      <c r="AH14" s="47">
        <f t="shared" si="5"/>
        <v>0.70734078755469132</v>
      </c>
      <c r="AJ14" s="34" t="s">
        <v>74</v>
      </c>
      <c r="AL14" s="44"/>
      <c r="AM14" s="44"/>
      <c r="AO14" s="226">
        <f t="shared" ref="AO14:AO36" si="11">AR14*AS14</f>
        <v>0.25</v>
      </c>
      <c r="AP14" s="48">
        <f t="shared" ref="AP14:AP36" si="12">AQ14*AR14*AS14</f>
        <v>0.13500000000000001</v>
      </c>
      <c r="AQ14" s="269">
        <f t="shared" si="6"/>
        <v>0.54</v>
      </c>
      <c r="AR14" s="49">
        <v>0.5</v>
      </c>
      <c r="AS14" s="49">
        <v>0.5</v>
      </c>
      <c r="AU14" s="239">
        <f t="shared" ref="AU14:AU36" si="13">AA14/AE14</f>
        <v>1.3250431400922236</v>
      </c>
    </row>
    <row r="15" spans="1:47">
      <c r="A15" s="34" t="s">
        <v>663</v>
      </c>
      <c r="B15" s="34" t="str">
        <f>'Luminaires 7P'!A9</f>
        <v>HPS 100W</v>
      </c>
      <c r="C15" s="34" t="str">
        <f>'Luminaires 7P'!B21</f>
        <v>LED 58W</v>
      </c>
      <c r="D15" s="34" t="s">
        <v>72</v>
      </c>
      <c r="E15" s="34" t="s">
        <v>37</v>
      </c>
      <c r="F15" s="34" t="str">
        <f t="shared" si="7"/>
        <v>Streetlight - HPS 100W - Group Relamp - to LED 58W - New</v>
      </c>
      <c r="G15" s="40">
        <f>'Luminaires 7P'!AH21</f>
        <v>270.89999999999998</v>
      </c>
      <c r="H15" s="41">
        <f t="shared" si="8"/>
        <v>-8.5918959509302795</v>
      </c>
      <c r="I15" s="42">
        <f>'Luminaires 7P'!P9</f>
        <v>24000</v>
      </c>
      <c r="J15" s="42">
        <f>'Luminaires 7P'!P21</f>
        <v>50000</v>
      </c>
      <c r="K15" s="34">
        <v>4300</v>
      </c>
      <c r="L15" s="40">
        <f t="shared" si="9"/>
        <v>11.627906976744185</v>
      </c>
      <c r="M15" s="40"/>
      <c r="N15" s="41">
        <f t="shared" ref="N15" si="14">-(AL15+AM15)</f>
        <v>-77</v>
      </c>
      <c r="O15" s="43">
        <v>5</v>
      </c>
      <c r="U15" s="33">
        <f>'Luminaires 7P'!P9</f>
        <v>24000</v>
      </c>
      <c r="V15" s="33">
        <f>'Luminaires 7P'!P21</f>
        <v>50000</v>
      </c>
      <c r="W15" s="41">
        <f t="shared" si="10"/>
        <v>-8.5918959509302795</v>
      </c>
      <c r="X15" s="44">
        <f>Y15*'Luminaires 7P'!$D$4</f>
        <v>0</v>
      </c>
      <c r="Y15" s="34">
        <v>0</v>
      </c>
      <c r="Z15" s="44"/>
      <c r="AA15" s="44">
        <f>'Luminaires 7P'!N21</f>
        <v>113.40810404906972</v>
      </c>
      <c r="AB15" s="44">
        <f>'Luminaires 7P'!N9</f>
        <v>122</v>
      </c>
      <c r="AC15" s="45">
        <f>'Luminaires 7P'!F9</f>
        <v>121</v>
      </c>
      <c r="AD15" s="45">
        <f>'Luminaires 7P'!F21</f>
        <v>48.901960784313722</v>
      </c>
      <c r="AE15" s="40">
        <f t="shared" si="2"/>
        <v>72.098039215686271</v>
      </c>
      <c r="AF15" s="46">
        <f t="shared" si="3"/>
        <v>2.3190911413402389</v>
      </c>
      <c r="AG15" s="46">
        <f t="shared" si="4"/>
        <v>1.5729707115862268</v>
      </c>
      <c r="AH15" s="47">
        <f t="shared" si="5"/>
        <v>0.59585156376600223</v>
      </c>
      <c r="AJ15" s="34" t="s">
        <v>73</v>
      </c>
      <c r="AK15" s="34">
        <v>0.5</v>
      </c>
      <c r="AL15" s="44">
        <f>AK15*'Luminaires 7P'!$D$4</f>
        <v>65</v>
      </c>
      <c r="AM15" s="44">
        <f>'Luminaires 7P'!Q9</f>
        <v>12</v>
      </c>
      <c r="AO15" s="226">
        <f t="shared" si="11"/>
        <v>0.25</v>
      </c>
      <c r="AP15" s="48">
        <f t="shared" si="12"/>
        <v>0.13500000000000001</v>
      </c>
      <c r="AQ15" s="269">
        <f t="shared" si="6"/>
        <v>0.54</v>
      </c>
      <c r="AR15" s="49">
        <v>0.5</v>
      </c>
      <c r="AS15" s="49">
        <v>0.5</v>
      </c>
      <c r="AU15" s="239">
        <f t="shared" si="13"/>
        <v>1.5729707115862268</v>
      </c>
    </row>
    <row r="16" spans="1:47">
      <c r="A16" s="34" t="s">
        <v>663</v>
      </c>
      <c r="B16" s="34" t="str">
        <f>'Luminaires 7P'!A10</f>
        <v>HPS 100W</v>
      </c>
      <c r="C16" s="34" t="str">
        <f>'Luminaires 7P'!B22</f>
        <v>LED 58W</v>
      </c>
      <c r="D16" s="34" t="s">
        <v>72</v>
      </c>
      <c r="E16" s="34" t="s">
        <v>37</v>
      </c>
      <c r="F16" s="34" t="str">
        <f t="shared" si="7"/>
        <v>Streetlight - HPS 100W - Tariff Relamp - to LED 58W - New</v>
      </c>
      <c r="G16" s="40">
        <f>'Luminaires 7P'!AH22</f>
        <v>270.89999999999998</v>
      </c>
      <c r="H16" s="41">
        <f t="shared" si="8"/>
        <v>-8.5918959509302795</v>
      </c>
      <c r="I16" s="42">
        <f>'Luminaires 7P'!P10</f>
        <v>24000</v>
      </c>
      <c r="J16" s="42">
        <f>'Luminaires 7P'!P22</f>
        <v>50000</v>
      </c>
      <c r="K16" s="34">
        <v>4300</v>
      </c>
      <c r="L16" s="40">
        <f t="shared" si="9"/>
        <v>11.627906976744185</v>
      </c>
      <c r="M16" s="35">
        <f>-Pricing!$V$25</f>
        <v>-56</v>
      </c>
      <c r="N16" s="41"/>
      <c r="O16" s="43"/>
      <c r="U16" s="33">
        <f>'Luminaires 7P'!P10</f>
        <v>24000</v>
      </c>
      <c r="V16" s="33">
        <f>'Luminaires 7P'!P22</f>
        <v>50000</v>
      </c>
      <c r="W16" s="41">
        <f t="shared" si="10"/>
        <v>-8.5918959509302795</v>
      </c>
      <c r="X16" s="44">
        <f>Y16*'Luminaires 7P'!$D$4</f>
        <v>0</v>
      </c>
      <c r="Y16" s="34">
        <v>0</v>
      </c>
      <c r="Z16" s="44"/>
      <c r="AA16" s="44">
        <f>'Luminaires 7P'!N22</f>
        <v>113.40810404906972</v>
      </c>
      <c r="AB16" s="44">
        <f>'Luminaires 7P'!N10</f>
        <v>122</v>
      </c>
      <c r="AC16" s="45">
        <f>'Luminaires 7P'!F10</f>
        <v>121</v>
      </c>
      <c r="AD16" s="45">
        <f>'Luminaires 7P'!F22</f>
        <v>48.901960784313722</v>
      </c>
      <c r="AE16" s="40">
        <f t="shared" si="2"/>
        <v>72.098039215686271</v>
      </c>
      <c r="AF16" s="46">
        <f t="shared" si="3"/>
        <v>2.3190911413402389</v>
      </c>
      <c r="AG16" s="46">
        <f t="shared" si="4"/>
        <v>1.5729707115862268</v>
      </c>
      <c r="AH16" s="47">
        <f t="shared" si="5"/>
        <v>0.59585156376600223</v>
      </c>
      <c r="AJ16" s="34" t="s">
        <v>74</v>
      </c>
      <c r="AL16" s="44"/>
      <c r="AM16" s="44"/>
      <c r="AO16" s="226">
        <f t="shared" si="11"/>
        <v>0.25</v>
      </c>
      <c r="AP16" s="48">
        <f t="shared" si="12"/>
        <v>0.13500000000000001</v>
      </c>
      <c r="AQ16" s="269">
        <f t="shared" si="6"/>
        <v>0.54</v>
      </c>
      <c r="AR16" s="49">
        <v>0.5</v>
      </c>
      <c r="AS16" s="49">
        <v>0.5</v>
      </c>
      <c r="AU16" s="239">
        <f t="shared" si="13"/>
        <v>1.5729707115862268</v>
      </c>
    </row>
    <row r="17" spans="1:47">
      <c r="A17" s="34" t="s">
        <v>664</v>
      </c>
      <c r="B17" s="34" t="str">
        <f>'Luminaires 7P'!A11</f>
        <v>MH 200W</v>
      </c>
      <c r="C17" s="34" t="str">
        <f>'Luminaires 7P'!B23</f>
        <v>LED 135W</v>
      </c>
      <c r="D17" s="34" t="s">
        <v>72</v>
      </c>
      <c r="E17" s="34" t="s">
        <v>37</v>
      </c>
      <c r="F17" s="34" t="str">
        <f t="shared" si="7"/>
        <v>Streetlight - MH 200W - Group Relamp - to LED 135W - New</v>
      </c>
      <c r="G17" s="40">
        <f>'Luminaires 7P'!AH23</f>
        <v>395.6</v>
      </c>
      <c r="H17" s="41">
        <f t="shared" si="8"/>
        <v>2.0115772129567233</v>
      </c>
      <c r="I17" s="42">
        <f>'Luminaires 7P'!P11</f>
        <v>24000</v>
      </c>
      <c r="J17" s="42">
        <f>'Luminaires 7P'!P23</f>
        <v>50000</v>
      </c>
      <c r="K17" s="34">
        <v>4300</v>
      </c>
      <c r="L17" s="40">
        <f t="shared" si="9"/>
        <v>11.627906976744185</v>
      </c>
      <c r="M17" s="40"/>
      <c r="N17" s="41">
        <f t="shared" ref="N17" si="15">-(AL17+AM17)</f>
        <v>-80</v>
      </c>
      <c r="O17" s="43">
        <v>5</v>
      </c>
      <c r="U17" s="33">
        <f>'Luminaires 7P'!P11</f>
        <v>24000</v>
      </c>
      <c r="V17" s="33">
        <f>'Luminaires 7P'!P23</f>
        <v>50000</v>
      </c>
      <c r="W17" s="41">
        <f t="shared" si="10"/>
        <v>2.0115772129567233</v>
      </c>
      <c r="X17" s="44">
        <f>Y17*'Luminaires 7P'!$D$4</f>
        <v>0</v>
      </c>
      <c r="Y17" s="34">
        <v>0</v>
      </c>
      <c r="Z17" s="41"/>
      <c r="AA17" s="44">
        <f>'Luminaires 7P'!N23</f>
        <v>162.01157721295672</v>
      </c>
      <c r="AB17" s="44">
        <f>'Luminaires 7P'!N11</f>
        <v>160</v>
      </c>
      <c r="AC17" s="45">
        <f>'Luminaires 7P'!F11</f>
        <v>227</v>
      </c>
      <c r="AD17" s="45">
        <f>'Luminaires 7P'!F23</f>
        <v>113.82352941176471</v>
      </c>
      <c r="AE17" s="40">
        <f t="shared" si="2"/>
        <v>113.17647058823529</v>
      </c>
      <c r="AF17" s="46">
        <f t="shared" si="3"/>
        <v>1.4233575259019453</v>
      </c>
      <c r="AG17" s="46">
        <f t="shared" si="4"/>
        <v>1.4314952248546073</v>
      </c>
      <c r="AH17" s="47">
        <f t="shared" si="5"/>
        <v>0.498574760300596</v>
      </c>
      <c r="AJ17" s="34" t="s">
        <v>73</v>
      </c>
      <c r="AK17" s="34">
        <v>0.5</v>
      </c>
      <c r="AL17" s="44">
        <f>AK17*'Luminaires 7P'!$D$4</f>
        <v>65</v>
      </c>
      <c r="AM17" s="44">
        <f>'Luminaires 7P'!Q11</f>
        <v>15</v>
      </c>
      <c r="AO17" s="226">
        <f t="shared" si="11"/>
        <v>0.5</v>
      </c>
      <c r="AP17" s="48">
        <f t="shared" si="12"/>
        <v>6.5500000000000003E-2</v>
      </c>
      <c r="AQ17" s="269">
        <f t="shared" si="6"/>
        <v>0.13100000000000001</v>
      </c>
      <c r="AR17" s="49">
        <v>1</v>
      </c>
      <c r="AS17" s="49">
        <v>0.5</v>
      </c>
      <c r="AU17" s="239">
        <f t="shared" si="13"/>
        <v>1.4314952248546073</v>
      </c>
    </row>
    <row r="18" spans="1:47">
      <c r="A18" s="34" t="s">
        <v>664</v>
      </c>
      <c r="B18" s="34" t="str">
        <f>'Luminaires 7P'!A12</f>
        <v>MH 200W</v>
      </c>
      <c r="C18" s="34" t="str">
        <f>'Luminaires 7P'!B24</f>
        <v>LED 135W</v>
      </c>
      <c r="D18" s="34" t="s">
        <v>72</v>
      </c>
      <c r="E18" s="34" t="s">
        <v>37</v>
      </c>
      <c r="F18" s="34" t="str">
        <f t="shared" si="7"/>
        <v>Streetlight - MH 200W - Tariff Relamp - to LED 135W - New</v>
      </c>
      <c r="G18" s="40">
        <f>'Luminaires 7P'!AH24</f>
        <v>395.6</v>
      </c>
      <c r="H18" s="41">
        <f t="shared" si="8"/>
        <v>2.0115772129567233</v>
      </c>
      <c r="I18" s="42">
        <f>'Luminaires 7P'!P12</f>
        <v>24000</v>
      </c>
      <c r="J18" s="42">
        <f>'Luminaires 7P'!P24</f>
        <v>50000</v>
      </c>
      <c r="K18" s="34">
        <v>4300</v>
      </c>
      <c r="L18" s="40">
        <f t="shared" si="9"/>
        <v>11.627906976744185</v>
      </c>
      <c r="M18" s="35">
        <f>-Pricing!$V$25</f>
        <v>-56</v>
      </c>
      <c r="N18" s="41"/>
      <c r="O18" s="43"/>
      <c r="U18" s="33">
        <f>'Luminaires 7P'!P12</f>
        <v>24000</v>
      </c>
      <c r="V18" s="33">
        <f>'Luminaires 7P'!P24</f>
        <v>50000</v>
      </c>
      <c r="W18" s="41">
        <f t="shared" si="10"/>
        <v>2.0115772129567233</v>
      </c>
      <c r="X18" s="44">
        <f>Y18*'Luminaires 7P'!$D$4</f>
        <v>0</v>
      </c>
      <c r="Y18" s="34">
        <v>0</v>
      </c>
      <c r="Z18" s="41"/>
      <c r="AA18" s="44">
        <f>'Luminaires 7P'!N24</f>
        <v>162.01157721295672</v>
      </c>
      <c r="AB18" s="44">
        <f>'Luminaires 7P'!N12</f>
        <v>160</v>
      </c>
      <c r="AC18" s="45">
        <f>'Luminaires 7P'!F12</f>
        <v>227</v>
      </c>
      <c r="AD18" s="45">
        <f>'Luminaires 7P'!F24</f>
        <v>113.82352941176471</v>
      </c>
      <c r="AE18" s="40">
        <f t="shared" si="2"/>
        <v>113.17647058823529</v>
      </c>
      <c r="AF18" s="46">
        <f t="shared" si="3"/>
        <v>1.4233575259019453</v>
      </c>
      <c r="AG18" s="46">
        <f t="shared" si="4"/>
        <v>1.4314952248546073</v>
      </c>
      <c r="AH18" s="47">
        <f t="shared" si="5"/>
        <v>0.498574760300596</v>
      </c>
      <c r="AJ18" s="34" t="s">
        <v>74</v>
      </c>
      <c r="AL18" s="44"/>
      <c r="AM18" s="44"/>
      <c r="AO18" s="226">
        <f t="shared" si="11"/>
        <v>0.5</v>
      </c>
      <c r="AP18" s="48">
        <f t="shared" si="12"/>
        <v>6.5500000000000003E-2</v>
      </c>
      <c r="AQ18" s="269">
        <f t="shared" si="6"/>
        <v>0.13100000000000001</v>
      </c>
      <c r="AR18" s="49">
        <v>1</v>
      </c>
      <c r="AS18" s="49">
        <v>0.5</v>
      </c>
      <c r="AU18" s="239">
        <f t="shared" si="13"/>
        <v>1.4314952248546073</v>
      </c>
    </row>
    <row r="19" spans="1:47">
      <c r="A19" s="34" t="s">
        <v>665</v>
      </c>
      <c r="B19" s="34" t="str">
        <f>'Luminaires 7P'!A13</f>
        <v>HPS 250W</v>
      </c>
      <c r="C19" s="34" t="str">
        <f>'Luminaires 7P'!B25</f>
        <v>LED 135W</v>
      </c>
      <c r="D19" s="34" t="s">
        <v>72</v>
      </c>
      <c r="E19" s="34" t="s">
        <v>37</v>
      </c>
      <c r="F19" s="34" t="str">
        <f t="shared" si="7"/>
        <v>Streetlight - HPS 250W - Group Relamp - to LED 135W - New</v>
      </c>
      <c r="G19" s="40">
        <f>'Luminaires 7P'!AH25</f>
        <v>666.5</v>
      </c>
      <c r="H19" s="41">
        <f t="shared" si="8"/>
        <v>2.0115772129567233</v>
      </c>
      <c r="I19" s="42">
        <f>'Luminaires 7P'!P13</f>
        <v>24000</v>
      </c>
      <c r="J19" s="42">
        <f>'Luminaires 7P'!P25</f>
        <v>50000</v>
      </c>
      <c r="K19" s="34">
        <v>4300</v>
      </c>
      <c r="L19" s="40">
        <f t="shared" si="9"/>
        <v>11.627906976744185</v>
      </c>
      <c r="M19" s="40"/>
      <c r="N19" s="41">
        <f t="shared" ref="N19" si="16">-(AL19+AM19)</f>
        <v>-80</v>
      </c>
      <c r="O19" s="43">
        <v>5</v>
      </c>
      <c r="U19" s="33">
        <f>'Luminaires 7P'!P13</f>
        <v>24000</v>
      </c>
      <c r="V19" s="33">
        <f>'Luminaires 7P'!P25</f>
        <v>50000</v>
      </c>
      <c r="W19" s="41">
        <f t="shared" si="10"/>
        <v>2.0115772129567233</v>
      </c>
      <c r="X19" s="44">
        <f>Y19*'Luminaires 7P'!$D$4</f>
        <v>0</v>
      </c>
      <c r="Y19" s="34">
        <v>0</v>
      </c>
      <c r="Z19" s="41"/>
      <c r="AA19" s="44">
        <f>'Luminaires 7P'!N25</f>
        <v>162.01157721295672</v>
      </c>
      <c r="AB19" s="44">
        <f>'Luminaires 7P'!N13</f>
        <v>160</v>
      </c>
      <c r="AC19" s="45">
        <f>'Luminaires 7P'!F13</f>
        <v>290</v>
      </c>
      <c r="AD19" s="45">
        <f>'Luminaires 7P'!F25</f>
        <v>113.82352941176471</v>
      </c>
      <c r="AE19" s="40">
        <f t="shared" si="2"/>
        <v>176.1764705882353</v>
      </c>
      <c r="AF19" s="46">
        <f t="shared" si="3"/>
        <v>1.4233575259019453</v>
      </c>
      <c r="AG19" s="46">
        <f t="shared" si="4"/>
        <v>0.91959826798673261</v>
      </c>
      <c r="AH19" s="47">
        <f t="shared" si="5"/>
        <v>0.60750507099391482</v>
      </c>
      <c r="AJ19" s="34" t="s">
        <v>73</v>
      </c>
      <c r="AK19" s="34">
        <v>0.5</v>
      </c>
      <c r="AL19" s="44">
        <f>AK19*'Luminaires 7P'!$D$4</f>
        <v>65</v>
      </c>
      <c r="AM19" s="44">
        <f>'Luminaires 7P'!Q13</f>
        <v>15</v>
      </c>
      <c r="AO19" s="226">
        <f t="shared" si="11"/>
        <v>0.5</v>
      </c>
      <c r="AP19" s="48">
        <f t="shared" si="12"/>
        <v>7.0000000000000007E-2</v>
      </c>
      <c r="AQ19" s="269">
        <f t="shared" si="6"/>
        <v>0.14000000000000001</v>
      </c>
      <c r="AR19" s="49">
        <v>1</v>
      </c>
      <c r="AS19" s="49">
        <v>0.5</v>
      </c>
      <c r="AU19" s="239">
        <f t="shared" si="13"/>
        <v>0.91959826798673261</v>
      </c>
    </row>
    <row r="20" spans="1:47">
      <c r="A20" s="34" t="s">
        <v>665</v>
      </c>
      <c r="B20" s="34" t="str">
        <f>'Luminaires 7P'!A14</f>
        <v>HPS 250W</v>
      </c>
      <c r="C20" s="34" t="str">
        <f>'Luminaires 7P'!B26</f>
        <v>LED 135W</v>
      </c>
      <c r="D20" s="34" t="s">
        <v>72</v>
      </c>
      <c r="E20" s="34" t="s">
        <v>37</v>
      </c>
      <c r="F20" s="34" t="str">
        <f t="shared" si="7"/>
        <v>Streetlight - HPS 250W - Tariff Relamp - to LED 135W - New</v>
      </c>
      <c r="G20" s="40">
        <f>'Luminaires 7P'!AH26</f>
        <v>666.5</v>
      </c>
      <c r="H20" s="41">
        <f t="shared" si="8"/>
        <v>2.0115772129567233</v>
      </c>
      <c r="I20" s="42">
        <f>'Luminaires 7P'!P14</f>
        <v>24000</v>
      </c>
      <c r="J20" s="42">
        <f>'Luminaires 7P'!P26</f>
        <v>50000</v>
      </c>
      <c r="K20" s="34">
        <v>4300</v>
      </c>
      <c r="L20" s="40">
        <f t="shared" si="9"/>
        <v>11.627906976744185</v>
      </c>
      <c r="M20" s="35">
        <f>-Pricing!$V$25</f>
        <v>-56</v>
      </c>
      <c r="N20" s="41"/>
      <c r="O20" s="43"/>
      <c r="U20" s="33">
        <f>'Luminaires 7P'!P14</f>
        <v>24000</v>
      </c>
      <c r="V20" s="33">
        <f>'Luminaires 7P'!P26</f>
        <v>50000</v>
      </c>
      <c r="W20" s="41">
        <f t="shared" si="10"/>
        <v>2.0115772129567233</v>
      </c>
      <c r="X20" s="44">
        <f>Y20*'Luminaires 7P'!$D$4</f>
        <v>0</v>
      </c>
      <c r="Y20" s="34">
        <v>0</v>
      </c>
      <c r="Z20" s="41"/>
      <c r="AA20" s="44">
        <f>'Luminaires 7P'!N26</f>
        <v>162.01157721295672</v>
      </c>
      <c r="AB20" s="44">
        <f>'Luminaires 7P'!N14</f>
        <v>160</v>
      </c>
      <c r="AC20" s="45">
        <f>'Luminaires 7P'!F14</f>
        <v>290</v>
      </c>
      <c r="AD20" s="45">
        <f>'Luminaires 7P'!F26</f>
        <v>113.82352941176471</v>
      </c>
      <c r="AE20" s="40">
        <f t="shared" si="2"/>
        <v>176.1764705882353</v>
      </c>
      <c r="AF20" s="46">
        <f t="shared" si="3"/>
        <v>1.4233575259019453</v>
      </c>
      <c r="AG20" s="46">
        <f t="shared" si="4"/>
        <v>0.91959826798673261</v>
      </c>
      <c r="AH20" s="47">
        <f t="shared" si="5"/>
        <v>0.60750507099391482</v>
      </c>
      <c r="AJ20" s="34" t="s">
        <v>74</v>
      </c>
      <c r="AL20" s="44"/>
      <c r="AM20" s="44"/>
      <c r="AO20" s="226">
        <f t="shared" si="11"/>
        <v>0.5</v>
      </c>
      <c r="AP20" s="48">
        <f t="shared" si="12"/>
        <v>7.0000000000000007E-2</v>
      </c>
      <c r="AQ20" s="269">
        <f t="shared" si="6"/>
        <v>0.14000000000000001</v>
      </c>
      <c r="AR20" s="49">
        <v>1</v>
      </c>
      <c r="AS20" s="49">
        <v>0.5</v>
      </c>
      <c r="AU20" s="239">
        <f t="shared" si="13"/>
        <v>0.91959826798673261</v>
      </c>
    </row>
    <row r="21" spans="1:47">
      <c r="A21" s="34" t="s">
        <v>666</v>
      </c>
      <c r="B21" s="34" t="str">
        <f>'Luminaires 7P'!A15</f>
        <v>MH 400W</v>
      </c>
      <c r="C21" s="34" t="str">
        <f>'Luminaires 7P'!B27</f>
        <v>LED 180W</v>
      </c>
      <c r="D21" s="34" t="s">
        <v>72</v>
      </c>
      <c r="E21" s="34" t="s">
        <v>37</v>
      </c>
      <c r="F21" s="34" t="str">
        <f t="shared" si="7"/>
        <v>Streetlight - MH 400W - Group Relamp - to LED 180W - New</v>
      </c>
      <c r="G21" s="40">
        <f>'Luminaires 7P'!AH27</f>
        <v>1152.4000000000001</v>
      </c>
      <c r="H21" s="41">
        <f t="shared" si="8"/>
        <v>134.02315442591345</v>
      </c>
      <c r="I21" s="42">
        <f>'Luminaires 7P'!P15</f>
        <v>16000</v>
      </c>
      <c r="J21" s="42">
        <f>'Luminaires 7P'!P27</f>
        <v>50000</v>
      </c>
      <c r="K21" s="34">
        <v>4300</v>
      </c>
      <c r="L21" s="40">
        <f t="shared" si="9"/>
        <v>11.627906976744185</v>
      </c>
      <c r="M21" s="40"/>
      <c r="N21" s="41">
        <f t="shared" ref="N21" si="17">-(AL21+AM21)</f>
        <v>-83</v>
      </c>
      <c r="O21" s="43">
        <v>4</v>
      </c>
      <c r="U21" s="33">
        <f>'Luminaires 7P'!P15</f>
        <v>16000</v>
      </c>
      <c r="V21" s="33">
        <f>'Luminaires 7P'!P27</f>
        <v>50000</v>
      </c>
      <c r="W21" s="41">
        <f t="shared" si="10"/>
        <v>134.02315442591345</v>
      </c>
      <c r="X21" s="44">
        <f>Y21*'Luminaires 7P'!$D$4</f>
        <v>0</v>
      </c>
      <c r="Y21" s="34">
        <v>0</v>
      </c>
      <c r="Z21" s="44"/>
      <c r="AA21" s="44">
        <f>'Luminaires 7P'!N27</f>
        <v>324.02315442591345</v>
      </c>
      <c r="AB21" s="44">
        <f>'Luminaires 7P'!N15</f>
        <v>190</v>
      </c>
      <c r="AC21" s="45">
        <f>'Luminaires 7P'!F15</f>
        <v>448</v>
      </c>
      <c r="AD21" s="45">
        <f>'Luminaires 7P'!F27</f>
        <v>151.76470588235293</v>
      </c>
      <c r="AE21" s="40">
        <f t="shared" si="2"/>
        <v>296.23529411764707</v>
      </c>
      <c r="AF21" s="46">
        <f t="shared" si="3"/>
        <v>2.1350362888529184</v>
      </c>
      <c r="AG21" s="46">
        <f t="shared" si="4"/>
        <v>1.0938033409929564</v>
      </c>
      <c r="AH21" s="47">
        <f t="shared" si="5"/>
        <v>0.66123949579831942</v>
      </c>
      <c r="AJ21" s="34" t="s">
        <v>73</v>
      </c>
      <c r="AK21" s="34">
        <v>0.5</v>
      </c>
      <c r="AL21" s="44">
        <f>AK21*'Luminaires 7P'!$D$4</f>
        <v>65</v>
      </c>
      <c r="AM21" s="44">
        <f>'Luminaires 7P'!Q15</f>
        <v>18</v>
      </c>
      <c r="AO21" s="226">
        <f t="shared" si="11"/>
        <v>0.5</v>
      </c>
      <c r="AP21" s="48">
        <f t="shared" si="12"/>
        <v>8.7499999999999994E-2</v>
      </c>
      <c r="AQ21" s="269">
        <f t="shared" si="6"/>
        <v>0.17499999999999999</v>
      </c>
      <c r="AR21" s="49">
        <v>1</v>
      </c>
      <c r="AS21" s="49">
        <v>0.5</v>
      </c>
      <c r="AU21" s="239">
        <f t="shared" si="13"/>
        <v>1.0938033409929564</v>
      </c>
    </row>
    <row r="22" spans="1:47">
      <c r="A22" s="34" t="s">
        <v>666</v>
      </c>
      <c r="B22" s="34" t="str">
        <f>'Luminaires 7P'!A16</f>
        <v>MH 400W</v>
      </c>
      <c r="C22" s="34" t="str">
        <f>'Luminaires 7P'!B28</f>
        <v>LED 180W</v>
      </c>
      <c r="D22" s="34" t="s">
        <v>72</v>
      </c>
      <c r="E22" s="34" t="s">
        <v>37</v>
      </c>
      <c r="F22" s="34" t="str">
        <f t="shared" si="7"/>
        <v>Streetlight - MH 400W - Tariff Relamp - to LED 180W - New</v>
      </c>
      <c r="G22" s="40">
        <f>'Luminaires 7P'!AH28</f>
        <v>1152.4000000000001</v>
      </c>
      <c r="H22" s="41">
        <f t="shared" si="8"/>
        <v>134.02315442591345</v>
      </c>
      <c r="I22" s="42">
        <f>'Luminaires 7P'!P16</f>
        <v>16000</v>
      </c>
      <c r="J22" s="42">
        <f>'Luminaires 7P'!P28</f>
        <v>50000</v>
      </c>
      <c r="K22" s="34">
        <v>4300</v>
      </c>
      <c r="L22" s="40">
        <f t="shared" si="9"/>
        <v>11.627906976744185</v>
      </c>
      <c r="M22" s="35">
        <f>-Pricing!$V$25</f>
        <v>-56</v>
      </c>
      <c r="N22" s="41"/>
      <c r="O22" s="43"/>
      <c r="U22" s="33">
        <f>'Luminaires 7P'!P16</f>
        <v>16000</v>
      </c>
      <c r="V22" s="33">
        <f>'Luminaires 7P'!P28</f>
        <v>50000</v>
      </c>
      <c r="W22" s="41">
        <f t="shared" si="10"/>
        <v>134.02315442591345</v>
      </c>
      <c r="X22" s="44">
        <f>Y22*'Luminaires 7P'!$D$4</f>
        <v>0</v>
      </c>
      <c r="Y22" s="34">
        <v>0</v>
      </c>
      <c r="Z22" s="44"/>
      <c r="AA22" s="44">
        <f>'Luminaires 7P'!N28</f>
        <v>324.02315442591345</v>
      </c>
      <c r="AB22" s="44">
        <f>'Luminaires 7P'!N16</f>
        <v>190</v>
      </c>
      <c r="AC22" s="45">
        <f>'Luminaires 7P'!F16</f>
        <v>448</v>
      </c>
      <c r="AD22" s="45">
        <f>'Luminaires 7P'!F28</f>
        <v>151.76470588235293</v>
      </c>
      <c r="AE22" s="40">
        <f t="shared" si="2"/>
        <v>296.23529411764707</v>
      </c>
      <c r="AF22" s="46">
        <f t="shared" si="3"/>
        <v>2.1350362888529184</v>
      </c>
      <c r="AG22" s="46">
        <f t="shared" si="4"/>
        <v>1.0938033409929564</v>
      </c>
      <c r="AH22" s="47">
        <f t="shared" si="5"/>
        <v>0.66123949579831942</v>
      </c>
      <c r="AJ22" s="34" t="s">
        <v>74</v>
      </c>
      <c r="AL22" s="44"/>
      <c r="AM22" s="44"/>
      <c r="AO22" s="226">
        <f t="shared" si="11"/>
        <v>0.5</v>
      </c>
      <c r="AP22" s="48">
        <f t="shared" si="12"/>
        <v>8.7499999999999994E-2</v>
      </c>
      <c r="AQ22" s="269">
        <f t="shared" si="6"/>
        <v>0.17499999999999999</v>
      </c>
      <c r="AR22" s="49">
        <v>1</v>
      </c>
      <c r="AS22" s="49">
        <v>0.5</v>
      </c>
      <c r="AU22" s="239">
        <f t="shared" si="13"/>
        <v>1.0938033409929564</v>
      </c>
    </row>
    <row r="23" spans="1:47">
      <c r="A23" s="34" t="s">
        <v>667</v>
      </c>
      <c r="B23" s="34" t="str">
        <f>'Luminaires 7P'!A17</f>
        <v>MH 1000W</v>
      </c>
      <c r="C23" s="34" t="str">
        <f>'Luminaires 7P'!B29</f>
        <v>LED 421W</v>
      </c>
      <c r="D23" s="34" t="s">
        <v>72</v>
      </c>
      <c r="E23" s="34" t="s">
        <v>37</v>
      </c>
      <c r="F23" s="34" t="str">
        <f t="shared" si="7"/>
        <v>Streetlight - MH 1000W - Group Relamp - to LED 421W - New</v>
      </c>
      <c r="G23" s="40">
        <f>'Luminaires 7P'!AH29</f>
        <v>2919.7</v>
      </c>
      <c r="H23" s="41">
        <f t="shared" si="8"/>
        <v>532.0694632777404</v>
      </c>
      <c r="I23" s="42">
        <f>'Luminaires 7P'!P17</f>
        <v>16000</v>
      </c>
      <c r="J23" s="42">
        <f>'Luminaires 7P'!P29</f>
        <v>50000</v>
      </c>
      <c r="K23" s="34">
        <v>4300</v>
      </c>
      <c r="L23" s="40">
        <f t="shared" si="9"/>
        <v>11.627906976744185</v>
      </c>
      <c r="M23" s="40"/>
      <c r="N23" s="41">
        <f t="shared" ref="N23" si="18">-(AL23+AM23)</f>
        <v>-85</v>
      </c>
      <c r="O23" s="43">
        <v>4</v>
      </c>
      <c r="U23" s="33">
        <f>'Luminaires 7P'!P17</f>
        <v>16000</v>
      </c>
      <c r="V23" s="33">
        <f>'Luminaires 7P'!P29</f>
        <v>50000</v>
      </c>
      <c r="W23" s="41">
        <f t="shared" si="10"/>
        <v>532.0694632777404</v>
      </c>
      <c r="X23" s="44">
        <f>Y23*'Luminaires 7P'!$D$4</f>
        <v>0</v>
      </c>
      <c r="Y23" s="34">
        <v>0</v>
      </c>
      <c r="Z23" s="44"/>
      <c r="AA23" s="44">
        <f>'Luminaires 7P'!N29</f>
        <v>972.0694632777404</v>
      </c>
      <c r="AB23" s="44">
        <f>'Luminaires 7P'!N17</f>
        <v>440</v>
      </c>
      <c r="AC23" s="45">
        <f>'Luminaires 7P'!F17</f>
        <v>1100</v>
      </c>
      <c r="AD23" s="45">
        <f>'Luminaires 7P'!F29</f>
        <v>354.96078431372547</v>
      </c>
      <c r="AE23" s="40">
        <f t="shared" si="2"/>
        <v>745.03921568627447</v>
      </c>
      <c r="AF23" s="46">
        <f t="shared" si="3"/>
        <v>2.7385263562483986</v>
      </c>
      <c r="AG23" s="46">
        <f t="shared" si="4"/>
        <v>1.304722547231749</v>
      </c>
      <c r="AH23" s="47">
        <f t="shared" si="5"/>
        <v>0.67730837789661313</v>
      </c>
      <c r="AJ23" s="34" t="s">
        <v>73</v>
      </c>
      <c r="AK23" s="34">
        <v>0.5</v>
      </c>
      <c r="AL23" s="44">
        <f>AK23*'Luminaires 7P'!$D$4</f>
        <v>65</v>
      </c>
      <c r="AM23" s="44">
        <f>'Luminaires 7P'!Q17</f>
        <v>20</v>
      </c>
      <c r="AO23" s="226">
        <f t="shared" si="11"/>
        <v>0.5</v>
      </c>
      <c r="AP23" s="48">
        <f t="shared" si="12"/>
        <v>7.0000000000000001E-3</v>
      </c>
      <c r="AQ23" s="269">
        <f t="shared" si="6"/>
        <v>1.4E-2</v>
      </c>
      <c r="AR23" s="49">
        <v>1</v>
      </c>
      <c r="AS23" s="49">
        <v>0.5</v>
      </c>
      <c r="AU23" s="239">
        <f t="shared" si="13"/>
        <v>1.304722547231749</v>
      </c>
    </row>
    <row r="24" spans="1:47">
      <c r="A24" s="34" t="s">
        <v>667</v>
      </c>
      <c r="B24" s="34" t="str">
        <f>'Luminaires 7P'!A18</f>
        <v>MH 1000W</v>
      </c>
      <c r="C24" s="34" t="str">
        <f>'Luminaires 7P'!B30</f>
        <v>LED 421W</v>
      </c>
      <c r="D24" s="34" t="s">
        <v>72</v>
      </c>
      <c r="E24" s="34" t="s">
        <v>37</v>
      </c>
      <c r="F24" s="34" t="str">
        <f t="shared" si="7"/>
        <v>Streetlight - MH 1000W - Tariff Relamp - to LED 421W - New</v>
      </c>
      <c r="G24" s="40">
        <f>'Luminaires 7P'!AH30</f>
        <v>2919.7</v>
      </c>
      <c r="H24" s="41">
        <f t="shared" si="8"/>
        <v>532.0694632777404</v>
      </c>
      <c r="I24" s="42">
        <f>'Luminaires 7P'!P18</f>
        <v>16000</v>
      </c>
      <c r="J24" s="42">
        <f>'Luminaires 7P'!P30</f>
        <v>50000</v>
      </c>
      <c r="K24" s="34">
        <v>4300</v>
      </c>
      <c r="L24" s="40">
        <f t="shared" si="9"/>
        <v>11.627906976744185</v>
      </c>
      <c r="M24" s="35">
        <f>-Pricing!$V$25</f>
        <v>-56</v>
      </c>
      <c r="N24" s="41"/>
      <c r="O24" s="43"/>
      <c r="U24" s="33">
        <f>'Luminaires 7P'!P18</f>
        <v>16000</v>
      </c>
      <c r="V24" s="33">
        <f>'Luminaires 7P'!P30</f>
        <v>50000</v>
      </c>
      <c r="W24" s="41">
        <f t="shared" si="10"/>
        <v>532.0694632777404</v>
      </c>
      <c r="X24" s="44">
        <f>Y24*'Luminaires 7P'!$D$4</f>
        <v>0</v>
      </c>
      <c r="Y24" s="34">
        <v>0</v>
      </c>
      <c r="Z24" s="44"/>
      <c r="AA24" s="44">
        <f>'Luminaires 7P'!N30</f>
        <v>972.0694632777404</v>
      </c>
      <c r="AB24" s="44">
        <f>'Luminaires 7P'!N18</f>
        <v>440</v>
      </c>
      <c r="AC24" s="45">
        <f>'Luminaires 7P'!F18</f>
        <v>1100</v>
      </c>
      <c r="AD24" s="45">
        <f>'Luminaires 7P'!F30</f>
        <v>354.96078431372547</v>
      </c>
      <c r="AE24" s="40">
        <f t="shared" si="2"/>
        <v>745.03921568627447</v>
      </c>
      <c r="AF24" s="46">
        <f t="shared" si="3"/>
        <v>2.7385263562483986</v>
      </c>
      <c r="AG24" s="46">
        <f t="shared" si="4"/>
        <v>1.304722547231749</v>
      </c>
      <c r="AH24" s="47">
        <f t="shared" si="5"/>
        <v>0.67730837789661313</v>
      </c>
      <c r="AJ24" s="34" t="s">
        <v>74</v>
      </c>
      <c r="AL24" s="44"/>
      <c r="AM24" s="44"/>
      <c r="AO24" s="226">
        <f t="shared" si="11"/>
        <v>0.5</v>
      </c>
      <c r="AP24" s="48">
        <f t="shared" si="12"/>
        <v>7.0000000000000001E-3</v>
      </c>
      <c r="AQ24" s="269">
        <f t="shared" si="6"/>
        <v>1.4E-2</v>
      </c>
      <c r="AR24" s="49">
        <v>1</v>
      </c>
      <c r="AS24" s="49">
        <v>0.5</v>
      </c>
      <c r="AU24" s="239">
        <f t="shared" si="13"/>
        <v>1.304722547231749</v>
      </c>
    </row>
    <row r="25" spans="1:47">
      <c r="A25" s="227" t="s">
        <v>668</v>
      </c>
      <c r="B25" s="227" t="str">
        <f>'Luminaires 7P'!A7</f>
        <v>HPS 100W</v>
      </c>
      <c r="C25" s="227" t="str">
        <f>'Luminaires 7P'!B19</f>
        <v>LED 42W</v>
      </c>
      <c r="D25" s="227" t="s">
        <v>72</v>
      </c>
      <c r="E25" s="227" t="s">
        <v>75</v>
      </c>
      <c r="F25" s="227" t="str">
        <f t="shared" si="7"/>
        <v>Streetlight - HPS 100W - Group Relamp - to LED 42W - NR</v>
      </c>
      <c r="G25" s="228">
        <f>'Luminaires 7P'!AH19</f>
        <v>339.69999999999993</v>
      </c>
      <c r="H25" s="41">
        <f t="shared" si="8"/>
        <v>113.40810404906972</v>
      </c>
      <c r="I25" s="228">
        <f>'Luminaires 7P'!P7</f>
        <v>24000</v>
      </c>
      <c r="J25" s="228">
        <f>'Luminaires 7P'!P19</f>
        <v>50000</v>
      </c>
      <c r="K25" s="227">
        <v>4300</v>
      </c>
      <c r="L25" s="228">
        <f t="shared" si="9"/>
        <v>11.627906976744185</v>
      </c>
      <c r="M25" s="228"/>
      <c r="N25" s="229">
        <f>-(AL25+AM25)</f>
        <v>-77</v>
      </c>
      <c r="O25" s="234">
        <v>5</v>
      </c>
      <c r="P25" s="227"/>
      <c r="Q25" s="227"/>
      <c r="R25" s="227"/>
      <c r="S25" s="227"/>
      <c r="T25" s="227"/>
      <c r="U25" s="237">
        <f>'Luminaires 7P'!P7</f>
        <v>24000</v>
      </c>
      <c r="V25" s="237">
        <f>'Luminaires 7P'!P19</f>
        <v>50000</v>
      </c>
      <c r="W25" s="229">
        <f t="shared" si="10"/>
        <v>113.40810404906972</v>
      </c>
      <c r="X25" s="229">
        <f>Y25*'Luminaires 7P'!$D$4</f>
        <v>0</v>
      </c>
      <c r="Y25" s="238">
        <v>0</v>
      </c>
      <c r="Z25" s="229"/>
      <c r="AA25" s="229">
        <f>'Luminaires 7P'!N19</f>
        <v>113.40810404906972</v>
      </c>
      <c r="AB25" s="229">
        <v>0</v>
      </c>
      <c r="AC25" s="228">
        <f>'Luminaires 7P'!F7</f>
        <v>121</v>
      </c>
      <c r="AD25" s="228">
        <f>'Luminaires 7P'!F19</f>
        <v>35.411764705882355</v>
      </c>
      <c r="AE25" s="228">
        <f t="shared" si="2"/>
        <v>85.588235294117652</v>
      </c>
      <c r="AF25" s="230">
        <f t="shared" ref="AF25:AF36" si="19">AA25/AD25</f>
        <v>3.2025544332793774</v>
      </c>
      <c r="AG25" s="230">
        <f t="shared" ref="AG25:AG36" si="20">AA25/AE25</f>
        <v>1.3250431400922236</v>
      </c>
      <c r="AH25" s="231">
        <f t="shared" ref="AH25:AH36" si="21">1-(AD25/AC25)</f>
        <v>0.70734078755469132</v>
      </c>
      <c r="AI25" s="227"/>
      <c r="AJ25" s="227" t="s">
        <v>73</v>
      </c>
      <c r="AK25" s="227">
        <v>0.5</v>
      </c>
      <c r="AL25" s="227">
        <f>AK25*'Luminaires 7P'!$D$4</f>
        <v>65</v>
      </c>
      <c r="AM25" s="229">
        <f>'Luminaires 7P'!Q7</f>
        <v>12</v>
      </c>
      <c r="AN25" s="227"/>
      <c r="AO25" s="242">
        <f t="shared" si="11"/>
        <v>0.25</v>
      </c>
      <c r="AP25" s="232">
        <f>AQ25*AR25*AS25</f>
        <v>0.13500000000000001</v>
      </c>
      <c r="AQ25" s="231">
        <f t="shared" ref="AQ25:AQ36" si="22">AQ13</f>
        <v>0.54</v>
      </c>
      <c r="AR25" s="231">
        <f t="shared" ref="AR25:AR36" si="23">AR13</f>
        <v>0.5</v>
      </c>
      <c r="AS25" s="231">
        <v>0.5</v>
      </c>
      <c r="AT25" s="227"/>
      <c r="AU25" s="240">
        <f t="shared" si="13"/>
        <v>1.3250431400922236</v>
      </c>
    </row>
    <row r="26" spans="1:47">
      <c r="A26" s="227" t="s">
        <v>668</v>
      </c>
      <c r="B26" s="227" t="str">
        <f>'Luminaires 7P'!A8</f>
        <v>HPS 100W</v>
      </c>
      <c r="C26" s="227" t="str">
        <f>'Luminaires 7P'!B20</f>
        <v>LED 42W</v>
      </c>
      <c r="D26" s="227" t="s">
        <v>72</v>
      </c>
      <c r="E26" s="227" t="s">
        <v>75</v>
      </c>
      <c r="F26" s="227" t="str">
        <f t="shared" si="7"/>
        <v>Streetlight - HPS 100W - Tariff Relamp - to LED 42W - NR</v>
      </c>
      <c r="G26" s="228">
        <f>'Luminaires 7P'!AH20</f>
        <v>339.69999999999993</v>
      </c>
      <c r="H26" s="41">
        <f t="shared" si="8"/>
        <v>113.40810404906972</v>
      </c>
      <c r="I26" s="228">
        <f>'Luminaires 7P'!P8</f>
        <v>24000</v>
      </c>
      <c r="J26" s="228">
        <f>'Luminaires 7P'!P20</f>
        <v>50000</v>
      </c>
      <c r="K26" s="227">
        <v>4300</v>
      </c>
      <c r="L26" s="228">
        <f t="shared" si="9"/>
        <v>11.627906976744185</v>
      </c>
      <c r="M26" s="228">
        <f>-Pricing!$V$25</f>
        <v>-56</v>
      </c>
      <c r="N26" s="229"/>
      <c r="O26" s="234"/>
      <c r="P26" s="227"/>
      <c r="Q26" s="227"/>
      <c r="R26" s="227"/>
      <c r="S26" s="227"/>
      <c r="T26" s="227"/>
      <c r="U26" s="237">
        <f>'Luminaires 7P'!P8</f>
        <v>24000</v>
      </c>
      <c r="V26" s="237">
        <f>'Luminaires 7P'!P20</f>
        <v>50000</v>
      </c>
      <c r="W26" s="229">
        <f t="shared" si="10"/>
        <v>113.40810404906972</v>
      </c>
      <c r="X26" s="229">
        <f>Y26*'Luminaires 7P'!$D$4</f>
        <v>0</v>
      </c>
      <c r="Y26" s="238">
        <v>0</v>
      </c>
      <c r="Z26" s="229"/>
      <c r="AA26" s="229">
        <f>'Luminaires 7P'!N20</f>
        <v>113.40810404906972</v>
      </c>
      <c r="AB26" s="229">
        <v>0</v>
      </c>
      <c r="AC26" s="228">
        <f>'Luminaires 7P'!F8</f>
        <v>121</v>
      </c>
      <c r="AD26" s="228">
        <f>'Luminaires 7P'!F20</f>
        <v>35.411764705882355</v>
      </c>
      <c r="AE26" s="228">
        <f t="shared" si="2"/>
        <v>85.588235294117652</v>
      </c>
      <c r="AF26" s="230">
        <f t="shared" si="19"/>
        <v>3.2025544332793774</v>
      </c>
      <c r="AG26" s="230">
        <f t="shared" si="20"/>
        <v>1.3250431400922236</v>
      </c>
      <c r="AH26" s="231">
        <f t="shared" si="21"/>
        <v>0.70734078755469132</v>
      </c>
      <c r="AI26" s="227"/>
      <c r="AJ26" s="227" t="s">
        <v>74</v>
      </c>
      <c r="AK26" s="227"/>
      <c r="AL26" s="227"/>
      <c r="AM26" s="227"/>
      <c r="AN26" s="227"/>
      <c r="AO26" s="242">
        <f t="shared" si="11"/>
        <v>0.25</v>
      </c>
      <c r="AP26" s="232">
        <f t="shared" si="12"/>
        <v>0.13500000000000001</v>
      </c>
      <c r="AQ26" s="231">
        <f t="shared" si="22"/>
        <v>0.54</v>
      </c>
      <c r="AR26" s="231">
        <f t="shared" si="23"/>
        <v>0.5</v>
      </c>
      <c r="AS26" s="231">
        <v>0.5</v>
      </c>
      <c r="AT26" s="227"/>
      <c r="AU26" s="240">
        <f t="shared" si="13"/>
        <v>1.3250431400922236</v>
      </c>
    </row>
    <row r="27" spans="1:47">
      <c r="A27" s="227" t="s">
        <v>668</v>
      </c>
      <c r="B27" s="227" t="str">
        <f>'Luminaires 7P'!A9</f>
        <v>HPS 100W</v>
      </c>
      <c r="C27" s="227" t="str">
        <f>'Luminaires 7P'!B21</f>
        <v>LED 58W</v>
      </c>
      <c r="D27" s="227" t="s">
        <v>72</v>
      </c>
      <c r="E27" s="227" t="s">
        <v>75</v>
      </c>
      <c r="F27" s="227" t="str">
        <f t="shared" si="7"/>
        <v>Streetlight - HPS 100W - Group Relamp - to LED 58W - NR</v>
      </c>
      <c r="G27" s="228">
        <f>'Luminaires 7P'!AH21</f>
        <v>270.89999999999998</v>
      </c>
      <c r="H27" s="41">
        <f t="shared" si="8"/>
        <v>113.40810404906972</v>
      </c>
      <c r="I27" s="228">
        <f>'Luminaires 7P'!P9</f>
        <v>24000</v>
      </c>
      <c r="J27" s="228">
        <f>'Luminaires 7P'!P21</f>
        <v>50000</v>
      </c>
      <c r="K27" s="227">
        <v>4300</v>
      </c>
      <c r="L27" s="228">
        <f t="shared" si="9"/>
        <v>11.627906976744185</v>
      </c>
      <c r="M27" s="228"/>
      <c r="N27" s="229">
        <f t="shared" ref="N27" si="24">-(AL27+AM27)</f>
        <v>-77</v>
      </c>
      <c r="O27" s="234">
        <v>5</v>
      </c>
      <c r="P27" s="227"/>
      <c r="Q27" s="227"/>
      <c r="R27" s="227"/>
      <c r="S27" s="227"/>
      <c r="T27" s="227"/>
      <c r="U27" s="237">
        <f>'Luminaires 7P'!P9</f>
        <v>24000</v>
      </c>
      <c r="V27" s="237">
        <f>'Luminaires 7P'!P21</f>
        <v>50000</v>
      </c>
      <c r="W27" s="229">
        <f t="shared" si="10"/>
        <v>113.40810404906972</v>
      </c>
      <c r="X27" s="229">
        <f>Y27*'Luminaires 7P'!$D$4</f>
        <v>0</v>
      </c>
      <c r="Y27" s="238">
        <v>0</v>
      </c>
      <c r="Z27" s="229"/>
      <c r="AA27" s="229">
        <f>'Luminaires 7P'!N21</f>
        <v>113.40810404906972</v>
      </c>
      <c r="AB27" s="229">
        <v>0</v>
      </c>
      <c r="AC27" s="228">
        <f>'Luminaires 7P'!F9</f>
        <v>121</v>
      </c>
      <c r="AD27" s="228">
        <f>'Luminaires 7P'!F21</f>
        <v>48.901960784313722</v>
      </c>
      <c r="AE27" s="228">
        <f t="shared" si="2"/>
        <v>72.098039215686271</v>
      </c>
      <c r="AF27" s="230">
        <f t="shared" si="19"/>
        <v>2.3190911413402389</v>
      </c>
      <c r="AG27" s="230">
        <f t="shared" si="20"/>
        <v>1.5729707115862268</v>
      </c>
      <c r="AH27" s="231">
        <f t="shared" si="21"/>
        <v>0.59585156376600223</v>
      </c>
      <c r="AI27" s="227"/>
      <c r="AJ27" s="227" t="s">
        <v>73</v>
      </c>
      <c r="AK27" s="227">
        <v>0.5</v>
      </c>
      <c r="AL27" s="227">
        <f>AK27*'Luminaires 7P'!$D$4</f>
        <v>65</v>
      </c>
      <c r="AM27" s="229">
        <f>'Luminaires 7P'!Q9</f>
        <v>12</v>
      </c>
      <c r="AN27" s="227"/>
      <c r="AO27" s="242">
        <f t="shared" si="11"/>
        <v>0.25</v>
      </c>
      <c r="AP27" s="232">
        <f t="shared" si="12"/>
        <v>0.13500000000000001</v>
      </c>
      <c r="AQ27" s="231">
        <f t="shared" si="22"/>
        <v>0.54</v>
      </c>
      <c r="AR27" s="231">
        <f t="shared" si="23"/>
        <v>0.5</v>
      </c>
      <c r="AS27" s="231">
        <v>0.5</v>
      </c>
      <c r="AT27" s="227"/>
      <c r="AU27" s="240">
        <f t="shared" si="13"/>
        <v>1.5729707115862268</v>
      </c>
    </row>
    <row r="28" spans="1:47">
      <c r="A28" s="227" t="s">
        <v>668</v>
      </c>
      <c r="B28" s="227" t="str">
        <f>'Luminaires 7P'!A10</f>
        <v>HPS 100W</v>
      </c>
      <c r="C28" s="227" t="str">
        <f>'Luminaires 7P'!B22</f>
        <v>LED 58W</v>
      </c>
      <c r="D28" s="227" t="s">
        <v>72</v>
      </c>
      <c r="E28" s="227" t="s">
        <v>75</v>
      </c>
      <c r="F28" s="227" t="str">
        <f t="shared" si="7"/>
        <v>Streetlight - HPS 100W - Tariff Relamp - to LED 58W - NR</v>
      </c>
      <c r="G28" s="228">
        <f>'Luminaires 7P'!AH22</f>
        <v>270.89999999999998</v>
      </c>
      <c r="H28" s="41">
        <f t="shared" si="8"/>
        <v>113.40810404906972</v>
      </c>
      <c r="I28" s="228">
        <f>'Luminaires 7P'!P10</f>
        <v>24000</v>
      </c>
      <c r="J28" s="228">
        <f>'Luminaires 7P'!P22</f>
        <v>50000</v>
      </c>
      <c r="K28" s="227">
        <v>4300</v>
      </c>
      <c r="L28" s="228">
        <f t="shared" si="9"/>
        <v>11.627906976744185</v>
      </c>
      <c r="M28" s="228">
        <f>-Pricing!$V$25</f>
        <v>-56</v>
      </c>
      <c r="N28" s="227"/>
      <c r="O28" s="234"/>
      <c r="P28" s="227"/>
      <c r="Q28" s="227"/>
      <c r="R28" s="227"/>
      <c r="S28" s="227"/>
      <c r="T28" s="227"/>
      <c r="U28" s="237">
        <f>'Luminaires 7P'!P10</f>
        <v>24000</v>
      </c>
      <c r="V28" s="237">
        <f>'Luminaires 7P'!P22</f>
        <v>50000</v>
      </c>
      <c r="W28" s="229">
        <f t="shared" si="10"/>
        <v>113.40810404906972</v>
      </c>
      <c r="X28" s="229">
        <f>Y28*'Luminaires 7P'!$D$4</f>
        <v>0</v>
      </c>
      <c r="Y28" s="238">
        <v>0</v>
      </c>
      <c r="Z28" s="229"/>
      <c r="AA28" s="229">
        <f>'Luminaires 7P'!N22</f>
        <v>113.40810404906972</v>
      </c>
      <c r="AB28" s="229">
        <v>0</v>
      </c>
      <c r="AC28" s="228">
        <f>'Luminaires 7P'!F10</f>
        <v>121</v>
      </c>
      <c r="AD28" s="228">
        <f>'Luminaires 7P'!F22</f>
        <v>48.901960784313722</v>
      </c>
      <c r="AE28" s="228">
        <f t="shared" si="2"/>
        <v>72.098039215686271</v>
      </c>
      <c r="AF28" s="230">
        <f t="shared" si="19"/>
        <v>2.3190911413402389</v>
      </c>
      <c r="AG28" s="230">
        <f t="shared" si="20"/>
        <v>1.5729707115862268</v>
      </c>
      <c r="AH28" s="231">
        <f t="shared" si="21"/>
        <v>0.59585156376600223</v>
      </c>
      <c r="AI28" s="227"/>
      <c r="AJ28" s="227" t="s">
        <v>74</v>
      </c>
      <c r="AK28" s="227"/>
      <c r="AL28" s="227"/>
      <c r="AM28" s="227"/>
      <c r="AN28" s="227"/>
      <c r="AO28" s="242">
        <f t="shared" si="11"/>
        <v>0.25</v>
      </c>
      <c r="AP28" s="232">
        <f t="shared" si="12"/>
        <v>0.13500000000000001</v>
      </c>
      <c r="AQ28" s="231">
        <f t="shared" si="22"/>
        <v>0.54</v>
      </c>
      <c r="AR28" s="231">
        <f t="shared" si="23"/>
        <v>0.5</v>
      </c>
      <c r="AS28" s="231">
        <v>0.5</v>
      </c>
      <c r="AT28" s="227"/>
      <c r="AU28" s="240">
        <f t="shared" si="13"/>
        <v>1.5729707115862268</v>
      </c>
    </row>
    <row r="29" spans="1:47">
      <c r="A29" s="227" t="s">
        <v>669</v>
      </c>
      <c r="B29" s="227" t="str">
        <f>'Luminaires 7P'!A11</f>
        <v>MH 200W</v>
      </c>
      <c r="C29" s="227" t="str">
        <f>'Luminaires 7P'!B23</f>
        <v>LED 135W</v>
      </c>
      <c r="D29" s="227" t="s">
        <v>72</v>
      </c>
      <c r="E29" s="227" t="s">
        <v>75</v>
      </c>
      <c r="F29" s="227" t="str">
        <f t="shared" si="7"/>
        <v>Streetlight - MH 200W - Group Relamp - to LED 135W - NR</v>
      </c>
      <c r="G29" s="228">
        <f>'Luminaires 7P'!AH23</f>
        <v>395.6</v>
      </c>
      <c r="H29" s="41">
        <f t="shared" si="8"/>
        <v>162.01157721295672</v>
      </c>
      <c r="I29" s="228">
        <f>'Luminaires 7P'!P11</f>
        <v>24000</v>
      </c>
      <c r="J29" s="228">
        <f>'Luminaires 7P'!P23</f>
        <v>50000</v>
      </c>
      <c r="K29" s="227">
        <v>4300</v>
      </c>
      <c r="L29" s="228">
        <f t="shared" si="9"/>
        <v>11.627906976744185</v>
      </c>
      <c r="M29" s="228"/>
      <c r="N29" s="229">
        <f t="shared" ref="N29" si="25">-(AL29+AM29)</f>
        <v>-80</v>
      </c>
      <c r="O29" s="234">
        <v>5</v>
      </c>
      <c r="P29" s="227"/>
      <c r="Q29" s="227"/>
      <c r="R29" s="227"/>
      <c r="S29" s="227"/>
      <c r="T29" s="227"/>
      <c r="U29" s="237">
        <f>'Luminaires 7P'!P11</f>
        <v>24000</v>
      </c>
      <c r="V29" s="237">
        <f>'Luminaires 7P'!P23</f>
        <v>50000</v>
      </c>
      <c r="W29" s="229">
        <f t="shared" si="10"/>
        <v>162.01157721295672</v>
      </c>
      <c r="X29" s="229">
        <f>Y29*'Luminaires 7P'!$D$4</f>
        <v>0</v>
      </c>
      <c r="Y29" s="238">
        <v>0</v>
      </c>
      <c r="Z29" s="233"/>
      <c r="AA29" s="229">
        <f>'Luminaires 7P'!N23</f>
        <v>162.01157721295672</v>
      </c>
      <c r="AB29" s="229">
        <v>0</v>
      </c>
      <c r="AC29" s="228">
        <f>'Luminaires 7P'!F11</f>
        <v>227</v>
      </c>
      <c r="AD29" s="228">
        <f>'Luminaires 7P'!F23</f>
        <v>113.82352941176471</v>
      </c>
      <c r="AE29" s="228">
        <f t="shared" si="2"/>
        <v>113.17647058823529</v>
      </c>
      <c r="AF29" s="235">
        <f t="shared" si="19"/>
        <v>1.4233575259019453</v>
      </c>
      <c r="AG29" s="235">
        <f t="shared" si="20"/>
        <v>1.4314952248546073</v>
      </c>
      <c r="AH29" s="236">
        <f t="shared" si="21"/>
        <v>0.498574760300596</v>
      </c>
      <c r="AI29" s="227"/>
      <c r="AJ29" s="227" t="s">
        <v>73</v>
      </c>
      <c r="AK29" s="227">
        <v>0.5</v>
      </c>
      <c r="AL29" s="227">
        <f>AK29*'Luminaires 7P'!$D$4</f>
        <v>65</v>
      </c>
      <c r="AM29" s="229">
        <f>'Luminaires 7P'!Q11</f>
        <v>15</v>
      </c>
      <c r="AN29" s="227"/>
      <c r="AO29" s="242">
        <f t="shared" si="11"/>
        <v>0.5</v>
      </c>
      <c r="AP29" s="232">
        <f t="shared" si="12"/>
        <v>6.5500000000000003E-2</v>
      </c>
      <c r="AQ29" s="231">
        <f t="shared" si="22"/>
        <v>0.13100000000000001</v>
      </c>
      <c r="AR29" s="231">
        <f t="shared" si="23"/>
        <v>1</v>
      </c>
      <c r="AS29" s="231">
        <v>0.5</v>
      </c>
      <c r="AT29" s="227"/>
      <c r="AU29" s="240">
        <f t="shared" si="13"/>
        <v>1.4314952248546073</v>
      </c>
    </row>
    <row r="30" spans="1:47">
      <c r="A30" s="227" t="s">
        <v>669</v>
      </c>
      <c r="B30" s="227" t="str">
        <f>'Luminaires 7P'!A12</f>
        <v>MH 200W</v>
      </c>
      <c r="C30" s="227" t="str">
        <f>'Luminaires 7P'!B24</f>
        <v>LED 135W</v>
      </c>
      <c r="D30" s="227" t="s">
        <v>72</v>
      </c>
      <c r="E30" s="227" t="s">
        <v>75</v>
      </c>
      <c r="F30" s="227" t="str">
        <f t="shared" si="7"/>
        <v>Streetlight - MH 200W - Tariff Relamp - to LED 135W - NR</v>
      </c>
      <c r="G30" s="228">
        <f>'Luminaires 7P'!AH24</f>
        <v>395.6</v>
      </c>
      <c r="H30" s="41">
        <f t="shared" si="8"/>
        <v>162.01157721295672</v>
      </c>
      <c r="I30" s="228">
        <f>'Luminaires 7P'!P12</f>
        <v>24000</v>
      </c>
      <c r="J30" s="228">
        <f>'Luminaires 7P'!P24</f>
        <v>50000</v>
      </c>
      <c r="K30" s="227">
        <v>4300</v>
      </c>
      <c r="L30" s="228">
        <f t="shared" si="9"/>
        <v>11.627906976744185</v>
      </c>
      <c r="M30" s="228">
        <f>-Pricing!$V$25</f>
        <v>-56</v>
      </c>
      <c r="N30" s="229"/>
      <c r="O30" s="234"/>
      <c r="P30" s="227"/>
      <c r="Q30" s="227"/>
      <c r="R30" s="227"/>
      <c r="S30" s="227"/>
      <c r="T30" s="227"/>
      <c r="U30" s="237">
        <f>'Luminaires 7P'!P12</f>
        <v>24000</v>
      </c>
      <c r="V30" s="237">
        <f>'Luminaires 7P'!P24</f>
        <v>50000</v>
      </c>
      <c r="W30" s="229">
        <f t="shared" si="10"/>
        <v>162.01157721295672</v>
      </c>
      <c r="X30" s="229">
        <f>Y30*'Luminaires 7P'!$D$4</f>
        <v>0</v>
      </c>
      <c r="Y30" s="238">
        <v>0</v>
      </c>
      <c r="Z30" s="233"/>
      <c r="AA30" s="229">
        <f>'Luminaires 7P'!N24</f>
        <v>162.01157721295672</v>
      </c>
      <c r="AB30" s="229">
        <v>0</v>
      </c>
      <c r="AC30" s="228">
        <f>'Luminaires 7P'!F12</f>
        <v>227</v>
      </c>
      <c r="AD30" s="228">
        <f>'Luminaires 7P'!F24</f>
        <v>113.82352941176471</v>
      </c>
      <c r="AE30" s="228">
        <f t="shared" si="2"/>
        <v>113.17647058823529</v>
      </c>
      <c r="AF30" s="235">
        <f t="shared" si="19"/>
        <v>1.4233575259019453</v>
      </c>
      <c r="AG30" s="235">
        <f t="shared" si="20"/>
        <v>1.4314952248546073</v>
      </c>
      <c r="AH30" s="236">
        <f t="shared" si="21"/>
        <v>0.498574760300596</v>
      </c>
      <c r="AI30" s="227"/>
      <c r="AJ30" s="227" t="s">
        <v>74</v>
      </c>
      <c r="AK30" s="227"/>
      <c r="AL30" s="227"/>
      <c r="AM30" s="227"/>
      <c r="AN30" s="227"/>
      <c r="AO30" s="242">
        <f t="shared" si="11"/>
        <v>0.5</v>
      </c>
      <c r="AP30" s="232">
        <f t="shared" si="12"/>
        <v>6.5500000000000003E-2</v>
      </c>
      <c r="AQ30" s="231">
        <f t="shared" si="22"/>
        <v>0.13100000000000001</v>
      </c>
      <c r="AR30" s="231">
        <f t="shared" si="23"/>
        <v>1</v>
      </c>
      <c r="AS30" s="231">
        <v>0.5</v>
      </c>
      <c r="AT30" s="227"/>
      <c r="AU30" s="240">
        <f t="shared" si="13"/>
        <v>1.4314952248546073</v>
      </c>
    </row>
    <row r="31" spans="1:47">
      <c r="A31" s="227" t="s">
        <v>670</v>
      </c>
      <c r="B31" s="227" t="str">
        <f>'Luminaires 7P'!A13</f>
        <v>HPS 250W</v>
      </c>
      <c r="C31" s="227" t="str">
        <f>'Luminaires 7P'!B25</f>
        <v>LED 135W</v>
      </c>
      <c r="D31" s="227" t="s">
        <v>72</v>
      </c>
      <c r="E31" s="227" t="s">
        <v>75</v>
      </c>
      <c r="F31" s="227" t="str">
        <f t="shared" si="7"/>
        <v>Streetlight - HPS 250W - Group Relamp - to LED 135W - NR</v>
      </c>
      <c r="G31" s="228">
        <f>'Luminaires 7P'!AH25</f>
        <v>666.5</v>
      </c>
      <c r="H31" s="41">
        <f t="shared" si="8"/>
        <v>162.01157721295672</v>
      </c>
      <c r="I31" s="228">
        <f>'Luminaires 7P'!P13</f>
        <v>24000</v>
      </c>
      <c r="J31" s="228">
        <f>'Luminaires 7P'!P25</f>
        <v>50000</v>
      </c>
      <c r="K31" s="227">
        <v>4300</v>
      </c>
      <c r="L31" s="228">
        <f t="shared" si="9"/>
        <v>11.627906976744185</v>
      </c>
      <c r="M31" s="228"/>
      <c r="N31" s="229">
        <f t="shared" ref="N31" si="26">-(AL31+AM31)</f>
        <v>-80</v>
      </c>
      <c r="O31" s="234">
        <v>5</v>
      </c>
      <c r="P31" s="227"/>
      <c r="Q31" s="227"/>
      <c r="R31" s="227"/>
      <c r="S31" s="227"/>
      <c r="T31" s="227"/>
      <c r="U31" s="237">
        <f>'Luminaires 7P'!P13</f>
        <v>24000</v>
      </c>
      <c r="V31" s="237">
        <f>'Luminaires 7P'!P25</f>
        <v>50000</v>
      </c>
      <c r="W31" s="229">
        <f t="shared" si="10"/>
        <v>162.01157721295672</v>
      </c>
      <c r="X31" s="229">
        <f>Y31*'Luminaires 7P'!$D$4</f>
        <v>0</v>
      </c>
      <c r="Y31" s="238">
        <v>0</v>
      </c>
      <c r="Z31" s="233"/>
      <c r="AA31" s="229">
        <f>'Luminaires 7P'!N25</f>
        <v>162.01157721295672</v>
      </c>
      <c r="AB31" s="229">
        <v>0</v>
      </c>
      <c r="AC31" s="228">
        <f>'Luminaires 7P'!F13</f>
        <v>290</v>
      </c>
      <c r="AD31" s="228">
        <f>'Luminaires 7P'!F25</f>
        <v>113.82352941176471</v>
      </c>
      <c r="AE31" s="228">
        <f t="shared" si="2"/>
        <v>176.1764705882353</v>
      </c>
      <c r="AF31" s="235">
        <f t="shared" si="19"/>
        <v>1.4233575259019453</v>
      </c>
      <c r="AG31" s="235">
        <f t="shared" si="20"/>
        <v>0.91959826798673261</v>
      </c>
      <c r="AH31" s="236">
        <f t="shared" si="21"/>
        <v>0.60750507099391482</v>
      </c>
      <c r="AI31" s="227"/>
      <c r="AJ31" s="227" t="s">
        <v>73</v>
      </c>
      <c r="AK31" s="227">
        <v>0.5</v>
      </c>
      <c r="AL31" s="227">
        <f>AK31*'Luminaires 7P'!$D$4</f>
        <v>65</v>
      </c>
      <c r="AM31" s="229">
        <f>'Luminaires 7P'!Q13</f>
        <v>15</v>
      </c>
      <c r="AN31" s="227"/>
      <c r="AO31" s="242">
        <f t="shared" si="11"/>
        <v>0.5</v>
      </c>
      <c r="AP31" s="232">
        <f t="shared" si="12"/>
        <v>7.0000000000000007E-2</v>
      </c>
      <c r="AQ31" s="231">
        <f t="shared" si="22"/>
        <v>0.14000000000000001</v>
      </c>
      <c r="AR31" s="231">
        <f t="shared" si="23"/>
        <v>1</v>
      </c>
      <c r="AS31" s="231">
        <v>0.5</v>
      </c>
      <c r="AT31" s="227"/>
      <c r="AU31" s="240">
        <f t="shared" si="13"/>
        <v>0.91959826798673261</v>
      </c>
    </row>
    <row r="32" spans="1:47">
      <c r="A32" s="227" t="s">
        <v>670</v>
      </c>
      <c r="B32" s="227" t="str">
        <f>'Luminaires 7P'!A14</f>
        <v>HPS 250W</v>
      </c>
      <c r="C32" s="227" t="str">
        <f>'Luminaires 7P'!B26</f>
        <v>LED 135W</v>
      </c>
      <c r="D32" s="227" t="s">
        <v>72</v>
      </c>
      <c r="E32" s="227" t="s">
        <v>75</v>
      </c>
      <c r="F32" s="227" t="str">
        <f t="shared" si="7"/>
        <v>Streetlight - HPS 250W - Tariff Relamp - to LED 135W - NR</v>
      </c>
      <c r="G32" s="228">
        <f>'Luminaires 7P'!AH26</f>
        <v>666.5</v>
      </c>
      <c r="H32" s="41">
        <f t="shared" si="8"/>
        <v>162.01157721295672</v>
      </c>
      <c r="I32" s="228">
        <f>'Luminaires 7P'!P14</f>
        <v>24000</v>
      </c>
      <c r="J32" s="228">
        <f>'Luminaires 7P'!P26</f>
        <v>50000</v>
      </c>
      <c r="K32" s="227">
        <v>4300</v>
      </c>
      <c r="L32" s="228">
        <f t="shared" si="9"/>
        <v>11.627906976744185</v>
      </c>
      <c r="M32" s="228">
        <f>-Pricing!$V$25</f>
        <v>-56</v>
      </c>
      <c r="N32" s="229"/>
      <c r="O32" s="234"/>
      <c r="P32" s="227"/>
      <c r="Q32" s="227"/>
      <c r="R32" s="227"/>
      <c r="S32" s="227"/>
      <c r="T32" s="227"/>
      <c r="U32" s="237">
        <f>'Luminaires 7P'!P14</f>
        <v>24000</v>
      </c>
      <c r="V32" s="237">
        <f>'Luminaires 7P'!P26</f>
        <v>50000</v>
      </c>
      <c r="W32" s="229">
        <f t="shared" si="10"/>
        <v>162.01157721295672</v>
      </c>
      <c r="X32" s="229">
        <f>Y32*'Luminaires 7P'!$D$4</f>
        <v>0</v>
      </c>
      <c r="Y32" s="238">
        <v>0</v>
      </c>
      <c r="Z32" s="233"/>
      <c r="AA32" s="229">
        <f>'Luminaires 7P'!N26</f>
        <v>162.01157721295672</v>
      </c>
      <c r="AB32" s="229">
        <v>0</v>
      </c>
      <c r="AC32" s="228">
        <f>'Luminaires 7P'!F14</f>
        <v>290</v>
      </c>
      <c r="AD32" s="228">
        <f>'Luminaires 7P'!F26</f>
        <v>113.82352941176471</v>
      </c>
      <c r="AE32" s="228">
        <f t="shared" si="2"/>
        <v>176.1764705882353</v>
      </c>
      <c r="AF32" s="235">
        <f t="shared" si="19"/>
        <v>1.4233575259019453</v>
      </c>
      <c r="AG32" s="235">
        <f t="shared" si="20"/>
        <v>0.91959826798673261</v>
      </c>
      <c r="AH32" s="236">
        <f t="shared" si="21"/>
        <v>0.60750507099391482</v>
      </c>
      <c r="AI32" s="227"/>
      <c r="AJ32" s="227" t="s">
        <v>74</v>
      </c>
      <c r="AK32" s="227"/>
      <c r="AL32" s="227"/>
      <c r="AM32" s="227"/>
      <c r="AN32" s="227"/>
      <c r="AO32" s="242">
        <f t="shared" si="11"/>
        <v>0.5</v>
      </c>
      <c r="AP32" s="232">
        <f t="shared" si="12"/>
        <v>7.0000000000000007E-2</v>
      </c>
      <c r="AQ32" s="231">
        <f t="shared" si="22"/>
        <v>0.14000000000000001</v>
      </c>
      <c r="AR32" s="231">
        <f t="shared" si="23"/>
        <v>1</v>
      </c>
      <c r="AS32" s="231">
        <v>0.5</v>
      </c>
      <c r="AT32" s="227"/>
      <c r="AU32" s="240">
        <f t="shared" si="13"/>
        <v>0.91959826798673261</v>
      </c>
    </row>
    <row r="33" spans="1:47">
      <c r="A33" s="227" t="s">
        <v>671</v>
      </c>
      <c r="B33" s="227" t="str">
        <f>'Luminaires 7P'!A15</f>
        <v>MH 400W</v>
      </c>
      <c r="C33" s="227" t="str">
        <f>'Luminaires 7P'!B27</f>
        <v>LED 180W</v>
      </c>
      <c r="D33" s="227" t="s">
        <v>72</v>
      </c>
      <c r="E33" s="227" t="s">
        <v>75</v>
      </c>
      <c r="F33" s="227" t="str">
        <f t="shared" si="7"/>
        <v>Streetlight - MH 400W - Group Relamp - to LED 180W - NR</v>
      </c>
      <c r="G33" s="228">
        <f>'Luminaires 7P'!AH27</f>
        <v>1152.4000000000001</v>
      </c>
      <c r="H33" s="41">
        <f t="shared" si="8"/>
        <v>324.02315442591345</v>
      </c>
      <c r="I33" s="228">
        <f>'Luminaires 7P'!P15</f>
        <v>16000</v>
      </c>
      <c r="J33" s="228">
        <f>'Luminaires 7P'!P27</f>
        <v>50000</v>
      </c>
      <c r="K33" s="227">
        <v>4300</v>
      </c>
      <c r="L33" s="228">
        <f t="shared" si="9"/>
        <v>11.627906976744185</v>
      </c>
      <c r="M33" s="228"/>
      <c r="N33" s="229">
        <f t="shared" ref="N33" si="27">-(AL33+AM33)</f>
        <v>-83</v>
      </c>
      <c r="O33" s="234">
        <v>4</v>
      </c>
      <c r="P33" s="227"/>
      <c r="Q33" s="227"/>
      <c r="R33" s="227"/>
      <c r="S33" s="227"/>
      <c r="T33" s="227"/>
      <c r="U33" s="237">
        <f>'Luminaires 7P'!P15</f>
        <v>16000</v>
      </c>
      <c r="V33" s="237">
        <f>'Luminaires 7P'!P27</f>
        <v>50000</v>
      </c>
      <c r="W33" s="229">
        <f t="shared" si="10"/>
        <v>324.02315442591345</v>
      </c>
      <c r="X33" s="229">
        <f>Y33*'Luminaires 7P'!$D$4</f>
        <v>0</v>
      </c>
      <c r="Y33" s="238">
        <v>0</v>
      </c>
      <c r="Z33" s="229"/>
      <c r="AA33" s="229">
        <f>'Luminaires 7P'!N27</f>
        <v>324.02315442591345</v>
      </c>
      <c r="AB33" s="229">
        <v>0</v>
      </c>
      <c r="AC33" s="228">
        <f>'Luminaires 7P'!F15</f>
        <v>448</v>
      </c>
      <c r="AD33" s="228">
        <f>'Luminaires 7P'!F27</f>
        <v>151.76470588235293</v>
      </c>
      <c r="AE33" s="228">
        <f t="shared" si="2"/>
        <v>296.23529411764707</v>
      </c>
      <c r="AF33" s="230">
        <f t="shared" si="19"/>
        <v>2.1350362888529184</v>
      </c>
      <c r="AG33" s="230">
        <f t="shared" si="20"/>
        <v>1.0938033409929564</v>
      </c>
      <c r="AH33" s="231">
        <f t="shared" si="21"/>
        <v>0.66123949579831942</v>
      </c>
      <c r="AI33" s="227"/>
      <c r="AJ33" s="227" t="s">
        <v>73</v>
      </c>
      <c r="AK33" s="227">
        <v>0.5</v>
      </c>
      <c r="AL33" s="227">
        <f>AK33*'Luminaires 7P'!$D$4</f>
        <v>65</v>
      </c>
      <c r="AM33" s="229">
        <f>'Luminaires 7P'!Q15</f>
        <v>18</v>
      </c>
      <c r="AN33" s="227"/>
      <c r="AO33" s="242">
        <f t="shared" si="11"/>
        <v>0.5</v>
      </c>
      <c r="AP33" s="232">
        <f t="shared" si="12"/>
        <v>8.7499999999999994E-2</v>
      </c>
      <c r="AQ33" s="231">
        <f t="shared" si="22"/>
        <v>0.17499999999999999</v>
      </c>
      <c r="AR33" s="231">
        <f t="shared" si="23"/>
        <v>1</v>
      </c>
      <c r="AS33" s="231">
        <v>0.5</v>
      </c>
      <c r="AT33" s="227"/>
      <c r="AU33" s="240">
        <f t="shared" si="13"/>
        <v>1.0938033409929564</v>
      </c>
    </row>
    <row r="34" spans="1:47">
      <c r="A34" s="227" t="s">
        <v>671</v>
      </c>
      <c r="B34" s="227" t="str">
        <f>'Luminaires 7P'!A16</f>
        <v>MH 400W</v>
      </c>
      <c r="C34" s="227" t="str">
        <f>'Luminaires 7P'!B28</f>
        <v>LED 180W</v>
      </c>
      <c r="D34" s="227" t="s">
        <v>72</v>
      </c>
      <c r="E34" s="227" t="s">
        <v>75</v>
      </c>
      <c r="F34" s="227" t="str">
        <f t="shared" si="7"/>
        <v>Streetlight - MH 400W - Tariff Relamp - to LED 180W - NR</v>
      </c>
      <c r="G34" s="228">
        <f>'Luminaires 7P'!AH28</f>
        <v>1152.4000000000001</v>
      </c>
      <c r="H34" s="41">
        <f t="shared" si="8"/>
        <v>324.02315442591345</v>
      </c>
      <c r="I34" s="228">
        <f>'Luminaires 7P'!P16</f>
        <v>16000</v>
      </c>
      <c r="J34" s="228">
        <f>'Luminaires 7P'!P28</f>
        <v>50000</v>
      </c>
      <c r="K34" s="227">
        <v>4300</v>
      </c>
      <c r="L34" s="228">
        <f t="shared" si="9"/>
        <v>11.627906976744185</v>
      </c>
      <c r="M34" s="228">
        <f>-Pricing!$V$25</f>
        <v>-56</v>
      </c>
      <c r="N34" s="227"/>
      <c r="O34" s="234"/>
      <c r="P34" s="227"/>
      <c r="Q34" s="227"/>
      <c r="R34" s="227"/>
      <c r="S34" s="227"/>
      <c r="T34" s="227"/>
      <c r="U34" s="237">
        <f>'Luminaires 7P'!P16</f>
        <v>16000</v>
      </c>
      <c r="V34" s="237">
        <f>'Luminaires 7P'!P28</f>
        <v>50000</v>
      </c>
      <c r="W34" s="229">
        <f t="shared" si="10"/>
        <v>324.02315442591345</v>
      </c>
      <c r="X34" s="229">
        <f>Y34*'Luminaires 7P'!$D$4</f>
        <v>0</v>
      </c>
      <c r="Y34" s="238">
        <v>0</v>
      </c>
      <c r="Z34" s="229"/>
      <c r="AA34" s="229">
        <f>'Luminaires 7P'!N28</f>
        <v>324.02315442591345</v>
      </c>
      <c r="AB34" s="229">
        <v>0</v>
      </c>
      <c r="AC34" s="228">
        <f>'Luminaires 7P'!F16</f>
        <v>448</v>
      </c>
      <c r="AD34" s="228">
        <f>'Luminaires 7P'!F28</f>
        <v>151.76470588235293</v>
      </c>
      <c r="AE34" s="228">
        <f t="shared" si="2"/>
        <v>296.23529411764707</v>
      </c>
      <c r="AF34" s="230">
        <f t="shared" si="19"/>
        <v>2.1350362888529184</v>
      </c>
      <c r="AG34" s="230">
        <f t="shared" si="20"/>
        <v>1.0938033409929564</v>
      </c>
      <c r="AH34" s="231">
        <f t="shared" si="21"/>
        <v>0.66123949579831942</v>
      </c>
      <c r="AI34" s="227"/>
      <c r="AJ34" s="227" t="s">
        <v>74</v>
      </c>
      <c r="AK34" s="227"/>
      <c r="AL34" s="227"/>
      <c r="AM34" s="227"/>
      <c r="AN34" s="227"/>
      <c r="AO34" s="242">
        <f t="shared" si="11"/>
        <v>0.5</v>
      </c>
      <c r="AP34" s="232">
        <f t="shared" si="12"/>
        <v>8.7499999999999994E-2</v>
      </c>
      <c r="AQ34" s="231">
        <f t="shared" si="22"/>
        <v>0.17499999999999999</v>
      </c>
      <c r="AR34" s="231">
        <f t="shared" si="23"/>
        <v>1</v>
      </c>
      <c r="AS34" s="231">
        <v>0.5</v>
      </c>
      <c r="AT34" s="227"/>
      <c r="AU34" s="240">
        <f t="shared" si="13"/>
        <v>1.0938033409929564</v>
      </c>
    </row>
    <row r="35" spans="1:47">
      <c r="A35" s="227" t="s">
        <v>672</v>
      </c>
      <c r="B35" s="227" t="str">
        <f>'Luminaires 7P'!A17</f>
        <v>MH 1000W</v>
      </c>
      <c r="C35" s="227" t="str">
        <f>'Luminaires 7P'!B29</f>
        <v>LED 421W</v>
      </c>
      <c r="D35" s="227" t="s">
        <v>72</v>
      </c>
      <c r="E35" s="227" t="s">
        <v>75</v>
      </c>
      <c r="F35" s="227" t="str">
        <f t="shared" si="7"/>
        <v>Streetlight - MH 1000W - Group Relamp - to LED 421W - NR</v>
      </c>
      <c r="G35" s="228">
        <f>'Luminaires 7P'!AH29</f>
        <v>2919.7</v>
      </c>
      <c r="H35" s="41">
        <f t="shared" si="8"/>
        <v>972.0694632777404</v>
      </c>
      <c r="I35" s="228">
        <f>'Luminaires 7P'!P17</f>
        <v>16000</v>
      </c>
      <c r="J35" s="228">
        <f>'Luminaires 7P'!P29</f>
        <v>50000</v>
      </c>
      <c r="K35" s="227">
        <v>4300</v>
      </c>
      <c r="L35" s="228">
        <f t="shared" si="9"/>
        <v>11.627906976744185</v>
      </c>
      <c r="M35" s="228"/>
      <c r="N35" s="229">
        <f t="shared" ref="N35" si="28">-(AL35+AM35)</f>
        <v>-85</v>
      </c>
      <c r="O35" s="234">
        <v>4</v>
      </c>
      <c r="P35" s="227"/>
      <c r="Q35" s="227"/>
      <c r="R35" s="227"/>
      <c r="S35" s="227"/>
      <c r="T35" s="227"/>
      <c r="U35" s="237">
        <f>'Luminaires 7P'!P17</f>
        <v>16000</v>
      </c>
      <c r="V35" s="237">
        <f>'Luminaires 7P'!P29</f>
        <v>50000</v>
      </c>
      <c r="W35" s="229">
        <f t="shared" si="10"/>
        <v>972.0694632777404</v>
      </c>
      <c r="X35" s="229">
        <f>Y35*'Luminaires 7P'!$D$4</f>
        <v>0</v>
      </c>
      <c r="Y35" s="238">
        <v>0</v>
      </c>
      <c r="Z35" s="229"/>
      <c r="AA35" s="229">
        <f>'Luminaires 7P'!N29</f>
        <v>972.0694632777404</v>
      </c>
      <c r="AB35" s="229">
        <v>0</v>
      </c>
      <c r="AC35" s="228">
        <f>'Luminaires 7P'!F17</f>
        <v>1100</v>
      </c>
      <c r="AD35" s="228">
        <f>'Luminaires 7P'!F29</f>
        <v>354.96078431372547</v>
      </c>
      <c r="AE35" s="228">
        <f t="shared" si="2"/>
        <v>745.03921568627447</v>
      </c>
      <c r="AF35" s="230">
        <f t="shared" si="19"/>
        <v>2.7385263562483986</v>
      </c>
      <c r="AG35" s="230">
        <f t="shared" si="20"/>
        <v>1.304722547231749</v>
      </c>
      <c r="AH35" s="231">
        <f t="shared" si="21"/>
        <v>0.67730837789661313</v>
      </c>
      <c r="AI35" s="227"/>
      <c r="AJ35" s="227" t="s">
        <v>73</v>
      </c>
      <c r="AK35" s="227">
        <v>0.5</v>
      </c>
      <c r="AL35" s="227">
        <f>AK35*'Luminaires 7P'!$D$4</f>
        <v>65</v>
      </c>
      <c r="AM35" s="229">
        <f>'Luminaires 7P'!Q17</f>
        <v>20</v>
      </c>
      <c r="AN35" s="227"/>
      <c r="AO35" s="242">
        <f t="shared" si="11"/>
        <v>0.5</v>
      </c>
      <c r="AP35" s="232">
        <f t="shared" si="12"/>
        <v>7.0000000000000001E-3</v>
      </c>
      <c r="AQ35" s="231">
        <f t="shared" si="22"/>
        <v>1.4E-2</v>
      </c>
      <c r="AR35" s="231">
        <f t="shared" si="23"/>
        <v>1</v>
      </c>
      <c r="AS35" s="231">
        <v>0.5</v>
      </c>
      <c r="AT35" s="227"/>
      <c r="AU35" s="240">
        <f t="shared" si="13"/>
        <v>1.304722547231749</v>
      </c>
    </row>
    <row r="36" spans="1:47">
      <c r="A36" s="227" t="s">
        <v>672</v>
      </c>
      <c r="B36" s="227" t="str">
        <f>'Luminaires 7P'!A18</f>
        <v>MH 1000W</v>
      </c>
      <c r="C36" s="227" t="str">
        <f>'Luminaires 7P'!B30</f>
        <v>LED 421W</v>
      </c>
      <c r="D36" s="227" t="s">
        <v>72</v>
      </c>
      <c r="E36" s="227" t="s">
        <v>75</v>
      </c>
      <c r="F36" s="227" t="str">
        <f t="shared" si="7"/>
        <v>Streetlight - MH 1000W - Tariff Relamp - to LED 421W - NR</v>
      </c>
      <c r="G36" s="228">
        <f>'Luminaires 7P'!AH30</f>
        <v>2919.7</v>
      </c>
      <c r="H36" s="41">
        <f t="shared" si="8"/>
        <v>972.0694632777404</v>
      </c>
      <c r="I36" s="228">
        <f>'Luminaires 7P'!P18</f>
        <v>16000</v>
      </c>
      <c r="J36" s="228">
        <f>'Luminaires 7P'!P30</f>
        <v>50000</v>
      </c>
      <c r="K36" s="227">
        <v>4300</v>
      </c>
      <c r="L36" s="228">
        <f t="shared" si="9"/>
        <v>11.627906976744185</v>
      </c>
      <c r="M36" s="228">
        <f>-Pricing!$V$25</f>
        <v>-56</v>
      </c>
      <c r="N36" s="227"/>
      <c r="O36" s="234"/>
      <c r="P36" s="227"/>
      <c r="Q36" s="227"/>
      <c r="R36" s="227"/>
      <c r="S36" s="227"/>
      <c r="T36" s="227"/>
      <c r="U36" s="237">
        <f>'Luminaires 7P'!P18</f>
        <v>16000</v>
      </c>
      <c r="V36" s="237">
        <f>'Luminaires 7P'!P30</f>
        <v>50000</v>
      </c>
      <c r="W36" s="229">
        <f t="shared" si="10"/>
        <v>972.0694632777404</v>
      </c>
      <c r="X36" s="229">
        <f>Y36*'Luminaires 7P'!$D$4</f>
        <v>0</v>
      </c>
      <c r="Y36" s="238">
        <v>0</v>
      </c>
      <c r="Z36" s="229"/>
      <c r="AA36" s="229">
        <f>'Luminaires 7P'!N30</f>
        <v>972.0694632777404</v>
      </c>
      <c r="AB36" s="229">
        <v>0</v>
      </c>
      <c r="AC36" s="228">
        <f>'Luminaires 7P'!F18</f>
        <v>1100</v>
      </c>
      <c r="AD36" s="228">
        <f>'Luminaires 7P'!F30</f>
        <v>354.96078431372547</v>
      </c>
      <c r="AE36" s="228">
        <f t="shared" si="2"/>
        <v>745.03921568627447</v>
      </c>
      <c r="AF36" s="230">
        <f t="shared" si="19"/>
        <v>2.7385263562483986</v>
      </c>
      <c r="AG36" s="230">
        <f t="shared" si="20"/>
        <v>1.304722547231749</v>
      </c>
      <c r="AH36" s="231">
        <f t="shared" si="21"/>
        <v>0.67730837789661313</v>
      </c>
      <c r="AI36" s="227"/>
      <c r="AJ36" s="227" t="s">
        <v>74</v>
      </c>
      <c r="AK36" s="227"/>
      <c r="AL36" s="227"/>
      <c r="AM36" s="227"/>
      <c r="AN36" s="227"/>
      <c r="AO36" s="242">
        <f t="shared" si="11"/>
        <v>0.5</v>
      </c>
      <c r="AP36" s="232">
        <f t="shared" si="12"/>
        <v>7.0000000000000001E-3</v>
      </c>
      <c r="AQ36" s="231">
        <f t="shared" si="22"/>
        <v>1.4E-2</v>
      </c>
      <c r="AR36" s="231">
        <f t="shared" si="23"/>
        <v>1</v>
      </c>
      <c r="AS36" s="231">
        <v>0.5</v>
      </c>
      <c r="AT36" s="227"/>
      <c r="AU36" s="240">
        <f t="shared" si="13"/>
        <v>1.304722547231749</v>
      </c>
    </row>
  </sheetData>
  <autoFilter ref="B12:AP36">
    <filterColumn colId="19"/>
    <filterColumn colId="20"/>
    <filterColumn colId="39"/>
  </autoFilter>
  <pageMargins left="0.75" right="0.75" top="1" bottom="1" header="0.5" footer="0.5"/>
  <headerFooter alignWithMargins="0"/>
  <legacyDrawing r:id="rId1"/>
</worksheet>
</file>

<file path=xl/worksheets/sheet14.xml><?xml version="1.0" encoding="utf-8"?>
<worksheet xmlns="http://schemas.openxmlformats.org/spreadsheetml/2006/main" xmlns:r="http://schemas.openxmlformats.org/officeDocument/2006/relationships">
  <sheetPr codeName="Sheet6"/>
  <dimension ref="A1:AH31"/>
  <sheetViews>
    <sheetView workbookViewId="0">
      <selection activeCell="E23" sqref="E23"/>
    </sheetView>
  </sheetViews>
  <sheetFormatPr defaultRowHeight="12.75"/>
  <cols>
    <col min="1" max="1" width="13.5703125" style="34" customWidth="1"/>
    <col min="2" max="2" width="12" style="34" customWidth="1"/>
    <col min="3" max="3" width="46.5703125" style="34" customWidth="1"/>
    <col min="4" max="5" width="9.140625" style="34"/>
    <col min="6" max="8" width="10.5703125" style="34" customWidth="1"/>
    <col min="9" max="9" width="9.140625" style="34"/>
    <col min="10" max="10" width="10.42578125" style="34" customWidth="1"/>
    <col min="11" max="13" width="9.140625" style="34"/>
    <col min="14" max="14" width="11.28515625" style="34" customWidth="1"/>
    <col min="15" max="15" width="11.28515625" style="34" bestFit="1" customWidth="1"/>
    <col min="16" max="16" width="9.140625" style="34"/>
    <col min="17" max="17" width="11.28515625" style="34" customWidth="1"/>
    <col min="18" max="20" width="9.7109375" style="34" customWidth="1"/>
    <col min="21" max="21" width="11.5703125" style="34" customWidth="1"/>
    <col min="22" max="25" width="9.140625" style="34"/>
    <col min="26" max="26" width="17" style="34" customWidth="1"/>
    <col min="27" max="27" width="10" style="34" customWidth="1"/>
    <col min="28" max="29" width="9.140625" style="34"/>
    <col min="30" max="31" width="10.7109375" style="34" customWidth="1"/>
    <col min="32" max="32" width="11.85546875" style="34" customWidth="1"/>
    <col min="33" max="34" width="10.5703125" style="34" customWidth="1"/>
    <col min="35" max="16384" width="9.140625" style="34"/>
  </cols>
  <sheetData>
    <row r="1" spans="1:34">
      <c r="A1" s="34" t="s">
        <v>100</v>
      </c>
    </row>
    <row r="2" spans="1:34">
      <c r="C2" s="34" t="s">
        <v>76</v>
      </c>
      <c r="D2" s="34">
        <v>100</v>
      </c>
      <c r="E2" s="34" t="s">
        <v>77</v>
      </c>
      <c r="F2" s="338" t="s">
        <v>944</v>
      </c>
      <c r="G2" s="338"/>
      <c r="H2" s="338"/>
      <c r="I2" s="338"/>
      <c r="N2" s="338" t="s">
        <v>916</v>
      </c>
      <c r="O2" s="338"/>
      <c r="P2" s="338"/>
    </row>
    <row r="3" spans="1:34">
      <c r="C3" s="34" t="s">
        <v>78</v>
      </c>
      <c r="D3" s="34">
        <v>30</v>
      </c>
      <c r="E3" s="34" t="s">
        <v>77</v>
      </c>
      <c r="F3" s="353">
        <f>[4]Efficacy!$R$27/[4]Efficacy!$U$27</f>
        <v>0.84313725490196079</v>
      </c>
      <c r="G3" s="338"/>
      <c r="H3" s="338"/>
      <c r="I3" s="338"/>
      <c r="N3" s="351">
        <f>[4]Prices!$U$21</f>
        <v>0.81005788606478368</v>
      </c>
      <c r="O3" s="338"/>
      <c r="P3" s="338"/>
    </row>
    <row r="4" spans="1:34">
      <c r="C4" s="34" t="s">
        <v>79</v>
      </c>
      <c r="D4" s="34">
        <f>SUM(D2:D3)</f>
        <v>130</v>
      </c>
      <c r="E4" s="34" t="s">
        <v>77</v>
      </c>
    </row>
    <row r="5" spans="1:34">
      <c r="A5" s="34">
        <f>COLUMN()</f>
        <v>1</v>
      </c>
      <c r="B5" s="34">
        <f>COLUMN()</f>
        <v>2</v>
      </c>
      <c r="C5" s="34">
        <f>COLUMN()</f>
        <v>3</v>
      </c>
      <c r="D5" s="34">
        <f>COLUMN()</f>
        <v>4</v>
      </c>
      <c r="E5" s="34">
        <f>COLUMN()</f>
        <v>5</v>
      </c>
      <c r="G5" s="34">
        <f>COLUMN()</f>
        <v>7</v>
      </c>
      <c r="H5" s="34">
        <f>COLUMN()</f>
        <v>8</v>
      </c>
      <c r="I5" s="34">
        <f>COLUMN()</f>
        <v>9</v>
      </c>
      <c r="J5" s="34">
        <f>COLUMN()</f>
        <v>10</v>
      </c>
      <c r="K5" s="34">
        <f>COLUMN()</f>
        <v>11</v>
      </c>
      <c r="L5" s="34">
        <f>COLUMN()</f>
        <v>12</v>
      </c>
      <c r="M5" s="34">
        <f>COLUMN()</f>
        <v>13</v>
      </c>
      <c r="N5" s="34">
        <f>COLUMN()</f>
        <v>14</v>
      </c>
      <c r="O5" s="34">
        <f>COLUMN()</f>
        <v>15</v>
      </c>
      <c r="P5" s="34">
        <f>COLUMN()</f>
        <v>16</v>
      </c>
      <c r="Q5" s="34">
        <f>COLUMN()</f>
        <v>17</v>
      </c>
      <c r="R5" s="34">
        <f>COLUMN()</f>
        <v>18</v>
      </c>
      <c r="S5" s="34">
        <f>COLUMN()</f>
        <v>19</v>
      </c>
      <c r="T5" s="34">
        <f>COLUMN()</f>
        <v>20</v>
      </c>
      <c r="U5" s="34">
        <f>COLUMN()</f>
        <v>21</v>
      </c>
      <c r="V5" s="34">
        <f>COLUMN()</f>
        <v>22</v>
      </c>
      <c r="W5" s="34">
        <f>COLUMN()</f>
        <v>23</v>
      </c>
      <c r="X5" s="34">
        <f>COLUMN()</f>
        <v>24</v>
      </c>
      <c r="Y5" s="34">
        <f>COLUMN()</f>
        <v>25</v>
      </c>
      <c r="Z5" s="34">
        <f>COLUMN()</f>
        <v>26</v>
      </c>
      <c r="AA5" s="34">
        <f>COLUMN()</f>
        <v>27</v>
      </c>
      <c r="AB5" s="34">
        <f>COLUMN()</f>
        <v>28</v>
      </c>
      <c r="AC5" s="34">
        <f>COLUMN()</f>
        <v>29</v>
      </c>
      <c r="AD5" s="34">
        <f>COLUMN()</f>
        <v>30</v>
      </c>
      <c r="AE5" s="34">
        <f>COLUMN()</f>
        <v>31</v>
      </c>
      <c r="AF5" s="34">
        <f>COLUMN()</f>
        <v>32</v>
      </c>
      <c r="AG5" s="34">
        <f>COLUMN()</f>
        <v>33</v>
      </c>
      <c r="AH5" s="34">
        <f>COLUMN()</f>
        <v>34</v>
      </c>
    </row>
    <row r="6" spans="1:34" s="52" customFormat="1" ht="76.5">
      <c r="A6" s="178" t="s">
        <v>39</v>
      </c>
      <c r="B6" s="178" t="s">
        <v>40</v>
      </c>
      <c r="C6" s="178" t="s">
        <v>80</v>
      </c>
      <c r="D6" s="178" t="s">
        <v>81</v>
      </c>
      <c r="E6" s="178" t="s">
        <v>82</v>
      </c>
      <c r="F6" s="355" t="s">
        <v>943</v>
      </c>
      <c r="G6" s="178" t="s">
        <v>83</v>
      </c>
      <c r="H6" s="178" t="s">
        <v>84</v>
      </c>
      <c r="I6" s="178" t="s">
        <v>941</v>
      </c>
      <c r="J6" s="352" t="s">
        <v>942</v>
      </c>
      <c r="K6" s="178" t="s">
        <v>85</v>
      </c>
      <c r="L6" s="178" t="s">
        <v>86</v>
      </c>
      <c r="M6" s="178" t="s">
        <v>861</v>
      </c>
      <c r="N6" s="355" t="s">
        <v>860</v>
      </c>
      <c r="O6" s="178" t="s">
        <v>87</v>
      </c>
      <c r="P6" s="178" t="s">
        <v>88</v>
      </c>
      <c r="Q6" s="178" t="s">
        <v>89</v>
      </c>
      <c r="R6" s="178" t="s">
        <v>90</v>
      </c>
      <c r="S6" s="178" t="s">
        <v>91</v>
      </c>
      <c r="T6" s="178" t="s">
        <v>92</v>
      </c>
      <c r="U6" s="178" t="s">
        <v>93</v>
      </c>
      <c r="V6" s="178" t="s">
        <v>94</v>
      </c>
      <c r="W6" s="178" t="s">
        <v>95</v>
      </c>
      <c r="X6" s="178" t="s">
        <v>96</v>
      </c>
      <c r="Y6" s="178" t="s">
        <v>982</v>
      </c>
      <c r="Z6" s="178" t="s">
        <v>97</v>
      </c>
      <c r="AA6" s="178" t="s">
        <v>98</v>
      </c>
      <c r="AB6" s="178" t="s">
        <v>99</v>
      </c>
      <c r="AC6" s="178" t="s">
        <v>505</v>
      </c>
      <c r="AD6" s="178" t="s">
        <v>56</v>
      </c>
      <c r="AE6" s="178" t="s">
        <v>510</v>
      </c>
      <c r="AF6" s="178" t="s">
        <v>508</v>
      </c>
      <c r="AG6" s="178" t="s">
        <v>509</v>
      </c>
      <c r="AH6" s="178" t="s">
        <v>511</v>
      </c>
    </row>
    <row r="7" spans="1:34">
      <c r="A7" s="34" t="s">
        <v>71</v>
      </c>
      <c r="C7" s="106" t="s">
        <v>512</v>
      </c>
      <c r="D7" s="106">
        <v>28.5</v>
      </c>
      <c r="E7" s="106">
        <v>121</v>
      </c>
      <c r="F7" s="106">
        <f>E7</f>
        <v>121</v>
      </c>
      <c r="G7" s="106">
        <v>9500</v>
      </c>
      <c r="H7" s="106">
        <v>6900</v>
      </c>
      <c r="I7" s="54">
        <f t="shared" ref="I7:I18" si="0">G7/E7</f>
        <v>78.512396694214871</v>
      </c>
      <c r="J7" s="49"/>
      <c r="K7" s="34">
        <v>1</v>
      </c>
      <c r="L7" s="34">
        <v>1</v>
      </c>
      <c r="M7" s="35">
        <f>VLOOKUP(A7,Pricing!$B$73:$C$84,2,FALSE)</f>
        <v>122</v>
      </c>
      <c r="N7" s="35">
        <v>122</v>
      </c>
      <c r="P7" s="55">
        <v>24000</v>
      </c>
      <c r="Q7" s="46">
        <v>12</v>
      </c>
      <c r="R7" s="34">
        <v>0.33</v>
      </c>
      <c r="S7" s="54">
        <f>Q7+(R7*$D$4)</f>
        <v>54.9</v>
      </c>
      <c r="T7" s="44">
        <v>260</v>
      </c>
      <c r="U7" s="34">
        <v>2014</v>
      </c>
      <c r="V7" s="34">
        <v>4300</v>
      </c>
      <c r="W7" s="54">
        <f t="shared" ref="W7:W8" si="1">E7*V7/1000</f>
        <v>520.29999999999995</v>
      </c>
      <c r="X7" s="43">
        <f t="shared" ref="X7:X8" si="2">P7/V7</f>
        <v>5.5813953488372094</v>
      </c>
      <c r="Y7" s="40">
        <v>5</v>
      </c>
      <c r="Z7" s="58" t="s">
        <v>504</v>
      </c>
      <c r="AA7" s="56">
        <f t="shared" ref="AA7:AA18" si="3">N7/(G7*P7)*1000000</f>
        <v>0.53508771929824561</v>
      </c>
      <c r="AB7" s="51">
        <f t="shared" ref="AB7:AB18" si="4">N7/E7</f>
        <v>1.0082644628099173</v>
      </c>
      <c r="AC7" s="224">
        <f>N7/H7*1000</f>
        <v>17.681159420289852</v>
      </c>
    </row>
    <row r="8" spans="1:34">
      <c r="A8" s="34" t="s">
        <v>71</v>
      </c>
      <c r="C8" s="106" t="s">
        <v>773</v>
      </c>
      <c r="D8" s="106">
        <v>28.5</v>
      </c>
      <c r="E8" s="106">
        <v>121</v>
      </c>
      <c r="F8" s="106">
        <f t="shared" ref="F8:F18" si="5">E8</f>
        <v>121</v>
      </c>
      <c r="G8" s="106">
        <v>9500</v>
      </c>
      <c r="H8" s="106">
        <v>6900</v>
      </c>
      <c r="I8" s="54">
        <f t="shared" si="0"/>
        <v>78.512396694214871</v>
      </c>
      <c r="J8" s="49"/>
      <c r="K8" s="34">
        <v>1</v>
      </c>
      <c r="L8" s="34">
        <v>1</v>
      </c>
      <c r="M8" s="35">
        <f>VLOOKUP(A8,Pricing!$B$73:$C$84,2,FALSE)</f>
        <v>122</v>
      </c>
      <c r="N8" s="35">
        <v>122</v>
      </c>
      <c r="P8" s="55">
        <v>24000</v>
      </c>
      <c r="Q8" s="46">
        <v>12</v>
      </c>
      <c r="R8" s="51">
        <v>1</v>
      </c>
      <c r="S8" s="34">
        <f>Q8+(R8*$D$4)</f>
        <v>142</v>
      </c>
      <c r="T8" s="44">
        <v>260</v>
      </c>
      <c r="U8" s="34">
        <v>2014</v>
      </c>
      <c r="V8" s="34">
        <v>4300</v>
      </c>
      <c r="W8" s="54">
        <f t="shared" si="1"/>
        <v>520.29999999999995</v>
      </c>
      <c r="X8" s="43">
        <f t="shared" si="2"/>
        <v>5.5813953488372094</v>
      </c>
      <c r="Y8" s="40">
        <v>5</v>
      </c>
      <c r="Z8" s="34" t="s">
        <v>504</v>
      </c>
      <c r="AA8" s="56">
        <f t="shared" si="3"/>
        <v>0.53508771929824561</v>
      </c>
      <c r="AB8" s="51">
        <f t="shared" si="4"/>
        <v>1.0082644628099173</v>
      </c>
      <c r="AC8" s="224">
        <f t="shared" ref="AC8:AC18" si="6">N8/H8*1000</f>
        <v>17.681159420289852</v>
      </c>
    </row>
    <row r="9" spans="1:34">
      <c r="A9" s="34" t="s">
        <v>71</v>
      </c>
      <c r="C9" s="106" t="s">
        <v>512</v>
      </c>
      <c r="D9" s="106">
        <v>28.5</v>
      </c>
      <c r="E9" s="106">
        <v>121</v>
      </c>
      <c r="F9" s="106">
        <f t="shared" si="5"/>
        <v>121</v>
      </c>
      <c r="G9" s="106">
        <v>9500</v>
      </c>
      <c r="H9" s="106">
        <v>6900</v>
      </c>
      <c r="I9" s="54">
        <f t="shared" ref="I9:I10" si="7">G9/E9</f>
        <v>78.512396694214871</v>
      </c>
      <c r="J9" s="49"/>
      <c r="K9" s="34">
        <v>1</v>
      </c>
      <c r="L9" s="34">
        <v>1</v>
      </c>
      <c r="M9" s="35">
        <f>VLOOKUP(A9,Pricing!$B$73:$C$84,2,FALSE)</f>
        <v>122</v>
      </c>
      <c r="N9" s="35">
        <v>122</v>
      </c>
      <c r="P9" s="55">
        <v>24000</v>
      </c>
      <c r="Q9" s="46">
        <v>12</v>
      </c>
      <c r="R9" s="34">
        <v>0.33</v>
      </c>
      <c r="S9" s="54">
        <f>Q9+(R9*$D$4)</f>
        <v>54.9</v>
      </c>
      <c r="T9" s="44">
        <v>260</v>
      </c>
      <c r="U9" s="34">
        <v>2014</v>
      </c>
      <c r="V9" s="34">
        <v>4300</v>
      </c>
      <c r="W9" s="54">
        <f t="shared" ref="W9:W10" si="8">E9*V9/1000</f>
        <v>520.29999999999995</v>
      </c>
      <c r="X9" s="43">
        <f t="shared" ref="X9:X10" si="9">P9/V9</f>
        <v>5.5813953488372094</v>
      </c>
      <c r="Y9" s="40">
        <v>5</v>
      </c>
      <c r="Z9" s="34" t="s">
        <v>504</v>
      </c>
      <c r="AA9" s="56">
        <f t="shared" ref="AA9:AA10" si="10">N9/(G9*P9)*1000000</f>
        <v>0.53508771929824561</v>
      </c>
      <c r="AB9" s="51">
        <f t="shared" ref="AB9:AB10" si="11">N9/E9</f>
        <v>1.0082644628099173</v>
      </c>
      <c r="AC9" s="224">
        <f>N9/H9*1000</f>
        <v>17.681159420289852</v>
      </c>
    </row>
    <row r="10" spans="1:34">
      <c r="A10" s="34" t="s">
        <v>71</v>
      </c>
      <c r="C10" s="106" t="s">
        <v>773</v>
      </c>
      <c r="D10" s="106">
        <v>28.5</v>
      </c>
      <c r="E10" s="106">
        <v>121</v>
      </c>
      <c r="F10" s="106">
        <f t="shared" si="5"/>
        <v>121</v>
      </c>
      <c r="G10" s="106">
        <v>9500</v>
      </c>
      <c r="H10" s="106">
        <v>6900</v>
      </c>
      <c r="I10" s="54">
        <f t="shared" si="7"/>
        <v>78.512396694214871</v>
      </c>
      <c r="J10" s="49"/>
      <c r="K10" s="34">
        <v>1</v>
      </c>
      <c r="L10" s="34">
        <v>1</v>
      </c>
      <c r="M10" s="35">
        <f>VLOOKUP(A10,Pricing!$B$73:$C$84,2,FALSE)</f>
        <v>122</v>
      </c>
      <c r="N10" s="35">
        <v>122</v>
      </c>
      <c r="P10" s="55">
        <v>24000</v>
      </c>
      <c r="Q10" s="46">
        <v>12</v>
      </c>
      <c r="R10" s="51">
        <v>1</v>
      </c>
      <c r="S10" s="34">
        <f>Q10+(R10*$D$4)</f>
        <v>142</v>
      </c>
      <c r="T10" s="44">
        <v>260</v>
      </c>
      <c r="U10" s="34">
        <v>2014</v>
      </c>
      <c r="V10" s="34">
        <v>4300</v>
      </c>
      <c r="W10" s="54">
        <f t="shared" si="8"/>
        <v>520.29999999999995</v>
      </c>
      <c r="X10" s="43">
        <f t="shared" si="9"/>
        <v>5.5813953488372094</v>
      </c>
      <c r="Y10" s="40">
        <v>5</v>
      </c>
      <c r="Z10" s="34" t="s">
        <v>504</v>
      </c>
      <c r="AA10" s="56">
        <f t="shared" si="10"/>
        <v>0.53508771929824561</v>
      </c>
      <c r="AB10" s="51">
        <f t="shared" si="11"/>
        <v>1.0082644628099173</v>
      </c>
      <c r="AC10" s="224">
        <f t="shared" ref="AC10" si="12">N10/H10*1000</f>
        <v>17.681159420289852</v>
      </c>
    </row>
    <row r="11" spans="1:34">
      <c r="A11" s="34" t="s">
        <v>523</v>
      </c>
      <c r="C11" s="106" t="s">
        <v>524</v>
      </c>
      <c r="D11" s="106"/>
      <c r="E11" s="106">
        <v>227</v>
      </c>
      <c r="F11" s="106">
        <f t="shared" si="5"/>
        <v>227</v>
      </c>
      <c r="G11" s="106">
        <v>22000</v>
      </c>
      <c r="H11" s="106">
        <v>16000</v>
      </c>
      <c r="I11" s="54">
        <f t="shared" si="0"/>
        <v>96.916299559471369</v>
      </c>
      <c r="J11" s="49"/>
      <c r="K11" s="34">
        <v>1</v>
      </c>
      <c r="L11" s="34">
        <v>1</v>
      </c>
      <c r="M11" s="35">
        <f>VLOOKUP(A11,Pricing!$B$73:$C$84,2,FALSE)</f>
        <v>160</v>
      </c>
      <c r="N11" s="35">
        <v>160</v>
      </c>
      <c r="P11" s="55">
        <v>24000</v>
      </c>
      <c r="Q11" s="287">
        <v>15</v>
      </c>
      <c r="R11" s="34">
        <v>0.33</v>
      </c>
      <c r="S11" s="54">
        <f t="shared" ref="S11:S18" si="13">Q11+(R11*$D$4)</f>
        <v>57.9</v>
      </c>
      <c r="T11" s="46"/>
      <c r="U11" s="34">
        <v>2014</v>
      </c>
      <c r="V11" s="34">
        <v>4300</v>
      </c>
      <c r="W11" s="54">
        <f t="shared" ref="W11:W18" si="14">E11*V11/1000</f>
        <v>976.1</v>
      </c>
      <c r="X11" s="43">
        <f t="shared" ref="X11:X18" si="15">P11/V11</f>
        <v>5.5813953488372094</v>
      </c>
      <c r="Y11" s="40">
        <v>5</v>
      </c>
      <c r="Z11" s="34" t="s">
        <v>504</v>
      </c>
      <c r="AA11" s="56">
        <f t="shared" si="3"/>
        <v>0.30303030303030304</v>
      </c>
      <c r="AB11" s="51">
        <f t="shared" si="4"/>
        <v>0.70484581497797361</v>
      </c>
      <c r="AC11" s="224">
        <f t="shared" si="6"/>
        <v>10</v>
      </c>
    </row>
    <row r="12" spans="1:34">
      <c r="A12" s="34" t="s">
        <v>523</v>
      </c>
      <c r="C12" s="106" t="s">
        <v>774</v>
      </c>
      <c r="D12" s="106"/>
      <c r="E12" s="106">
        <v>227</v>
      </c>
      <c r="F12" s="106">
        <f t="shared" si="5"/>
        <v>227</v>
      </c>
      <c r="G12" s="106">
        <v>22000</v>
      </c>
      <c r="H12" s="106">
        <v>16000</v>
      </c>
      <c r="I12" s="54">
        <f t="shared" si="0"/>
        <v>96.916299559471369</v>
      </c>
      <c r="J12" s="49"/>
      <c r="K12" s="34">
        <v>1</v>
      </c>
      <c r="L12" s="34">
        <v>1</v>
      </c>
      <c r="M12" s="35">
        <f>VLOOKUP(A12,Pricing!$B$73:$C$84,2,FALSE)</f>
        <v>160</v>
      </c>
      <c r="N12" s="35">
        <v>160</v>
      </c>
      <c r="P12" s="55">
        <v>24000</v>
      </c>
      <c r="Q12" s="287">
        <v>15</v>
      </c>
      <c r="R12" s="51">
        <v>1</v>
      </c>
      <c r="S12" s="34">
        <f t="shared" si="13"/>
        <v>145</v>
      </c>
      <c r="T12" s="46"/>
      <c r="U12" s="34">
        <v>2014</v>
      </c>
      <c r="V12" s="34">
        <v>4300</v>
      </c>
      <c r="W12" s="54">
        <f t="shared" si="14"/>
        <v>976.1</v>
      </c>
      <c r="X12" s="43">
        <f t="shared" si="15"/>
        <v>5.5813953488372094</v>
      </c>
      <c r="Y12" s="40">
        <v>5</v>
      </c>
      <c r="Z12" s="34" t="s">
        <v>504</v>
      </c>
      <c r="AA12" s="56">
        <f t="shared" si="3"/>
        <v>0.30303030303030304</v>
      </c>
      <c r="AB12" s="51">
        <f t="shared" si="4"/>
        <v>0.70484581497797361</v>
      </c>
      <c r="AC12" s="224">
        <f t="shared" si="6"/>
        <v>10</v>
      </c>
    </row>
    <row r="13" spans="1:34">
      <c r="A13" s="34" t="s">
        <v>519</v>
      </c>
      <c r="C13" s="106" t="s">
        <v>513</v>
      </c>
      <c r="E13" s="34">
        <v>290</v>
      </c>
      <c r="F13" s="106">
        <f t="shared" si="5"/>
        <v>290</v>
      </c>
      <c r="G13" s="34">
        <v>29000</v>
      </c>
      <c r="H13" s="34">
        <v>21000</v>
      </c>
      <c r="I13" s="54">
        <f t="shared" si="0"/>
        <v>100</v>
      </c>
      <c r="J13" s="49"/>
      <c r="K13" s="34">
        <v>1</v>
      </c>
      <c r="L13" s="34">
        <v>1</v>
      </c>
      <c r="M13" s="35">
        <f>VLOOKUP(A13,Pricing!$B$73:$C$84,2,FALSE)</f>
        <v>160</v>
      </c>
      <c r="N13" s="35">
        <v>160</v>
      </c>
      <c r="P13" s="55">
        <v>24000</v>
      </c>
      <c r="Q13" s="287">
        <v>15</v>
      </c>
      <c r="R13" s="34">
        <v>0.33</v>
      </c>
      <c r="S13" s="54">
        <f t="shared" si="13"/>
        <v>57.9</v>
      </c>
      <c r="U13" s="34">
        <v>2014</v>
      </c>
      <c r="V13" s="34">
        <v>4300</v>
      </c>
      <c r="W13" s="54">
        <f t="shared" si="14"/>
        <v>1247</v>
      </c>
      <c r="X13" s="43">
        <f t="shared" si="15"/>
        <v>5.5813953488372094</v>
      </c>
      <c r="Y13" s="40">
        <v>5</v>
      </c>
      <c r="Z13" s="34" t="s">
        <v>504</v>
      </c>
      <c r="AA13" s="56">
        <f t="shared" si="3"/>
        <v>0.22988505747126436</v>
      </c>
      <c r="AB13" s="51">
        <f t="shared" si="4"/>
        <v>0.55172413793103448</v>
      </c>
      <c r="AC13" s="224">
        <f t="shared" si="6"/>
        <v>7.6190476190476186</v>
      </c>
    </row>
    <row r="14" spans="1:34">
      <c r="A14" s="34" t="s">
        <v>519</v>
      </c>
      <c r="C14" s="106" t="s">
        <v>775</v>
      </c>
      <c r="E14" s="34">
        <v>290</v>
      </c>
      <c r="F14" s="106">
        <f t="shared" si="5"/>
        <v>290</v>
      </c>
      <c r="G14" s="34">
        <v>29000</v>
      </c>
      <c r="H14" s="34">
        <v>21000</v>
      </c>
      <c r="I14" s="54">
        <f t="shared" si="0"/>
        <v>100</v>
      </c>
      <c r="J14" s="49"/>
      <c r="K14" s="34">
        <v>1</v>
      </c>
      <c r="L14" s="34">
        <v>1</v>
      </c>
      <c r="M14" s="35">
        <f>VLOOKUP(A14,Pricing!$B$73:$C$84,2,FALSE)</f>
        <v>160</v>
      </c>
      <c r="N14" s="35">
        <v>160</v>
      </c>
      <c r="P14" s="55">
        <v>24000</v>
      </c>
      <c r="Q14" s="287">
        <v>15</v>
      </c>
      <c r="R14" s="51">
        <v>1</v>
      </c>
      <c r="S14" s="34">
        <f t="shared" si="13"/>
        <v>145</v>
      </c>
      <c r="U14" s="34">
        <v>2014</v>
      </c>
      <c r="V14" s="34">
        <v>4300</v>
      </c>
      <c r="W14" s="54">
        <f t="shared" si="14"/>
        <v>1247</v>
      </c>
      <c r="X14" s="43">
        <f t="shared" si="15"/>
        <v>5.5813953488372094</v>
      </c>
      <c r="Y14" s="40">
        <v>5</v>
      </c>
      <c r="Z14" s="34" t="s">
        <v>504</v>
      </c>
      <c r="AA14" s="56">
        <f t="shared" si="3"/>
        <v>0.22988505747126436</v>
      </c>
      <c r="AB14" s="51">
        <f t="shared" si="4"/>
        <v>0.55172413793103448</v>
      </c>
      <c r="AC14" s="224">
        <f t="shared" si="6"/>
        <v>7.6190476190476186</v>
      </c>
    </row>
    <row r="15" spans="1:34">
      <c r="A15" s="34" t="s">
        <v>520</v>
      </c>
      <c r="C15" s="106" t="s">
        <v>502</v>
      </c>
      <c r="E15" s="34">
        <v>448</v>
      </c>
      <c r="F15" s="106">
        <f t="shared" si="5"/>
        <v>448</v>
      </c>
      <c r="G15" s="34">
        <v>40000</v>
      </c>
      <c r="H15" s="34">
        <v>25000</v>
      </c>
      <c r="I15" s="54">
        <f t="shared" si="0"/>
        <v>89.285714285714292</v>
      </c>
      <c r="J15" s="49"/>
      <c r="K15" s="34">
        <v>1</v>
      </c>
      <c r="L15" s="34">
        <v>1</v>
      </c>
      <c r="M15" s="35">
        <f>VLOOKUP(A15,Pricing!$B$73:$C$84,2,FALSE)</f>
        <v>190</v>
      </c>
      <c r="N15" s="35">
        <v>190</v>
      </c>
      <c r="P15" s="57">
        <v>16000</v>
      </c>
      <c r="Q15" s="287">
        <v>18</v>
      </c>
      <c r="R15" s="34">
        <v>0.33</v>
      </c>
      <c r="S15" s="54">
        <f t="shared" si="13"/>
        <v>60.9</v>
      </c>
      <c r="U15" s="34">
        <v>2014</v>
      </c>
      <c r="V15" s="34">
        <v>4300</v>
      </c>
      <c r="W15" s="54">
        <f t="shared" si="14"/>
        <v>1926.4</v>
      </c>
      <c r="X15" s="43">
        <f t="shared" si="15"/>
        <v>3.7209302325581395</v>
      </c>
      <c r="Y15" s="40">
        <v>4</v>
      </c>
      <c r="Z15" s="34" t="s">
        <v>504</v>
      </c>
      <c r="AA15" s="56">
        <f t="shared" si="3"/>
        <v>0.296875</v>
      </c>
      <c r="AB15" s="51">
        <f t="shared" si="4"/>
        <v>0.42410714285714285</v>
      </c>
      <c r="AC15" s="224">
        <f t="shared" si="6"/>
        <v>7.6</v>
      </c>
    </row>
    <row r="16" spans="1:34">
      <c r="A16" s="34" t="s">
        <v>520</v>
      </c>
      <c r="C16" s="106" t="s">
        <v>776</v>
      </c>
      <c r="E16" s="34">
        <v>448</v>
      </c>
      <c r="F16" s="106">
        <f t="shared" si="5"/>
        <v>448</v>
      </c>
      <c r="G16" s="34">
        <v>40000</v>
      </c>
      <c r="H16" s="34">
        <v>25000</v>
      </c>
      <c r="I16" s="54">
        <f t="shared" si="0"/>
        <v>89.285714285714292</v>
      </c>
      <c r="J16" s="49"/>
      <c r="K16" s="34">
        <v>1</v>
      </c>
      <c r="L16" s="34">
        <v>1</v>
      </c>
      <c r="M16" s="35">
        <f>VLOOKUP(A16,Pricing!$B$73:$C$84,2,FALSE)</f>
        <v>190</v>
      </c>
      <c r="N16" s="35">
        <v>190</v>
      </c>
      <c r="P16" s="57">
        <v>16000</v>
      </c>
      <c r="Q16" s="287">
        <v>18</v>
      </c>
      <c r="R16" s="51">
        <v>1</v>
      </c>
      <c r="S16" s="34">
        <f t="shared" si="13"/>
        <v>148</v>
      </c>
      <c r="U16" s="34">
        <v>2014</v>
      </c>
      <c r="V16" s="34">
        <v>4300</v>
      </c>
      <c r="W16" s="54">
        <f t="shared" si="14"/>
        <v>1926.4</v>
      </c>
      <c r="X16" s="43">
        <f t="shared" si="15"/>
        <v>3.7209302325581395</v>
      </c>
      <c r="Y16" s="40">
        <v>4</v>
      </c>
      <c r="Z16" s="34" t="s">
        <v>504</v>
      </c>
      <c r="AA16" s="56">
        <f t="shared" si="3"/>
        <v>0.296875</v>
      </c>
      <c r="AB16" s="51">
        <f t="shared" si="4"/>
        <v>0.42410714285714285</v>
      </c>
      <c r="AC16" s="224">
        <f t="shared" si="6"/>
        <v>7.6</v>
      </c>
    </row>
    <row r="17" spans="1:34">
      <c r="A17" s="34" t="s">
        <v>521</v>
      </c>
      <c r="C17" s="106" t="s">
        <v>503</v>
      </c>
      <c r="E17" s="34">
        <v>1100</v>
      </c>
      <c r="F17" s="106">
        <f t="shared" si="5"/>
        <v>1100</v>
      </c>
      <c r="G17" s="34">
        <v>110000</v>
      </c>
      <c r="H17" s="34">
        <v>67000</v>
      </c>
      <c r="I17" s="54">
        <f t="shared" si="0"/>
        <v>100</v>
      </c>
      <c r="J17" s="49"/>
      <c r="K17" s="34">
        <v>1</v>
      </c>
      <c r="L17" s="34">
        <v>1</v>
      </c>
      <c r="M17" s="35">
        <f>VLOOKUP(A17,Pricing!$B$73:$C$84,2,FALSE)</f>
        <v>440</v>
      </c>
      <c r="N17" s="35">
        <v>440</v>
      </c>
      <c r="P17" s="57">
        <v>16000</v>
      </c>
      <c r="Q17" s="287">
        <v>20</v>
      </c>
      <c r="R17" s="34">
        <v>0.33</v>
      </c>
      <c r="S17" s="54">
        <f t="shared" si="13"/>
        <v>62.9</v>
      </c>
      <c r="U17" s="34">
        <v>2014</v>
      </c>
      <c r="V17" s="34">
        <v>4300</v>
      </c>
      <c r="W17" s="54">
        <f t="shared" si="14"/>
        <v>4730</v>
      </c>
      <c r="X17" s="43">
        <f t="shared" si="15"/>
        <v>3.7209302325581395</v>
      </c>
      <c r="Y17" s="40">
        <v>4</v>
      </c>
      <c r="Z17" s="34" t="s">
        <v>504</v>
      </c>
      <c r="AA17" s="56">
        <f t="shared" si="3"/>
        <v>0.25</v>
      </c>
      <c r="AB17" s="51">
        <f t="shared" si="4"/>
        <v>0.4</v>
      </c>
      <c r="AC17" s="224">
        <f t="shared" si="6"/>
        <v>6.567164179104477</v>
      </c>
    </row>
    <row r="18" spans="1:34">
      <c r="A18" s="34" t="s">
        <v>521</v>
      </c>
      <c r="C18" s="106" t="s">
        <v>777</v>
      </c>
      <c r="E18" s="34">
        <v>1100</v>
      </c>
      <c r="F18" s="106">
        <f t="shared" si="5"/>
        <v>1100</v>
      </c>
      <c r="G18" s="34">
        <v>110000</v>
      </c>
      <c r="H18" s="34">
        <v>67000</v>
      </c>
      <c r="I18" s="54">
        <f t="shared" si="0"/>
        <v>100</v>
      </c>
      <c r="K18" s="34">
        <v>1</v>
      </c>
      <c r="L18" s="34">
        <v>1</v>
      </c>
      <c r="M18" s="35">
        <f>VLOOKUP(A18,Pricing!$B$73:$C$84,2,FALSE)</f>
        <v>440</v>
      </c>
      <c r="N18" s="35">
        <v>440</v>
      </c>
      <c r="P18" s="57">
        <v>16000</v>
      </c>
      <c r="Q18" s="287">
        <v>20</v>
      </c>
      <c r="R18" s="51">
        <v>1</v>
      </c>
      <c r="S18" s="34">
        <f t="shared" si="13"/>
        <v>150</v>
      </c>
      <c r="U18" s="34">
        <v>2014</v>
      </c>
      <c r="V18" s="34">
        <v>4300</v>
      </c>
      <c r="W18" s="54">
        <f t="shared" si="14"/>
        <v>4730</v>
      </c>
      <c r="X18" s="43">
        <f t="shared" si="15"/>
        <v>3.7209302325581395</v>
      </c>
      <c r="Y18" s="40">
        <v>4</v>
      </c>
      <c r="Z18" s="34" t="s">
        <v>504</v>
      </c>
      <c r="AA18" s="56">
        <f t="shared" si="3"/>
        <v>0.25</v>
      </c>
      <c r="AB18" s="51">
        <f t="shared" si="4"/>
        <v>0.4</v>
      </c>
      <c r="AC18" s="224">
        <f t="shared" si="6"/>
        <v>6.567164179104477</v>
      </c>
    </row>
    <row r="19" spans="1:34">
      <c r="B19" s="34" t="str">
        <f>CONCATENATE("LED ",E19,"W")</f>
        <v>LED 42W</v>
      </c>
      <c r="C19" s="106" t="s">
        <v>514</v>
      </c>
      <c r="E19" s="106">
        <v>42</v>
      </c>
      <c r="F19" s="354">
        <f>E19*$F$3</f>
        <v>35.411764705882355</v>
      </c>
      <c r="H19" s="106">
        <v>4100</v>
      </c>
      <c r="J19" s="54">
        <f>H19/E19</f>
        <v>97.61904761904762</v>
      </c>
      <c r="M19" s="35">
        <f>VLOOKUP(B19,Pricing!$B$73:$C$84,2,FALSE)</f>
        <v>140</v>
      </c>
      <c r="N19" s="54">
        <f t="shared" ref="N19:N30" si="16">M19*$N$3</f>
        <v>113.40810404906972</v>
      </c>
      <c r="P19" s="57">
        <v>50000</v>
      </c>
      <c r="V19" s="34">
        <v>4300</v>
      </c>
      <c r="W19" s="54">
        <f t="shared" ref="W19:W30" si="17">E19*V19/1000</f>
        <v>180.6</v>
      </c>
      <c r="X19" s="43">
        <f t="shared" ref="X19:X30" si="18">P19/V19</f>
        <v>11.627906976744185</v>
      </c>
      <c r="Y19" s="40">
        <v>15</v>
      </c>
      <c r="AA19" s="56">
        <f>N19/(H19*P19)*1000000</f>
        <v>0.55321026365399861</v>
      </c>
      <c r="AB19" s="51">
        <f>N19/E19</f>
        <v>2.700192953549279</v>
      </c>
      <c r="AC19" s="224">
        <f>N19/H19*1000</f>
        <v>27.660513182699933</v>
      </c>
      <c r="AD19" s="34">
        <f>E7-E19</f>
        <v>79</v>
      </c>
      <c r="AE19" s="226">
        <f>1-(E19/E7)</f>
        <v>0.65289256198347112</v>
      </c>
      <c r="AF19" s="50">
        <f>(N19-N7)/AD19</f>
        <v>-0.10875817659405417</v>
      </c>
      <c r="AG19" s="50">
        <f>(N19)/AD19</f>
        <v>1.4355456208743003</v>
      </c>
      <c r="AH19" s="54">
        <f>W7-W19</f>
        <v>339.69999999999993</v>
      </c>
    </row>
    <row r="20" spans="1:34">
      <c r="B20" s="34" t="str">
        <f t="shared" ref="B20:B30" si="19">CONCATENATE("LED ",E20,"W")</f>
        <v>LED 42W</v>
      </c>
      <c r="C20" s="106" t="s">
        <v>778</v>
      </c>
      <c r="E20" s="106">
        <v>42</v>
      </c>
      <c r="F20" s="354">
        <f t="shared" ref="F20:F30" si="20">E20*$F$3</f>
        <v>35.411764705882355</v>
      </c>
      <c r="H20" s="106">
        <v>4100</v>
      </c>
      <c r="J20" s="54">
        <f t="shared" ref="J20:J30" si="21">H20/E20</f>
        <v>97.61904761904762</v>
      </c>
      <c r="M20" s="35">
        <f>VLOOKUP(B20,Pricing!$B$73:$C$84,2,FALSE)</f>
        <v>140</v>
      </c>
      <c r="N20" s="54">
        <f t="shared" si="16"/>
        <v>113.40810404906972</v>
      </c>
      <c r="P20" s="57">
        <v>50000</v>
      </c>
      <c r="V20" s="34">
        <v>4300</v>
      </c>
      <c r="W20" s="54">
        <f t="shared" si="17"/>
        <v>180.6</v>
      </c>
      <c r="X20" s="43">
        <f t="shared" si="18"/>
        <v>11.627906976744185</v>
      </c>
      <c r="Y20" s="40">
        <v>15</v>
      </c>
      <c r="AA20" s="56">
        <f t="shared" ref="AA20:AA30" si="22">N20/(H20*P20)*1000000</f>
        <v>0.55321026365399861</v>
      </c>
      <c r="AB20" s="51">
        <f t="shared" ref="AB20:AB30" si="23">N20/E20</f>
        <v>2.700192953549279</v>
      </c>
      <c r="AC20" s="224">
        <f t="shared" ref="AC20:AC30" si="24">N20/H20*1000</f>
        <v>27.660513182699933</v>
      </c>
      <c r="AD20" s="34">
        <f t="shared" ref="AD20:AD29" si="25">E8-E20</f>
        <v>79</v>
      </c>
      <c r="AE20" s="226">
        <f t="shared" ref="AE20:AE29" si="26">1-(E20/E8)</f>
        <v>0.65289256198347112</v>
      </c>
      <c r="AF20" s="50">
        <f t="shared" ref="AF20:AF30" si="27">(N20-N8)/AD20</f>
        <v>-0.10875817659405417</v>
      </c>
      <c r="AG20" s="50">
        <f t="shared" ref="AG20:AG30" si="28">(N20)/AD20</f>
        <v>1.4355456208743003</v>
      </c>
      <c r="AH20" s="54">
        <f t="shared" ref="AH20:AH30" si="29">W8-W20</f>
        <v>339.69999999999993</v>
      </c>
    </row>
    <row r="21" spans="1:34">
      <c r="B21" s="34" t="str">
        <f t="shared" si="19"/>
        <v>LED 58W</v>
      </c>
      <c r="C21" s="106" t="s">
        <v>514</v>
      </c>
      <c r="E21" s="106">
        <v>58</v>
      </c>
      <c r="F21" s="354">
        <f t="shared" si="20"/>
        <v>48.901960784313722</v>
      </c>
      <c r="H21" s="106">
        <v>5000</v>
      </c>
      <c r="J21" s="54">
        <f t="shared" si="21"/>
        <v>86.206896551724142</v>
      </c>
      <c r="M21" s="35">
        <f>VLOOKUP(B21,Pricing!$B$73:$C$84,2,FALSE)</f>
        <v>140</v>
      </c>
      <c r="N21" s="54">
        <f t="shared" si="16"/>
        <v>113.40810404906972</v>
      </c>
      <c r="P21" s="57">
        <v>50000</v>
      </c>
      <c r="V21" s="34">
        <v>4300</v>
      </c>
      <c r="W21" s="54">
        <f t="shared" si="17"/>
        <v>249.4</v>
      </c>
      <c r="X21" s="43">
        <f t="shared" si="18"/>
        <v>11.627906976744185</v>
      </c>
      <c r="Y21" s="40">
        <v>15</v>
      </c>
      <c r="AA21" s="56">
        <f t="shared" si="22"/>
        <v>0.45363241619627886</v>
      </c>
      <c r="AB21" s="51">
        <f t="shared" si="23"/>
        <v>1.9553121387770642</v>
      </c>
      <c r="AC21" s="224">
        <f t="shared" si="24"/>
        <v>22.681620809813946</v>
      </c>
      <c r="AD21" s="34">
        <f t="shared" si="25"/>
        <v>63</v>
      </c>
      <c r="AE21" s="226">
        <f t="shared" si="26"/>
        <v>0.52066115702479343</v>
      </c>
      <c r="AF21" s="50">
        <f t="shared" si="27"/>
        <v>-0.13637930080841715</v>
      </c>
      <c r="AG21" s="50">
        <f t="shared" si="28"/>
        <v>1.8001286356995194</v>
      </c>
      <c r="AH21" s="54">
        <f t="shared" si="29"/>
        <v>270.89999999999998</v>
      </c>
    </row>
    <row r="22" spans="1:34">
      <c r="B22" s="34" t="str">
        <f t="shared" si="19"/>
        <v>LED 58W</v>
      </c>
      <c r="C22" s="106" t="s">
        <v>778</v>
      </c>
      <c r="E22" s="106">
        <v>58</v>
      </c>
      <c r="F22" s="354">
        <f t="shared" si="20"/>
        <v>48.901960784313722</v>
      </c>
      <c r="H22" s="106">
        <v>5000</v>
      </c>
      <c r="J22" s="54">
        <f t="shared" si="21"/>
        <v>86.206896551724142</v>
      </c>
      <c r="M22" s="35">
        <f>VLOOKUP(B22,Pricing!$B$73:$C$84,2,FALSE)</f>
        <v>140</v>
      </c>
      <c r="N22" s="54">
        <f t="shared" si="16"/>
        <v>113.40810404906972</v>
      </c>
      <c r="P22" s="57">
        <v>50000</v>
      </c>
      <c r="V22" s="34">
        <v>4300</v>
      </c>
      <c r="W22" s="54">
        <f t="shared" si="17"/>
        <v>249.4</v>
      </c>
      <c r="X22" s="43">
        <f t="shared" si="18"/>
        <v>11.627906976744185</v>
      </c>
      <c r="Y22" s="40">
        <v>15</v>
      </c>
      <c r="AA22" s="56">
        <f t="shared" si="22"/>
        <v>0.45363241619627886</v>
      </c>
      <c r="AB22" s="51">
        <f t="shared" si="23"/>
        <v>1.9553121387770642</v>
      </c>
      <c r="AC22" s="224">
        <f t="shared" si="24"/>
        <v>22.681620809813946</v>
      </c>
      <c r="AD22" s="34">
        <f t="shared" si="25"/>
        <v>63</v>
      </c>
      <c r="AE22" s="226">
        <f t="shared" si="26"/>
        <v>0.52066115702479343</v>
      </c>
      <c r="AF22" s="50">
        <f t="shared" si="27"/>
        <v>-0.13637930080841715</v>
      </c>
      <c r="AG22" s="50">
        <f t="shared" si="28"/>
        <v>1.8001286356995194</v>
      </c>
      <c r="AH22" s="54">
        <f t="shared" si="29"/>
        <v>270.89999999999998</v>
      </c>
    </row>
    <row r="23" spans="1:34">
      <c r="B23" s="34" t="str">
        <f t="shared" si="19"/>
        <v>LED 135W</v>
      </c>
      <c r="C23" s="106" t="s">
        <v>515</v>
      </c>
      <c r="E23" s="106">
        <v>135</v>
      </c>
      <c r="F23" s="354">
        <f t="shared" si="20"/>
        <v>113.82352941176471</v>
      </c>
      <c r="H23" s="106">
        <v>12000</v>
      </c>
      <c r="J23" s="54">
        <f t="shared" si="21"/>
        <v>88.888888888888886</v>
      </c>
      <c r="M23" s="35">
        <f>VLOOKUP(B23,Pricing!$B$73:$C$84,2,FALSE)</f>
        <v>200</v>
      </c>
      <c r="N23" s="54">
        <f t="shared" si="16"/>
        <v>162.01157721295672</v>
      </c>
      <c r="P23" s="57">
        <v>50000</v>
      </c>
      <c r="V23" s="34">
        <v>4300</v>
      </c>
      <c r="W23" s="54">
        <f t="shared" si="17"/>
        <v>580.5</v>
      </c>
      <c r="X23" s="43">
        <f t="shared" si="18"/>
        <v>11.627906976744185</v>
      </c>
      <c r="Y23" s="40">
        <v>15</v>
      </c>
      <c r="AA23" s="56">
        <f t="shared" si="22"/>
        <v>0.27001929535492791</v>
      </c>
      <c r="AB23" s="51">
        <f t="shared" si="23"/>
        <v>1.2000857571330128</v>
      </c>
      <c r="AC23" s="224">
        <f t="shared" si="24"/>
        <v>13.500964767746392</v>
      </c>
      <c r="AD23" s="34">
        <f t="shared" si="25"/>
        <v>92</v>
      </c>
      <c r="AE23" s="226">
        <f t="shared" si="26"/>
        <v>0.40528634361233484</v>
      </c>
      <c r="AF23" s="50">
        <f t="shared" si="27"/>
        <v>2.186496970605134E-2</v>
      </c>
      <c r="AG23" s="50">
        <f t="shared" si="28"/>
        <v>1.76099540448866</v>
      </c>
      <c r="AH23" s="54">
        <f t="shared" si="29"/>
        <v>395.6</v>
      </c>
    </row>
    <row r="24" spans="1:34">
      <c r="B24" s="34" t="str">
        <f t="shared" si="19"/>
        <v>LED 135W</v>
      </c>
      <c r="C24" s="106" t="s">
        <v>779</v>
      </c>
      <c r="E24" s="106">
        <v>135</v>
      </c>
      <c r="F24" s="354">
        <f t="shared" si="20"/>
        <v>113.82352941176471</v>
      </c>
      <c r="H24" s="106">
        <v>12000</v>
      </c>
      <c r="J24" s="54">
        <f t="shared" si="21"/>
        <v>88.888888888888886</v>
      </c>
      <c r="M24" s="35">
        <f>VLOOKUP(B24,Pricing!$B$73:$C$84,2,FALSE)</f>
        <v>200</v>
      </c>
      <c r="N24" s="54">
        <f t="shared" si="16"/>
        <v>162.01157721295672</v>
      </c>
      <c r="P24" s="57">
        <v>50000</v>
      </c>
      <c r="V24" s="34">
        <v>4300</v>
      </c>
      <c r="W24" s="54">
        <f t="shared" si="17"/>
        <v>580.5</v>
      </c>
      <c r="X24" s="43">
        <f t="shared" si="18"/>
        <v>11.627906976744185</v>
      </c>
      <c r="Y24" s="40">
        <v>15</v>
      </c>
      <c r="AA24" s="56">
        <f t="shared" si="22"/>
        <v>0.27001929535492791</v>
      </c>
      <c r="AB24" s="51">
        <f t="shared" si="23"/>
        <v>1.2000857571330128</v>
      </c>
      <c r="AC24" s="224">
        <f t="shared" si="24"/>
        <v>13.500964767746392</v>
      </c>
      <c r="AD24" s="34">
        <f t="shared" si="25"/>
        <v>92</v>
      </c>
      <c r="AE24" s="226">
        <f t="shared" si="26"/>
        <v>0.40528634361233484</v>
      </c>
      <c r="AF24" s="50">
        <f t="shared" si="27"/>
        <v>2.186496970605134E-2</v>
      </c>
      <c r="AG24" s="50">
        <f t="shared" si="28"/>
        <v>1.76099540448866</v>
      </c>
      <c r="AH24" s="54">
        <f t="shared" si="29"/>
        <v>395.6</v>
      </c>
    </row>
    <row r="25" spans="1:34">
      <c r="B25" s="34" t="str">
        <f t="shared" si="19"/>
        <v>LED 135W</v>
      </c>
      <c r="C25" s="106" t="s">
        <v>516</v>
      </c>
      <c r="E25" s="106">
        <v>135</v>
      </c>
      <c r="F25" s="354">
        <f t="shared" si="20"/>
        <v>113.82352941176471</v>
      </c>
      <c r="H25" s="106">
        <v>12000</v>
      </c>
      <c r="J25" s="54">
        <f t="shared" si="21"/>
        <v>88.888888888888886</v>
      </c>
      <c r="M25" s="35">
        <f>VLOOKUP(B25,Pricing!$B$73:$C$84,2,FALSE)</f>
        <v>200</v>
      </c>
      <c r="N25" s="54">
        <f t="shared" si="16"/>
        <v>162.01157721295672</v>
      </c>
      <c r="P25" s="57">
        <v>50000</v>
      </c>
      <c r="V25" s="34">
        <v>4300</v>
      </c>
      <c r="W25" s="54">
        <f t="shared" si="17"/>
        <v>580.5</v>
      </c>
      <c r="X25" s="43">
        <f t="shared" si="18"/>
        <v>11.627906976744185</v>
      </c>
      <c r="Y25" s="40">
        <v>15</v>
      </c>
      <c r="AA25" s="56">
        <f t="shared" si="22"/>
        <v>0.27001929535492791</v>
      </c>
      <c r="AB25" s="51">
        <f t="shared" si="23"/>
        <v>1.2000857571330128</v>
      </c>
      <c r="AC25" s="224">
        <f t="shared" si="24"/>
        <v>13.500964767746392</v>
      </c>
      <c r="AD25" s="34">
        <f t="shared" si="25"/>
        <v>155</v>
      </c>
      <c r="AE25" s="226">
        <f t="shared" si="26"/>
        <v>0.53448275862068972</v>
      </c>
      <c r="AF25" s="50">
        <f t="shared" si="27"/>
        <v>1.2977917502946601E-2</v>
      </c>
      <c r="AG25" s="50">
        <f t="shared" si="28"/>
        <v>1.0452359820190755</v>
      </c>
      <c r="AH25" s="54">
        <f t="shared" si="29"/>
        <v>666.5</v>
      </c>
    </row>
    <row r="26" spans="1:34">
      <c r="B26" s="34" t="str">
        <f t="shared" si="19"/>
        <v>LED 135W</v>
      </c>
      <c r="C26" s="106" t="s">
        <v>780</v>
      </c>
      <c r="E26" s="106">
        <v>135</v>
      </c>
      <c r="F26" s="354">
        <f t="shared" si="20"/>
        <v>113.82352941176471</v>
      </c>
      <c r="H26" s="106">
        <v>12000</v>
      </c>
      <c r="J26" s="54">
        <f t="shared" si="21"/>
        <v>88.888888888888886</v>
      </c>
      <c r="M26" s="35">
        <f>VLOOKUP(B26,Pricing!$B$73:$C$84,2,FALSE)</f>
        <v>200</v>
      </c>
      <c r="N26" s="54">
        <f t="shared" si="16"/>
        <v>162.01157721295672</v>
      </c>
      <c r="P26" s="57">
        <v>50000</v>
      </c>
      <c r="V26" s="34">
        <v>4300</v>
      </c>
      <c r="W26" s="54">
        <f t="shared" si="17"/>
        <v>580.5</v>
      </c>
      <c r="X26" s="43">
        <f t="shared" si="18"/>
        <v>11.627906976744185</v>
      </c>
      <c r="Y26" s="40">
        <v>15</v>
      </c>
      <c r="AA26" s="56">
        <f t="shared" si="22"/>
        <v>0.27001929535492791</v>
      </c>
      <c r="AB26" s="51">
        <f t="shared" si="23"/>
        <v>1.2000857571330128</v>
      </c>
      <c r="AC26" s="224">
        <f t="shared" si="24"/>
        <v>13.500964767746392</v>
      </c>
      <c r="AD26" s="34">
        <f t="shared" si="25"/>
        <v>155</v>
      </c>
      <c r="AE26" s="226">
        <f t="shared" si="26"/>
        <v>0.53448275862068972</v>
      </c>
      <c r="AF26" s="50">
        <f t="shared" si="27"/>
        <v>1.2977917502946601E-2</v>
      </c>
      <c r="AG26" s="50">
        <f t="shared" si="28"/>
        <v>1.0452359820190755</v>
      </c>
      <c r="AH26" s="54">
        <f t="shared" si="29"/>
        <v>666.5</v>
      </c>
    </row>
    <row r="27" spans="1:34">
      <c r="B27" s="34" t="str">
        <f t="shared" si="19"/>
        <v>LED 180W</v>
      </c>
      <c r="C27" s="106" t="s">
        <v>517</v>
      </c>
      <c r="E27" s="106">
        <v>180</v>
      </c>
      <c r="F27" s="354">
        <f t="shared" si="20"/>
        <v>151.76470588235293</v>
      </c>
      <c r="G27" s="106"/>
      <c r="H27" s="106">
        <v>17000</v>
      </c>
      <c r="I27" s="106"/>
      <c r="J27" s="54">
        <f t="shared" si="21"/>
        <v>94.444444444444443</v>
      </c>
      <c r="K27" s="106"/>
      <c r="L27" s="106"/>
      <c r="M27" s="35">
        <f>VLOOKUP(B27,Pricing!$B$73:$C$84,2,FALSE)</f>
        <v>400</v>
      </c>
      <c r="N27" s="54">
        <f t="shared" si="16"/>
        <v>324.02315442591345</v>
      </c>
      <c r="P27" s="57">
        <v>50000</v>
      </c>
      <c r="V27" s="34">
        <v>4300</v>
      </c>
      <c r="W27" s="54">
        <f t="shared" si="17"/>
        <v>774</v>
      </c>
      <c r="X27" s="43">
        <f t="shared" si="18"/>
        <v>11.627906976744185</v>
      </c>
      <c r="Y27" s="40">
        <v>15</v>
      </c>
      <c r="AA27" s="56">
        <f t="shared" si="22"/>
        <v>0.38120371108930995</v>
      </c>
      <c r="AB27" s="51">
        <f t="shared" si="23"/>
        <v>1.8001286356995192</v>
      </c>
      <c r="AC27" s="224">
        <f t="shared" si="24"/>
        <v>19.060185554465498</v>
      </c>
      <c r="AD27" s="34">
        <f t="shared" si="25"/>
        <v>268</v>
      </c>
      <c r="AE27" s="226">
        <f t="shared" si="26"/>
        <v>0.5982142857142857</v>
      </c>
      <c r="AF27" s="50">
        <f t="shared" si="27"/>
        <v>0.50008639711161729</v>
      </c>
      <c r="AG27" s="50">
        <f t="shared" si="28"/>
        <v>1.2090416209922143</v>
      </c>
      <c r="AH27" s="54">
        <f t="shared" si="29"/>
        <v>1152.4000000000001</v>
      </c>
    </row>
    <row r="28" spans="1:34">
      <c r="B28" s="34" t="str">
        <f t="shared" si="19"/>
        <v>LED 180W</v>
      </c>
      <c r="C28" s="106" t="s">
        <v>781</v>
      </c>
      <c r="E28" s="106">
        <v>180</v>
      </c>
      <c r="F28" s="354">
        <f t="shared" si="20"/>
        <v>151.76470588235293</v>
      </c>
      <c r="G28" s="106"/>
      <c r="H28" s="106">
        <v>17000</v>
      </c>
      <c r="I28" s="106"/>
      <c r="J28" s="54">
        <f t="shared" si="21"/>
        <v>94.444444444444443</v>
      </c>
      <c r="K28" s="106"/>
      <c r="L28" s="106"/>
      <c r="M28" s="35">
        <f>VLOOKUP(B28,Pricing!$B$73:$C$84,2,FALSE)</f>
        <v>400</v>
      </c>
      <c r="N28" s="54">
        <f t="shared" si="16"/>
        <v>324.02315442591345</v>
      </c>
      <c r="P28" s="57">
        <v>50000</v>
      </c>
      <c r="V28" s="34">
        <v>4300</v>
      </c>
      <c r="W28" s="54">
        <f t="shared" si="17"/>
        <v>774</v>
      </c>
      <c r="X28" s="43">
        <f t="shared" si="18"/>
        <v>11.627906976744185</v>
      </c>
      <c r="Y28" s="40">
        <v>15</v>
      </c>
      <c r="AA28" s="56">
        <f t="shared" si="22"/>
        <v>0.38120371108930995</v>
      </c>
      <c r="AB28" s="51">
        <f t="shared" si="23"/>
        <v>1.8001286356995192</v>
      </c>
      <c r="AC28" s="224">
        <f t="shared" si="24"/>
        <v>19.060185554465498</v>
      </c>
      <c r="AD28" s="34">
        <f t="shared" si="25"/>
        <v>268</v>
      </c>
      <c r="AE28" s="226">
        <f t="shared" si="26"/>
        <v>0.5982142857142857</v>
      </c>
      <c r="AF28" s="50">
        <f t="shared" si="27"/>
        <v>0.50008639711161729</v>
      </c>
      <c r="AG28" s="50">
        <f t="shared" si="28"/>
        <v>1.2090416209922143</v>
      </c>
      <c r="AH28" s="54">
        <f t="shared" si="29"/>
        <v>1152.4000000000001</v>
      </c>
    </row>
    <row r="29" spans="1:34">
      <c r="B29" s="34" t="str">
        <f t="shared" si="19"/>
        <v>LED 421W</v>
      </c>
      <c r="C29" s="106" t="s">
        <v>518</v>
      </c>
      <c r="E29" s="106">
        <v>421</v>
      </c>
      <c r="F29" s="354">
        <f t="shared" si="20"/>
        <v>354.96078431372547</v>
      </c>
      <c r="G29" s="106"/>
      <c r="H29" s="106">
        <v>41000</v>
      </c>
      <c r="I29" s="106"/>
      <c r="J29" s="54">
        <f t="shared" si="21"/>
        <v>97.387173396674584</v>
      </c>
      <c r="K29" s="106"/>
      <c r="L29" s="106"/>
      <c r="M29" s="35">
        <f>VLOOKUP(B29,Pricing!$B$73:$C$84,2,FALSE)</f>
        <v>1200</v>
      </c>
      <c r="N29" s="54">
        <f t="shared" si="16"/>
        <v>972.0694632777404</v>
      </c>
      <c r="P29" s="57">
        <v>50000</v>
      </c>
      <c r="V29" s="34">
        <v>4300</v>
      </c>
      <c r="W29" s="54">
        <f t="shared" si="17"/>
        <v>1810.3</v>
      </c>
      <c r="X29" s="43">
        <f t="shared" si="18"/>
        <v>11.627906976744185</v>
      </c>
      <c r="Y29" s="40">
        <v>15</v>
      </c>
      <c r="AA29" s="56">
        <f t="shared" si="22"/>
        <v>0.47418022598914167</v>
      </c>
      <c r="AB29" s="51">
        <f t="shared" si="23"/>
        <v>2.3089535944839441</v>
      </c>
      <c r="AC29" s="224">
        <f t="shared" si="24"/>
        <v>23.709011299457082</v>
      </c>
      <c r="AD29" s="34">
        <f t="shared" si="25"/>
        <v>679</v>
      </c>
      <c r="AE29" s="226">
        <f t="shared" si="26"/>
        <v>0.6172727272727272</v>
      </c>
      <c r="AF29" s="50">
        <f t="shared" si="27"/>
        <v>0.78360745696279877</v>
      </c>
      <c r="AG29" s="50">
        <f t="shared" si="28"/>
        <v>1.4316192389951994</v>
      </c>
      <c r="AH29" s="54">
        <f t="shared" si="29"/>
        <v>2919.7</v>
      </c>
    </row>
    <row r="30" spans="1:34">
      <c r="B30" s="34" t="str">
        <f t="shared" si="19"/>
        <v>LED 421W</v>
      </c>
      <c r="C30" s="106" t="s">
        <v>782</v>
      </c>
      <c r="E30" s="106">
        <v>421</v>
      </c>
      <c r="F30" s="354">
        <f t="shared" si="20"/>
        <v>354.96078431372547</v>
      </c>
      <c r="G30" s="106"/>
      <c r="H30" s="106">
        <v>41000</v>
      </c>
      <c r="I30" s="106"/>
      <c r="J30" s="54">
        <f t="shared" si="21"/>
        <v>97.387173396674584</v>
      </c>
      <c r="K30" s="106"/>
      <c r="L30" s="106"/>
      <c r="M30" s="35">
        <f>VLOOKUP(B30,Pricing!$B$73:$C$84,2,FALSE)</f>
        <v>1200</v>
      </c>
      <c r="N30" s="54">
        <f t="shared" si="16"/>
        <v>972.0694632777404</v>
      </c>
      <c r="P30" s="57">
        <v>50000</v>
      </c>
      <c r="V30" s="34">
        <v>4300</v>
      </c>
      <c r="W30" s="54">
        <f t="shared" si="17"/>
        <v>1810.3</v>
      </c>
      <c r="X30" s="43">
        <f t="shared" si="18"/>
        <v>11.627906976744185</v>
      </c>
      <c r="Y30" s="40">
        <v>15</v>
      </c>
      <c r="AA30" s="56">
        <f t="shared" si="22"/>
        <v>0.47418022598914167</v>
      </c>
      <c r="AB30" s="51">
        <f t="shared" si="23"/>
        <v>2.3089535944839441</v>
      </c>
      <c r="AC30" s="224">
        <f t="shared" si="24"/>
        <v>23.709011299457082</v>
      </c>
      <c r="AD30" s="34">
        <f t="shared" ref="AD30" si="30">E18-E30</f>
        <v>679</v>
      </c>
      <c r="AE30" s="226">
        <f t="shared" ref="AE30" si="31">1-(E30/E18)</f>
        <v>0.6172727272727272</v>
      </c>
      <c r="AF30" s="50">
        <f t="shared" si="27"/>
        <v>0.78360745696279877</v>
      </c>
      <c r="AG30" s="50">
        <f t="shared" si="28"/>
        <v>1.4316192389951994</v>
      </c>
      <c r="AH30" s="54">
        <f t="shared" si="29"/>
        <v>2919.7</v>
      </c>
    </row>
    <row r="31" spans="1:34">
      <c r="F31" s="354"/>
    </row>
  </sheetData>
  <hyperlinks>
    <hyperlink ref="Z7" r:id="rId1"/>
  </hyperlinks>
  <pageMargins left="0.75" right="0.75" top="1" bottom="1" header="0.5" footer="0.5"/>
  <headerFooter alignWithMargins="0"/>
  <legacyDrawing r:id="rId2"/>
</worksheet>
</file>

<file path=xl/worksheets/sheet15.xml><?xml version="1.0" encoding="utf-8"?>
<worksheet xmlns="http://schemas.openxmlformats.org/spreadsheetml/2006/main" xmlns:r="http://schemas.openxmlformats.org/officeDocument/2006/relationships">
  <sheetPr codeName="Sheet7"/>
  <dimension ref="B4:AH84"/>
  <sheetViews>
    <sheetView topLeftCell="J22" workbookViewId="0">
      <selection activeCell="U8" sqref="U8"/>
    </sheetView>
  </sheetViews>
  <sheetFormatPr defaultRowHeight="12.75"/>
  <cols>
    <col min="2" max="2" width="20.7109375" customWidth="1"/>
    <col min="4" max="4" width="25.28515625" customWidth="1"/>
    <col min="18" max="18" width="12.28515625" customWidth="1"/>
    <col min="20" max="20" width="14.28515625" customWidth="1"/>
    <col min="25" max="25" width="11.5703125" customWidth="1"/>
  </cols>
  <sheetData>
    <row r="4" spans="2:26">
      <c r="B4" t="s">
        <v>455</v>
      </c>
    </row>
    <row r="5" spans="2:26">
      <c r="O5" s="267" t="s">
        <v>499</v>
      </c>
      <c r="P5" s="267"/>
      <c r="Q5" s="267"/>
      <c r="R5" s="267"/>
      <c r="S5" s="267"/>
      <c r="T5" s="267"/>
      <c r="U5" s="267"/>
      <c r="V5" s="267"/>
      <c r="W5" s="267"/>
      <c r="X5" s="267"/>
      <c r="Y5" s="267"/>
      <c r="Z5" s="267"/>
    </row>
    <row r="6" spans="2:26" ht="15.75">
      <c r="O6" s="315" t="s">
        <v>472</v>
      </c>
      <c r="P6" s="315"/>
      <c r="Q6" s="315"/>
      <c r="R6" s="315"/>
      <c r="S6" s="315"/>
      <c r="T6" s="315"/>
      <c r="U6" s="315"/>
      <c r="V6" s="315"/>
      <c r="W6" s="315"/>
      <c r="X6" s="315"/>
      <c r="Y6" s="315"/>
      <c r="Z6" s="315"/>
    </row>
    <row r="7" spans="2:26" ht="63">
      <c r="O7" s="211" t="s">
        <v>500</v>
      </c>
      <c r="P7" s="212" t="s">
        <v>473</v>
      </c>
      <c r="Q7" s="211" t="s">
        <v>474</v>
      </c>
      <c r="R7" s="211" t="s">
        <v>475</v>
      </c>
      <c r="S7" s="210"/>
      <c r="T7" s="211" t="s">
        <v>476</v>
      </c>
      <c r="U7" s="211" t="s">
        <v>474</v>
      </c>
      <c r="V7" s="211" t="s">
        <v>475</v>
      </c>
      <c r="W7" s="211"/>
      <c r="X7" s="211" t="s">
        <v>477</v>
      </c>
      <c r="Y7" s="211" t="s">
        <v>478</v>
      </c>
      <c r="Z7" s="211" t="s">
        <v>479</v>
      </c>
    </row>
    <row r="8" spans="2:26" ht="15.75">
      <c r="O8" s="210">
        <v>100</v>
      </c>
      <c r="P8" s="213">
        <v>128</v>
      </c>
      <c r="Q8" s="214">
        <v>122</v>
      </c>
      <c r="R8" s="214">
        <f>V25</f>
        <v>56</v>
      </c>
      <c r="S8" s="210"/>
      <c r="T8" s="215" t="s">
        <v>501</v>
      </c>
      <c r="U8" s="216">
        <v>155</v>
      </c>
      <c r="V8" s="217">
        <v>8</v>
      </c>
      <c r="W8" s="210"/>
      <c r="X8" s="218">
        <f>U8-Q8</f>
        <v>33</v>
      </c>
      <c r="Y8" s="218">
        <f t="shared" ref="Y8:Y13" si="0">R8-V8</f>
        <v>48</v>
      </c>
      <c r="Z8" s="210"/>
    </row>
    <row r="9" spans="2:26" ht="15.75">
      <c r="O9" s="210">
        <v>200</v>
      </c>
      <c r="P9" s="213">
        <v>230</v>
      </c>
      <c r="Q9" s="214">
        <v>163</v>
      </c>
      <c r="R9" s="214">
        <f>R8</f>
        <v>56</v>
      </c>
      <c r="S9" s="210"/>
      <c r="T9" s="214" t="s">
        <v>480</v>
      </c>
      <c r="U9" s="216">
        <v>325</v>
      </c>
      <c r="V9" s="217">
        <f>V8</f>
        <v>8</v>
      </c>
      <c r="W9" s="210"/>
      <c r="X9" s="218">
        <f>U9-Q9</f>
        <v>162</v>
      </c>
      <c r="Y9" s="218">
        <f t="shared" si="0"/>
        <v>48</v>
      </c>
      <c r="Z9" s="210"/>
    </row>
    <row r="10" spans="2:26" ht="15.75">
      <c r="O10" s="210">
        <v>250</v>
      </c>
      <c r="P10" s="213">
        <v>292</v>
      </c>
      <c r="Q10" s="214">
        <v>159</v>
      </c>
      <c r="R10" s="214">
        <f t="shared" ref="R10:R11" si="1">R9</f>
        <v>56</v>
      </c>
      <c r="S10" s="210"/>
      <c r="T10" s="214" t="s">
        <v>480</v>
      </c>
      <c r="U10" s="216">
        <v>325</v>
      </c>
      <c r="V10" s="217">
        <f>V9</f>
        <v>8</v>
      </c>
      <c r="W10" s="210"/>
      <c r="X10" s="218">
        <f>U10-Q10</f>
        <v>166</v>
      </c>
      <c r="Y10" s="218">
        <f t="shared" si="0"/>
        <v>48</v>
      </c>
      <c r="Z10" s="210"/>
    </row>
    <row r="11" spans="2:26" ht="15.75">
      <c r="O11" s="210">
        <v>400</v>
      </c>
      <c r="P11" s="213">
        <v>458</v>
      </c>
      <c r="Q11" s="214">
        <v>186</v>
      </c>
      <c r="R11" s="214">
        <f t="shared" si="1"/>
        <v>56</v>
      </c>
      <c r="S11" s="210"/>
      <c r="T11" s="214" t="s">
        <v>481</v>
      </c>
      <c r="U11" s="216">
        <v>500</v>
      </c>
      <c r="V11" s="217">
        <f>V10</f>
        <v>8</v>
      </c>
      <c r="W11" s="210"/>
      <c r="X11" s="218">
        <f>U11-Q11</f>
        <v>314</v>
      </c>
      <c r="Y11" s="218">
        <f t="shared" si="0"/>
        <v>48</v>
      </c>
      <c r="Z11" s="210"/>
    </row>
    <row r="12" spans="2:26" ht="15.75">
      <c r="O12" s="213">
        <v>1000</v>
      </c>
      <c r="P12" s="213">
        <v>1100</v>
      </c>
      <c r="Q12" s="216">
        <v>440</v>
      </c>
      <c r="R12" s="216">
        <v>80</v>
      </c>
      <c r="S12" s="210"/>
      <c r="T12" s="216" t="s">
        <v>482</v>
      </c>
      <c r="U12" s="216">
        <v>1200</v>
      </c>
      <c r="V12" s="217">
        <v>12</v>
      </c>
      <c r="W12" s="210"/>
      <c r="X12" s="218">
        <f>U12-Q12</f>
        <v>760</v>
      </c>
      <c r="Y12" s="218">
        <f t="shared" si="0"/>
        <v>68</v>
      </c>
      <c r="Z12" s="210"/>
    </row>
    <row r="13" spans="2:26" ht="15.75">
      <c r="O13" s="210">
        <v>1000</v>
      </c>
      <c r="P13" s="213">
        <v>1100</v>
      </c>
      <c r="Q13" s="214" t="s">
        <v>483</v>
      </c>
      <c r="R13" s="214"/>
      <c r="S13" s="210"/>
      <c r="T13" s="214" t="s">
        <v>484</v>
      </c>
      <c r="U13" s="214">
        <v>325</v>
      </c>
      <c r="V13" s="219"/>
      <c r="W13" s="210"/>
      <c r="X13" s="218">
        <f>U13</f>
        <v>325</v>
      </c>
      <c r="Y13" s="218">
        <f t="shared" si="0"/>
        <v>0</v>
      </c>
      <c r="Z13" s="210" t="s">
        <v>485</v>
      </c>
    </row>
    <row r="14" spans="2:26" ht="15.75">
      <c r="O14" s="210"/>
      <c r="P14" s="210"/>
      <c r="Q14" s="210"/>
      <c r="R14" s="210"/>
      <c r="S14" s="210"/>
      <c r="T14" s="210"/>
      <c r="U14" s="210"/>
      <c r="V14" s="210"/>
      <c r="W14" s="210"/>
      <c r="X14" s="210"/>
      <c r="Y14" s="210"/>
      <c r="Z14" s="210"/>
    </row>
    <row r="15" spans="2:26" ht="15.75">
      <c r="O15" s="210"/>
      <c r="P15" s="210"/>
      <c r="Q15" s="210"/>
      <c r="R15" s="210"/>
      <c r="S15" s="210"/>
      <c r="T15" s="220" t="s">
        <v>479</v>
      </c>
      <c r="U15" s="210"/>
      <c r="V15" s="210"/>
      <c r="W15" s="210"/>
      <c r="X15" s="210"/>
      <c r="Y15" s="210"/>
      <c r="Z15" s="210"/>
    </row>
    <row r="16" spans="2:26" ht="15.75">
      <c r="O16" s="210"/>
      <c r="P16" s="210"/>
      <c r="Q16" s="210"/>
      <c r="R16" s="210"/>
      <c r="S16" s="210"/>
      <c r="T16" s="214" t="s">
        <v>486</v>
      </c>
      <c r="U16" s="210"/>
      <c r="V16" s="210"/>
      <c r="W16" s="210"/>
      <c r="X16" s="210"/>
      <c r="Y16" s="210"/>
      <c r="Z16" s="210"/>
    </row>
    <row r="17" spans="15:34" ht="15.75">
      <c r="O17" s="210"/>
      <c r="P17" s="210"/>
      <c r="Q17" s="210"/>
      <c r="R17" s="210"/>
      <c r="S17" s="210"/>
      <c r="T17" s="214" t="s">
        <v>487</v>
      </c>
      <c r="U17" s="210"/>
      <c r="V17" s="210"/>
      <c r="W17" s="210"/>
      <c r="X17" s="210"/>
      <c r="Y17" s="219">
        <v>30</v>
      </c>
      <c r="Z17" s="210"/>
    </row>
    <row r="18" spans="15:34" ht="15.75">
      <c r="O18" s="210"/>
      <c r="P18" s="210"/>
      <c r="Q18" s="210"/>
      <c r="R18" s="210"/>
      <c r="S18" s="210"/>
      <c r="T18" s="214" t="s">
        <v>488</v>
      </c>
      <c r="U18" s="210"/>
      <c r="V18" s="210"/>
      <c r="W18" s="210"/>
      <c r="X18" s="210"/>
      <c r="Y18" s="219">
        <v>5.51</v>
      </c>
      <c r="Z18" s="210"/>
    </row>
    <row r="19" spans="15:34" ht="15.75">
      <c r="O19" s="210"/>
      <c r="P19" s="210"/>
      <c r="Q19" s="210"/>
      <c r="R19" s="210"/>
      <c r="S19" s="210"/>
      <c r="T19" s="214" t="s">
        <v>489</v>
      </c>
      <c r="U19" s="210"/>
      <c r="V19" s="210"/>
      <c r="W19" s="210"/>
      <c r="X19" s="210"/>
      <c r="Y19" s="221">
        <v>100000</v>
      </c>
      <c r="Z19" s="222">
        <f>Y19/4300</f>
        <v>23.255813953488371</v>
      </c>
    </row>
    <row r="20" spans="15:34" ht="15.75">
      <c r="O20" s="210"/>
      <c r="P20" s="210"/>
      <c r="Q20" s="210"/>
      <c r="R20" s="210"/>
      <c r="S20" s="210"/>
      <c r="T20" s="214" t="s">
        <v>490</v>
      </c>
      <c r="U20" s="210"/>
      <c r="V20" s="210"/>
      <c r="W20" s="210"/>
      <c r="X20" s="210"/>
      <c r="Y20" s="221">
        <v>20000</v>
      </c>
      <c r="Z20" s="222">
        <f>Y20/4300</f>
        <v>4.6511627906976747</v>
      </c>
    </row>
    <row r="21" spans="15:34" ht="15.75">
      <c r="O21" s="210"/>
      <c r="P21" s="210"/>
      <c r="Q21" s="210"/>
      <c r="R21" s="210"/>
      <c r="S21" s="210"/>
      <c r="T21" s="214" t="s">
        <v>491</v>
      </c>
      <c r="U21" s="210"/>
      <c r="V21" s="210"/>
      <c r="W21" s="210"/>
      <c r="X21" s="210"/>
      <c r="Y21" s="219">
        <v>100</v>
      </c>
      <c r="Z21" s="210"/>
    </row>
    <row r="22" spans="15:34" ht="15.75">
      <c r="O22" s="210"/>
      <c r="P22" s="210"/>
      <c r="Q22" s="210"/>
      <c r="R22" s="210"/>
      <c r="S22" s="210"/>
      <c r="T22" s="214" t="s">
        <v>492</v>
      </c>
      <c r="U22" s="210"/>
      <c r="V22" s="210"/>
      <c r="W22" s="210"/>
      <c r="X22" s="210"/>
      <c r="Y22" s="210"/>
      <c r="Z22" s="222"/>
    </row>
    <row r="23" spans="15:34" ht="15.75">
      <c r="O23" s="210"/>
      <c r="P23" s="210"/>
      <c r="Q23" s="210"/>
      <c r="R23" s="210"/>
      <c r="S23" s="210"/>
      <c r="T23" s="210"/>
      <c r="U23" s="210"/>
      <c r="V23" s="210"/>
      <c r="W23" s="210"/>
      <c r="X23" s="210"/>
      <c r="Y23" s="210"/>
      <c r="Z23" s="222"/>
    </row>
    <row r="24" spans="15:34" ht="47.25">
      <c r="O24" s="210"/>
      <c r="P24" s="210"/>
      <c r="Q24" s="210"/>
      <c r="R24" s="210"/>
      <c r="S24" s="210"/>
      <c r="T24" s="210"/>
      <c r="U24" s="211" t="s">
        <v>493</v>
      </c>
      <c r="V24" s="211" t="s">
        <v>494</v>
      </c>
      <c r="W24" s="210"/>
      <c r="X24" s="210"/>
      <c r="Y24" s="210"/>
      <c r="Z24" s="222"/>
    </row>
    <row r="25" spans="15:34" ht="15.75">
      <c r="O25" s="210"/>
      <c r="P25" s="210"/>
      <c r="Q25" s="210"/>
      <c r="R25" s="210"/>
      <c r="S25" s="210"/>
      <c r="T25" s="214" t="s">
        <v>495</v>
      </c>
      <c r="U25" s="219">
        <f>ROUND(AVERAGE(U26:U28),0)</f>
        <v>118</v>
      </c>
      <c r="V25" s="219">
        <f>ROUND(AVERAGE(V26:V28),0)</f>
        <v>56</v>
      </c>
      <c r="W25" s="210"/>
      <c r="X25" s="210"/>
      <c r="Y25" s="210"/>
      <c r="Z25" s="222"/>
    </row>
    <row r="26" spans="15:34" ht="15.75">
      <c r="O26" s="210"/>
      <c r="P26" s="210"/>
      <c r="Q26" s="210"/>
      <c r="R26" s="210"/>
      <c r="S26" s="210"/>
      <c r="T26" s="214" t="s">
        <v>496</v>
      </c>
      <c r="U26" s="219">
        <v>144.15</v>
      </c>
      <c r="V26" s="223">
        <f>U26*V27/U27</f>
        <v>63.50896402877698</v>
      </c>
      <c r="W26" s="210"/>
      <c r="X26" s="210"/>
      <c r="Y26" s="210"/>
      <c r="Z26" s="222"/>
    </row>
    <row r="27" spans="15:34" ht="15.75">
      <c r="O27" s="210"/>
      <c r="P27" s="210"/>
      <c r="Q27" s="210"/>
      <c r="R27" s="210"/>
      <c r="S27" s="210"/>
      <c r="T27" s="214" t="s">
        <v>497</v>
      </c>
      <c r="U27" s="219">
        <v>104.25</v>
      </c>
      <c r="V27" s="219">
        <v>45.93</v>
      </c>
      <c r="W27" s="210"/>
      <c r="X27" s="210"/>
      <c r="Y27" s="210"/>
      <c r="Z27" s="222"/>
    </row>
    <row r="28" spans="15:34" ht="15.75">
      <c r="O28" s="210"/>
      <c r="P28" s="210"/>
      <c r="Q28" s="210"/>
      <c r="R28" s="210"/>
      <c r="S28" s="210"/>
      <c r="T28" s="214" t="s">
        <v>498</v>
      </c>
      <c r="U28" s="219">
        <v>105.43</v>
      </c>
      <c r="V28" s="219">
        <v>59.94</v>
      </c>
      <c r="W28" s="210"/>
      <c r="X28" s="210"/>
      <c r="Y28" s="210"/>
      <c r="Z28" s="210"/>
    </row>
    <row r="32" spans="15:34">
      <c r="O32" s="301" t="s">
        <v>947</v>
      </c>
      <c r="P32" s="302"/>
      <c r="Q32" s="302"/>
      <c r="R32" s="267"/>
      <c r="S32" s="303" t="s">
        <v>812</v>
      </c>
      <c r="T32" s="267"/>
      <c r="U32" s="267"/>
      <c r="V32" s="267"/>
      <c r="W32" s="301" t="s">
        <v>811</v>
      </c>
      <c r="X32" s="302"/>
      <c r="Y32" s="302"/>
      <c r="Z32" s="303" t="s">
        <v>812</v>
      </c>
      <c r="AA32" s="302"/>
      <c r="AB32" s="302"/>
      <c r="AC32" s="302"/>
      <c r="AD32" s="289"/>
      <c r="AE32" s="289"/>
      <c r="AF32" s="289"/>
      <c r="AG32" s="289"/>
      <c r="AH32" s="290"/>
    </row>
    <row r="33" spans="15:34">
      <c r="W33" s="304"/>
      <c r="X33" s="305"/>
      <c r="Y33" s="305"/>
      <c r="Z33" s="305"/>
      <c r="AA33" s="305"/>
      <c r="AB33" s="305"/>
      <c r="AC33" s="305"/>
      <c r="AD33" s="292"/>
      <c r="AE33" s="292"/>
      <c r="AF33" s="292"/>
      <c r="AG33" s="292"/>
      <c r="AH33" s="293"/>
    </row>
    <row r="34" spans="15:34">
      <c r="O34" s="301" t="s">
        <v>946</v>
      </c>
      <c r="P34" s="302" t="s">
        <v>809</v>
      </c>
      <c r="Q34" s="302"/>
      <c r="R34" s="302"/>
      <c r="S34" s="302"/>
      <c r="T34" s="302"/>
      <c r="U34" s="359"/>
      <c r="W34" s="304" t="s">
        <v>808</v>
      </c>
      <c r="X34" s="305" t="s">
        <v>809</v>
      </c>
      <c r="Y34" s="305"/>
      <c r="Z34" s="305"/>
      <c r="AA34" s="305"/>
      <c r="AB34" s="305"/>
      <c r="AC34" s="305"/>
      <c r="AD34" s="292"/>
      <c r="AE34" s="292"/>
      <c r="AF34" s="292"/>
      <c r="AG34" s="292"/>
      <c r="AH34" s="293"/>
    </row>
    <row r="35" spans="15:34">
      <c r="O35" s="304" t="s">
        <v>810</v>
      </c>
      <c r="P35" s="305">
        <v>2010</v>
      </c>
      <c r="Q35" s="305">
        <v>2011</v>
      </c>
      <c r="R35" s="305">
        <v>2012</v>
      </c>
      <c r="S35" s="305">
        <v>2013</v>
      </c>
      <c r="T35" s="305">
        <v>2014</v>
      </c>
      <c r="U35" s="360" t="s">
        <v>132</v>
      </c>
      <c r="W35" s="304" t="s">
        <v>810</v>
      </c>
      <c r="X35" s="305">
        <v>2010</v>
      </c>
      <c r="Y35" s="305">
        <v>2011</v>
      </c>
      <c r="Z35" s="305">
        <v>2012</v>
      </c>
      <c r="AA35" s="305">
        <v>2013</v>
      </c>
      <c r="AB35" s="305">
        <v>2014</v>
      </c>
      <c r="AC35" s="305" t="s">
        <v>132</v>
      </c>
      <c r="AD35" s="292"/>
      <c r="AE35" s="292"/>
      <c r="AF35" s="292"/>
      <c r="AG35" s="292"/>
      <c r="AH35" s="293"/>
    </row>
    <row r="36" spans="15:34">
      <c r="O36" s="291">
        <v>38</v>
      </c>
      <c r="P36" s="361"/>
      <c r="Q36" s="361"/>
      <c r="R36" s="361"/>
      <c r="S36" s="361"/>
      <c r="T36" s="361">
        <v>247.35</v>
      </c>
      <c r="U36" s="362">
        <v>247.35</v>
      </c>
      <c r="W36" s="306">
        <v>38</v>
      </c>
      <c r="X36" s="307"/>
      <c r="Y36" s="307"/>
      <c r="Z36" s="307"/>
      <c r="AA36" s="307"/>
      <c r="AB36" s="307">
        <v>6.7105263157894735</v>
      </c>
      <c r="AC36" s="307">
        <v>6.7105263157894735</v>
      </c>
      <c r="AD36" s="292"/>
      <c r="AE36" s="292"/>
      <c r="AF36" s="292"/>
      <c r="AG36" s="292"/>
      <c r="AH36" s="293"/>
    </row>
    <row r="37" spans="15:34">
      <c r="O37" s="291">
        <v>52</v>
      </c>
      <c r="P37" s="361"/>
      <c r="Q37" s="361"/>
      <c r="R37" s="361">
        <v>227.76923076923077</v>
      </c>
      <c r="S37" s="361">
        <v>211.23808351202251</v>
      </c>
      <c r="T37" s="361"/>
      <c r="U37" s="362">
        <v>221.9833292292079</v>
      </c>
      <c r="W37" s="306">
        <v>52</v>
      </c>
      <c r="X37" s="307"/>
      <c r="Y37" s="307"/>
      <c r="Z37" s="307">
        <v>4.3801775147928987</v>
      </c>
      <c r="AA37" s="307">
        <v>4.1236263736263732</v>
      </c>
      <c r="AB37" s="307"/>
      <c r="AC37" s="307">
        <v>4.2903846153846157</v>
      </c>
      <c r="AD37" s="292"/>
      <c r="AE37" s="292"/>
      <c r="AF37" s="292"/>
      <c r="AG37" s="292"/>
      <c r="AH37" s="293"/>
    </row>
    <row r="38" spans="15:34">
      <c r="O38" s="291">
        <v>70</v>
      </c>
      <c r="P38" s="361"/>
      <c r="Q38" s="361">
        <v>281.74100180180659</v>
      </c>
      <c r="R38" s="361">
        <v>285</v>
      </c>
      <c r="S38" s="361"/>
      <c r="T38" s="361"/>
      <c r="U38" s="362">
        <v>283.08294223635681</v>
      </c>
      <c r="W38" s="306">
        <v>70</v>
      </c>
      <c r="X38" s="307">
        <v>4.0693877551020403</v>
      </c>
      <c r="Y38" s="307">
        <v>3.9579365079365072</v>
      </c>
      <c r="Z38" s="307">
        <v>4.0714285714285703</v>
      </c>
      <c r="AA38" s="307"/>
      <c r="AB38" s="307"/>
      <c r="AC38" s="307">
        <v>4.0071428571428562</v>
      </c>
      <c r="AD38" s="292"/>
      <c r="AE38" s="292"/>
      <c r="AF38" s="292"/>
      <c r="AG38" s="292"/>
      <c r="AH38" s="293"/>
    </row>
    <row r="39" spans="15:34">
      <c r="O39" s="291">
        <v>135</v>
      </c>
      <c r="P39" s="361"/>
      <c r="Q39" s="361"/>
      <c r="R39" s="361"/>
      <c r="S39" s="361">
        <v>222.63734051700175</v>
      </c>
      <c r="T39" s="361">
        <v>191.09</v>
      </c>
      <c r="U39" s="362">
        <v>201.60578017233391</v>
      </c>
      <c r="W39" s="306">
        <v>135</v>
      </c>
      <c r="X39" s="307"/>
      <c r="Y39" s="307"/>
      <c r="Z39" s="307"/>
      <c r="AA39" s="307">
        <v>1.674074074074074</v>
      </c>
      <c r="AB39" s="307">
        <v>1.4592592592592593</v>
      </c>
      <c r="AC39" s="307">
        <v>1.5308641975308641</v>
      </c>
      <c r="AD39" s="292"/>
      <c r="AE39" s="292"/>
      <c r="AF39" s="292"/>
      <c r="AG39" s="292"/>
      <c r="AH39" s="293"/>
    </row>
    <row r="40" spans="15:34">
      <c r="O40" s="291">
        <v>270</v>
      </c>
      <c r="P40" s="361"/>
      <c r="Q40" s="361"/>
      <c r="R40" s="361"/>
      <c r="S40" s="361">
        <v>702.39125570186832</v>
      </c>
      <c r="T40" s="361">
        <v>444.745</v>
      </c>
      <c r="U40" s="362">
        <v>496.27425114037368</v>
      </c>
      <c r="W40" s="306">
        <v>270</v>
      </c>
      <c r="X40" s="307"/>
      <c r="Y40" s="307"/>
      <c r="Z40" s="307"/>
      <c r="AA40" s="307">
        <v>2.6407407407407408</v>
      </c>
      <c r="AB40" s="307">
        <v>1.6981481481481482</v>
      </c>
      <c r="AC40" s="307">
        <v>1.8866666666666667</v>
      </c>
      <c r="AD40" s="292"/>
      <c r="AE40" s="292"/>
      <c r="AF40" s="292"/>
      <c r="AG40" s="292"/>
      <c r="AH40" s="293"/>
    </row>
    <row r="41" spans="15:34">
      <c r="O41" s="296" t="s">
        <v>132</v>
      </c>
      <c r="P41" s="363"/>
      <c r="Q41" s="363">
        <v>281.74100180180659</v>
      </c>
      <c r="R41" s="363">
        <v>247.8</v>
      </c>
      <c r="S41" s="363">
        <v>267.07724231144749</v>
      </c>
      <c r="T41" s="363">
        <v>344.07285714285712</v>
      </c>
      <c r="U41" s="364">
        <v>273.6003304091542</v>
      </c>
      <c r="W41" s="308" t="s">
        <v>132</v>
      </c>
      <c r="X41" s="309">
        <v>4.0693877551020403</v>
      </c>
      <c r="Y41" s="309">
        <v>3.9579365079365072</v>
      </c>
      <c r="Z41" s="309">
        <v>4.2721153846153843</v>
      </c>
      <c r="AA41" s="309">
        <v>3.6866888255777144</v>
      </c>
      <c r="AB41" s="309">
        <v>2.3459482038429407</v>
      </c>
      <c r="AC41" s="309">
        <v>3.8487330488193296</v>
      </c>
      <c r="AD41" s="310"/>
      <c r="AE41" s="310"/>
      <c r="AF41" s="310"/>
      <c r="AG41" s="310"/>
      <c r="AH41" s="311"/>
    </row>
    <row r="46" spans="15:34">
      <c r="O46" s="475" t="s">
        <v>845</v>
      </c>
      <c r="P46" s="475"/>
      <c r="Q46" s="475"/>
      <c r="R46" s="475"/>
      <c r="S46" s="314" t="s">
        <v>857</v>
      </c>
    </row>
    <row r="47" spans="15:34">
      <c r="O47" s="313" t="s">
        <v>848</v>
      </c>
      <c r="P47" s="313" t="s">
        <v>849</v>
      </c>
      <c r="Q47" s="313" t="s">
        <v>850</v>
      </c>
      <c r="R47" s="313" t="s">
        <v>851</v>
      </c>
    </row>
    <row r="48" spans="15:34">
      <c r="O48" s="189" t="s">
        <v>846</v>
      </c>
      <c r="P48" s="189" t="s">
        <v>847</v>
      </c>
      <c r="Q48" s="189">
        <v>29</v>
      </c>
      <c r="R48" s="312">
        <v>124</v>
      </c>
    </row>
    <row r="49" spans="15:21">
      <c r="O49" s="189" t="s">
        <v>852</v>
      </c>
      <c r="P49" s="189" t="s">
        <v>853</v>
      </c>
      <c r="Q49" s="189">
        <v>63</v>
      </c>
      <c r="R49" s="312">
        <v>167</v>
      </c>
    </row>
    <row r="50" spans="15:21">
      <c r="O50" s="189" t="s">
        <v>852</v>
      </c>
      <c r="P50" s="189" t="s">
        <v>854</v>
      </c>
      <c r="Q50" s="189">
        <v>89</v>
      </c>
      <c r="R50" s="312">
        <v>167</v>
      </c>
    </row>
    <row r="51" spans="15:21">
      <c r="O51" s="189" t="s">
        <v>855</v>
      </c>
      <c r="P51" s="189" t="s">
        <v>856</v>
      </c>
      <c r="Q51" s="189">
        <v>180</v>
      </c>
      <c r="R51" s="312">
        <v>289</v>
      </c>
      <c r="T51" s="339">
        <f>AVERAGE(R51,U11)</f>
        <v>394.5</v>
      </c>
      <c r="U51" t="s">
        <v>949</v>
      </c>
    </row>
    <row r="52" spans="15:21">
      <c r="O52" s="292"/>
      <c r="P52" s="292"/>
      <c r="Q52" s="292"/>
      <c r="R52" s="292"/>
    </row>
    <row r="53" spans="15:21">
      <c r="O53" s="292"/>
      <c r="P53" s="292"/>
      <c r="Q53" s="292"/>
      <c r="R53" s="292"/>
    </row>
    <row r="54" spans="15:21">
      <c r="O54" s="292"/>
      <c r="P54" s="292"/>
      <c r="Q54" s="292"/>
      <c r="R54" s="292"/>
    </row>
    <row r="55" spans="15:21">
      <c r="O55" s="313" t="s">
        <v>848</v>
      </c>
      <c r="P55" s="313" t="s">
        <v>849</v>
      </c>
      <c r="Q55" s="313" t="s">
        <v>850</v>
      </c>
      <c r="R55" s="313" t="s">
        <v>851</v>
      </c>
    </row>
    <row r="56" spans="15:21">
      <c r="O56" s="189" t="s">
        <v>858</v>
      </c>
      <c r="P56" s="189" t="s">
        <v>859</v>
      </c>
      <c r="Q56" s="189">
        <v>264</v>
      </c>
      <c r="R56" s="312">
        <v>900</v>
      </c>
    </row>
    <row r="57" spans="15:21">
      <c r="O57" s="189" t="s">
        <v>858</v>
      </c>
      <c r="P57" s="189" t="s">
        <v>859</v>
      </c>
      <c r="Q57" s="189">
        <v>421</v>
      </c>
      <c r="R57" s="312">
        <v>1200</v>
      </c>
    </row>
    <row r="70" spans="2:13">
      <c r="B70" s="267" t="s">
        <v>918</v>
      </c>
      <c r="C70" s="267"/>
      <c r="D70" s="267"/>
      <c r="E70" s="267"/>
      <c r="F70" s="267"/>
      <c r="G70" s="267"/>
      <c r="H70" s="267"/>
      <c r="I70" s="267"/>
      <c r="J70" s="267"/>
      <c r="K70" s="267"/>
      <c r="L70" s="267"/>
      <c r="M70" s="267"/>
    </row>
    <row r="72" spans="2:13">
      <c r="B72" s="267" t="s">
        <v>909</v>
      </c>
      <c r="C72" s="267" t="s">
        <v>911</v>
      </c>
      <c r="D72" s="267" t="s">
        <v>97</v>
      </c>
      <c r="E72" s="267"/>
      <c r="F72" s="267"/>
      <c r="G72" s="267"/>
      <c r="H72" s="267"/>
      <c r="I72" s="267"/>
      <c r="J72" s="267"/>
      <c r="K72" s="267"/>
      <c r="L72" s="267"/>
      <c r="M72" s="267"/>
    </row>
    <row r="73" spans="2:13">
      <c r="B73" s="34" t="s">
        <v>71</v>
      </c>
      <c r="C73" s="35">
        <v>122</v>
      </c>
      <c r="D73" t="s">
        <v>917</v>
      </c>
    </row>
    <row r="74" spans="2:13">
      <c r="B74" s="34" t="s">
        <v>523</v>
      </c>
      <c r="C74" s="35">
        <v>160</v>
      </c>
      <c r="D74" t="s">
        <v>917</v>
      </c>
    </row>
    <row r="75" spans="2:13">
      <c r="B75" s="34" t="s">
        <v>519</v>
      </c>
      <c r="C75" s="35">
        <v>160</v>
      </c>
      <c r="D75" t="s">
        <v>917</v>
      </c>
    </row>
    <row r="76" spans="2:13">
      <c r="B76" s="34" t="s">
        <v>520</v>
      </c>
      <c r="C76" s="35">
        <v>190</v>
      </c>
      <c r="D76" t="s">
        <v>917</v>
      </c>
    </row>
    <row r="77" spans="2:13">
      <c r="B77" s="34" t="s">
        <v>521</v>
      </c>
      <c r="C77" s="35">
        <v>440</v>
      </c>
    </row>
    <row r="79" spans="2:13">
      <c r="B79" s="267" t="s">
        <v>910</v>
      </c>
      <c r="C79" s="267"/>
      <c r="D79" s="267"/>
      <c r="E79" s="267"/>
      <c r="F79" s="267"/>
      <c r="G79" s="267"/>
      <c r="H79" s="267"/>
      <c r="I79" s="267"/>
      <c r="J79" s="267"/>
      <c r="K79" s="267"/>
      <c r="L79" s="267"/>
      <c r="M79" s="267"/>
    </row>
    <row r="80" spans="2:13">
      <c r="B80" s="34" t="s">
        <v>912</v>
      </c>
      <c r="C80" s="339">
        <v>140</v>
      </c>
      <c r="D80" t="s">
        <v>919</v>
      </c>
    </row>
    <row r="81" spans="2:4">
      <c r="B81" s="34" t="s">
        <v>913</v>
      </c>
      <c r="C81" s="339">
        <v>140</v>
      </c>
      <c r="D81" t="s">
        <v>919</v>
      </c>
    </row>
    <row r="82" spans="2:4">
      <c r="B82" s="34" t="s">
        <v>914</v>
      </c>
      <c r="C82" s="339">
        <v>200</v>
      </c>
      <c r="D82" t="s">
        <v>919</v>
      </c>
    </row>
    <row r="83" spans="2:4">
      <c r="B83" s="34" t="s">
        <v>948</v>
      </c>
      <c r="C83" s="339">
        <v>400</v>
      </c>
      <c r="D83" t="s">
        <v>919</v>
      </c>
    </row>
    <row r="84" spans="2:4">
      <c r="B84" s="34" t="s">
        <v>915</v>
      </c>
      <c r="C84" s="339">
        <v>1200</v>
      </c>
      <c r="D84" t="s">
        <v>920</v>
      </c>
    </row>
  </sheetData>
  <mergeCells count="1">
    <mergeCell ref="O46:R46"/>
  </mergeCells>
  <hyperlinks>
    <hyperlink ref="Z32" r:id="rId1"/>
    <hyperlink ref="S46" r:id="rId2"/>
    <hyperlink ref="S32" r:id="rId3"/>
  </hyperlinks>
  <pageMargins left="0.7" right="0.7" top="0.75" bottom="0.75" header="0.3" footer="0.3"/>
  <pageSetup orientation="portrait" r:id="rId4"/>
  <drawing r:id="rId5"/>
</worksheet>
</file>

<file path=xl/worksheets/sheet16.xml><?xml version="1.0" encoding="utf-8"?>
<worksheet xmlns="http://schemas.openxmlformats.org/spreadsheetml/2006/main" xmlns:r="http://schemas.openxmlformats.org/officeDocument/2006/relationships">
  <sheetPr codeName="Sheet8"/>
  <dimension ref="A1:L45"/>
  <sheetViews>
    <sheetView topLeftCell="A13" workbookViewId="0">
      <selection activeCell="D13" sqref="D13"/>
    </sheetView>
  </sheetViews>
  <sheetFormatPr defaultRowHeight="12.75"/>
  <cols>
    <col min="1" max="1" width="31.7109375" customWidth="1"/>
    <col min="2" max="5" width="12.85546875" customWidth="1"/>
    <col min="6" max="6" width="10.28515625" customWidth="1"/>
    <col min="7" max="7" width="11" customWidth="1"/>
  </cols>
  <sheetData>
    <row r="1" spans="1:7">
      <c r="A1" s="203" t="s">
        <v>466</v>
      </c>
      <c r="B1" s="203"/>
      <c r="C1" s="203"/>
    </row>
    <row r="5" spans="1:7">
      <c r="A5" s="205" t="s">
        <v>460</v>
      </c>
      <c r="B5" s="476" t="s">
        <v>461</v>
      </c>
      <c r="C5" s="476"/>
      <c r="D5" s="476"/>
      <c r="E5" s="476"/>
      <c r="F5" s="476"/>
      <c r="G5" s="207" t="s">
        <v>462</v>
      </c>
    </row>
    <row r="6" spans="1:7">
      <c r="A6" s="206" t="s">
        <v>97</v>
      </c>
      <c r="B6" s="206">
        <v>2010</v>
      </c>
      <c r="C6" s="206">
        <v>2011</v>
      </c>
      <c r="D6" s="206">
        <v>2012</v>
      </c>
      <c r="E6" s="206">
        <v>2013</v>
      </c>
      <c r="F6" s="206">
        <v>2014</v>
      </c>
      <c r="G6" s="207">
        <v>2015</v>
      </c>
    </row>
    <row r="7" spans="1:7">
      <c r="A7" s="189" t="s">
        <v>458</v>
      </c>
      <c r="B7" s="437">
        <v>0.01</v>
      </c>
      <c r="C7" s="190"/>
      <c r="D7" s="437">
        <v>0.02</v>
      </c>
      <c r="E7" s="190"/>
      <c r="F7" s="190"/>
      <c r="G7" s="190"/>
    </row>
    <row r="8" spans="1:7">
      <c r="A8" s="189" t="s">
        <v>459</v>
      </c>
      <c r="B8" s="190"/>
      <c r="C8" s="190"/>
      <c r="D8" s="190"/>
      <c r="E8" s="438">
        <v>7.0999999999999994E-2</v>
      </c>
      <c r="F8" s="190"/>
      <c r="G8" s="190"/>
    </row>
    <row r="9" spans="1:7">
      <c r="A9" s="208" t="s">
        <v>463</v>
      </c>
      <c r="B9" s="190"/>
      <c r="C9" s="190"/>
      <c r="D9" s="190"/>
      <c r="E9" s="190"/>
      <c r="F9" s="190" t="s">
        <v>1008</v>
      </c>
      <c r="G9" s="190"/>
    </row>
    <row r="16" spans="1:7">
      <c r="A16" t="s">
        <v>465</v>
      </c>
    </row>
    <row r="17" spans="1:12">
      <c r="A17" t="s">
        <v>464</v>
      </c>
    </row>
    <row r="20" spans="1:12">
      <c r="H20" s="186"/>
      <c r="I20" s="186"/>
      <c r="J20" s="186"/>
      <c r="K20" s="186"/>
      <c r="L20" s="186"/>
    </row>
    <row r="32" spans="1:12">
      <c r="A32" s="203" t="s">
        <v>468</v>
      </c>
      <c r="B32" s="203" t="s">
        <v>440</v>
      </c>
      <c r="C32" s="203"/>
    </row>
    <row r="33" spans="1:6">
      <c r="A33" t="s">
        <v>467</v>
      </c>
      <c r="B33" s="200">
        <f>'Outdoor Stock'!G21</f>
        <v>1000000</v>
      </c>
    </row>
    <row r="35" spans="1:6" ht="78.75" customHeight="1">
      <c r="A35" s="203" t="s">
        <v>469</v>
      </c>
      <c r="B35" s="330" t="s">
        <v>1002</v>
      </c>
      <c r="C35" s="330" t="s">
        <v>888</v>
      </c>
      <c r="D35" s="330" t="s">
        <v>1001</v>
      </c>
      <c r="E35" s="330" t="s">
        <v>875</v>
      </c>
      <c r="F35" s="176"/>
    </row>
    <row r="36" spans="1:6">
      <c r="A36" t="s">
        <v>470</v>
      </c>
      <c r="B36" s="200">
        <f>C36*D36</f>
        <v>89000</v>
      </c>
      <c r="C36" s="186">
        <v>1</v>
      </c>
      <c r="D36" s="200">
        <v>89000</v>
      </c>
    </row>
    <row r="37" spans="1:6">
      <c r="A37" t="s">
        <v>271</v>
      </c>
      <c r="B37" s="200">
        <f t="shared" ref="B37:B41" si="0">C37*D37</f>
        <v>55000</v>
      </c>
      <c r="C37" s="186">
        <v>1</v>
      </c>
      <c r="D37" s="200">
        <v>55000</v>
      </c>
    </row>
    <row r="38" spans="1:6">
      <c r="A38" t="s">
        <v>422</v>
      </c>
      <c r="B38" s="200">
        <f t="shared" si="0"/>
        <v>4500</v>
      </c>
      <c r="C38" s="186">
        <v>0.15</v>
      </c>
      <c r="D38" s="200">
        <v>30000</v>
      </c>
    </row>
    <row r="39" spans="1:6">
      <c r="A39" t="s">
        <v>885</v>
      </c>
      <c r="B39" s="200">
        <f t="shared" si="0"/>
        <v>600</v>
      </c>
      <c r="C39" s="186">
        <v>0.01</v>
      </c>
      <c r="D39" s="200">
        <v>60000</v>
      </c>
    </row>
    <row r="40" spans="1:6">
      <c r="A40" t="s">
        <v>890</v>
      </c>
      <c r="B40" s="200">
        <f t="shared" si="0"/>
        <v>2000</v>
      </c>
      <c r="C40" s="186">
        <v>0.02</v>
      </c>
      <c r="D40" s="200">
        <f>'Outdoor Stock'!$G$16</f>
        <v>100000</v>
      </c>
    </row>
    <row r="41" spans="1:6">
      <c r="A41" t="s">
        <v>889</v>
      </c>
      <c r="B41" s="200">
        <f t="shared" si="0"/>
        <v>66600</v>
      </c>
      <c r="C41" s="186">
        <f>E41</f>
        <v>0.1</v>
      </c>
      <c r="D41" s="198">
        <f>B33-SUM(D36:D40)</f>
        <v>666000</v>
      </c>
      <c r="E41" s="436">
        <v>0.1</v>
      </c>
    </row>
    <row r="43" spans="1:6">
      <c r="A43" t="s">
        <v>156</v>
      </c>
      <c r="B43" s="200">
        <f>SUM(B36:B41)</f>
        <v>217700</v>
      </c>
      <c r="D43" s="200">
        <f>SUM(D36:D41)</f>
        <v>1000000</v>
      </c>
    </row>
    <row r="45" spans="1:6">
      <c r="A45" s="203" t="s">
        <v>471</v>
      </c>
      <c r="B45" s="209">
        <f>ROUND(B33-B43,-4)</f>
        <v>780000</v>
      </c>
      <c r="C45" s="274">
        <f>B43/B33</f>
        <v>0.2177</v>
      </c>
    </row>
  </sheetData>
  <mergeCells count="1">
    <mergeCell ref="B5:F5"/>
  </mergeCells>
  <pageMargins left="0.7" right="0.7" top="0.75" bottom="0.75" header="0.3" footer="0.3"/>
  <drawing r:id="rId1"/>
  <legacyDrawing r:id="rId2"/>
</worksheet>
</file>

<file path=xl/worksheets/sheet17.xml><?xml version="1.0" encoding="utf-8"?>
<worksheet xmlns="http://schemas.openxmlformats.org/spreadsheetml/2006/main" xmlns:r="http://schemas.openxmlformats.org/officeDocument/2006/relationships">
  <sheetPr codeName="Sheet9"/>
  <dimension ref="A3:AO208"/>
  <sheetViews>
    <sheetView workbookViewId="0">
      <selection activeCell="M30" sqref="M30"/>
    </sheetView>
  </sheetViews>
  <sheetFormatPr defaultRowHeight="12.75"/>
  <cols>
    <col min="1" max="1" width="10.42578125" customWidth="1"/>
    <col min="2" max="2" width="22.140625" customWidth="1"/>
    <col min="3" max="3" width="14.85546875" customWidth="1"/>
    <col min="4" max="4" width="14.140625" customWidth="1"/>
    <col min="5" max="6" width="9.85546875" customWidth="1"/>
    <col min="7" max="7" width="15.28515625" customWidth="1"/>
    <col min="8" max="8" width="29" customWidth="1"/>
    <col min="9" max="9" width="10.85546875" customWidth="1"/>
    <col min="10" max="10" width="11.7109375" customWidth="1"/>
    <col min="11" max="11" width="22.5703125" customWidth="1"/>
    <col min="12" max="12" width="9.5703125" customWidth="1"/>
    <col min="13" max="13" width="9.7109375" customWidth="1"/>
    <col min="14" max="14" width="12.5703125" customWidth="1"/>
    <col min="15" max="15" width="11.5703125" customWidth="1"/>
    <col min="16" max="16" width="12.42578125" customWidth="1"/>
    <col min="17" max="17" width="10.28515625" customWidth="1"/>
    <col min="20" max="20" width="27.28515625" customWidth="1"/>
    <col min="23" max="23" width="10.28515625" bestFit="1" customWidth="1"/>
    <col min="25" max="25" width="11.28515625" bestFit="1" customWidth="1"/>
    <col min="33" max="33" width="19.7109375" customWidth="1"/>
    <col min="35" max="35" width="11.140625" customWidth="1"/>
  </cols>
  <sheetData>
    <row r="3" spans="2:41">
      <c r="B3" s="203" t="s">
        <v>453</v>
      </c>
    </row>
    <row r="4" spans="2:41">
      <c r="T4" s="267" t="s">
        <v>878</v>
      </c>
      <c r="U4" s="267" t="s">
        <v>881</v>
      </c>
      <c r="V4" s="267"/>
      <c r="W4" s="267"/>
      <c r="X4" s="267"/>
      <c r="Y4" s="267"/>
      <c r="Z4" s="267"/>
    </row>
    <row r="5" spans="2:41">
      <c r="G5" s="203" t="s">
        <v>439</v>
      </c>
      <c r="H5" s="176"/>
      <c r="I5" s="176"/>
      <c r="J5" s="176"/>
      <c r="K5" s="176"/>
      <c r="N5" s="203" t="s">
        <v>442</v>
      </c>
      <c r="O5" s="203"/>
      <c r="P5" s="203"/>
      <c r="Q5" s="203"/>
      <c r="T5" s="267" t="s">
        <v>735</v>
      </c>
      <c r="U5" s="267" t="s">
        <v>736</v>
      </c>
      <c r="V5" s="267"/>
      <c r="W5" s="267"/>
      <c r="X5" s="267"/>
      <c r="Y5" s="267"/>
      <c r="Z5" s="267"/>
      <c r="AC5" s="267" t="s">
        <v>815</v>
      </c>
      <c r="AD5" s="267"/>
      <c r="AE5" s="267"/>
      <c r="AF5" s="267"/>
      <c r="AG5" s="267"/>
      <c r="AH5" s="267"/>
      <c r="AI5" s="267"/>
      <c r="AK5" s="267" t="s">
        <v>816</v>
      </c>
      <c r="AL5" s="267"/>
      <c r="AM5" s="267"/>
      <c r="AN5" s="267"/>
    </row>
    <row r="6" spans="2:41" ht="31.5" customHeight="1">
      <c r="B6" s="187" t="s">
        <v>416</v>
      </c>
      <c r="C6" s="327" t="s">
        <v>417</v>
      </c>
      <c r="D6" s="187" t="s">
        <v>172</v>
      </c>
      <c r="G6" s="185">
        <v>81</v>
      </c>
      <c r="H6" t="s">
        <v>437</v>
      </c>
      <c r="N6" s="200">
        <v>46000000</v>
      </c>
      <c r="O6" t="s">
        <v>446</v>
      </c>
      <c r="T6" s="34" t="s">
        <v>663</v>
      </c>
      <c r="U6" s="273">
        <f>Z20</f>
        <v>0.54</v>
      </c>
      <c r="V6" s="484">
        <f>SUM(U6:U10)</f>
        <v>1</v>
      </c>
      <c r="W6" s="322"/>
      <c r="X6" s="322"/>
      <c r="Y6" s="322"/>
      <c r="Z6" s="322"/>
      <c r="AA6" s="268"/>
      <c r="AC6" s="288" t="s">
        <v>814</v>
      </c>
      <c r="AD6" s="289" t="s">
        <v>112</v>
      </c>
      <c r="AE6" s="289"/>
      <c r="AF6" s="289"/>
      <c r="AG6" s="289"/>
      <c r="AH6" s="290"/>
      <c r="AI6" s="292"/>
      <c r="AK6" t="s">
        <v>817</v>
      </c>
    </row>
    <row r="7" spans="2:41" ht="15">
      <c r="B7" s="188" t="s">
        <v>418</v>
      </c>
      <c r="C7" s="189"/>
      <c r="D7" s="190"/>
      <c r="G7" s="197">
        <v>13242.678320000001</v>
      </c>
      <c r="H7" t="s">
        <v>441</v>
      </c>
      <c r="N7" s="186">
        <v>0.04</v>
      </c>
      <c r="O7" t="s">
        <v>445</v>
      </c>
      <c r="T7" s="34" t="s">
        <v>664</v>
      </c>
      <c r="U7" s="273">
        <f t="shared" ref="U7:U10" si="0">Z21</f>
        <v>0.13100000000000001</v>
      </c>
      <c r="V7" s="485"/>
      <c r="W7" s="323"/>
      <c r="X7" s="323"/>
      <c r="Y7" s="323"/>
      <c r="Z7" s="323"/>
      <c r="AA7" s="269"/>
      <c r="AC7" s="291" t="s">
        <v>127</v>
      </c>
      <c r="AD7" s="292" t="s">
        <v>128</v>
      </c>
      <c r="AE7" s="292" t="s">
        <v>129</v>
      </c>
      <c r="AF7" s="292" t="s">
        <v>130</v>
      </c>
      <c r="AG7" s="292" t="s">
        <v>131</v>
      </c>
      <c r="AH7" s="293" t="s">
        <v>132</v>
      </c>
      <c r="AI7" s="292"/>
      <c r="AK7" t="s">
        <v>818</v>
      </c>
      <c r="AM7" t="s">
        <v>435</v>
      </c>
      <c r="AN7" t="s">
        <v>819</v>
      </c>
    </row>
    <row r="8" spans="2:41">
      <c r="B8" s="190" t="s">
        <v>419</v>
      </c>
      <c r="C8" s="191">
        <v>38537</v>
      </c>
      <c r="D8" s="190"/>
      <c r="G8" s="198">
        <f>G7*I8</f>
        <v>11123.8497888</v>
      </c>
      <c r="H8" t="s">
        <v>886</v>
      </c>
      <c r="I8" s="186">
        <v>0.84</v>
      </c>
      <c r="N8" s="201">
        <f>N6*N7</f>
        <v>1840000</v>
      </c>
      <c r="O8" s="202" t="s">
        <v>447</v>
      </c>
      <c r="P8" s="202"/>
      <c r="T8" s="34" t="s">
        <v>665</v>
      </c>
      <c r="U8" s="273">
        <f t="shared" si="0"/>
        <v>0.14000000000000001</v>
      </c>
      <c r="V8" s="485"/>
      <c r="W8" s="323"/>
      <c r="X8" s="323"/>
      <c r="Y8" s="323"/>
      <c r="Z8" s="323"/>
      <c r="AA8" s="269"/>
      <c r="AC8" s="291">
        <v>70</v>
      </c>
      <c r="AD8" s="294">
        <v>1.4678665987413382E-2</v>
      </c>
      <c r="AE8" s="294">
        <v>0</v>
      </c>
      <c r="AF8" s="294">
        <v>0</v>
      </c>
      <c r="AG8" s="294">
        <v>0</v>
      </c>
      <c r="AH8" s="295">
        <v>1.4579533523151906E-2</v>
      </c>
      <c r="AI8" s="477">
        <f>SUM(AH8:AH10)</f>
        <v>0.62454326625493461</v>
      </c>
      <c r="AK8" t="s">
        <v>820</v>
      </c>
      <c r="AL8" s="198">
        <v>36</v>
      </c>
      <c r="AM8">
        <v>240</v>
      </c>
      <c r="AN8" s="186">
        <v>1.5650132591401122E-3</v>
      </c>
      <c r="AO8" s="477">
        <f>SUM(AN8:AN14)</f>
        <v>0.56040516454375511</v>
      </c>
    </row>
    <row r="9" spans="2:41">
      <c r="B9" s="190" t="s">
        <v>420</v>
      </c>
      <c r="C9" s="191">
        <v>10108</v>
      </c>
      <c r="D9" s="190"/>
      <c r="T9" s="34" t="s">
        <v>666</v>
      </c>
      <c r="U9" s="273">
        <f t="shared" si="0"/>
        <v>0.17499999999999999</v>
      </c>
      <c r="V9" s="485"/>
      <c r="W9" s="323"/>
      <c r="X9" s="323"/>
      <c r="Y9" s="323"/>
      <c r="Z9" s="323"/>
      <c r="AA9" s="268"/>
      <c r="AC9" s="291">
        <v>85</v>
      </c>
      <c r="AD9" s="294">
        <v>0</v>
      </c>
      <c r="AE9" s="294">
        <v>0</v>
      </c>
      <c r="AF9" s="294">
        <v>0</v>
      </c>
      <c r="AG9" s="294">
        <v>0.53492760796931071</v>
      </c>
      <c r="AH9" s="295">
        <v>3.1711622490291284E-3</v>
      </c>
      <c r="AI9" s="478"/>
      <c r="AK9" t="s">
        <v>821</v>
      </c>
      <c r="AL9" s="198">
        <v>1834</v>
      </c>
      <c r="AM9">
        <v>360</v>
      </c>
      <c r="AN9" s="186">
        <v>7.9728731035082379E-2</v>
      </c>
      <c r="AO9" s="478"/>
    </row>
    <row r="10" spans="2:41">
      <c r="B10" s="190" t="s">
        <v>421</v>
      </c>
      <c r="C10" s="191">
        <v>2649</v>
      </c>
      <c r="D10" s="190"/>
      <c r="G10" s="198">
        <f>ROUND(G6*G8,-4)</f>
        <v>900000</v>
      </c>
      <c r="H10" t="s">
        <v>434</v>
      </c>
      <c r="T10" s="34" t="s">
        <v>667</v>
      </c>
      <c r="U10" s="273">
        <f t="shared" si="0"/>
        <v>1.4E-2</v>
      </c>
      <c r="V10" s="485"/>
      <c r="W10" s="323"/>
      <c r="X10" s="323"/>
      <c r="Y10" s="323"/>
      <c r="Z10" s="323"/>
      <c r="AA10" s="268"/>
      <c r="AC10" s="291">
        <v>100</v>
      </c>
      <c r="AD10" s="294">
        <v>0.61091841186937879</v>
      </c>
      <c r="AE10" s="294">
        <v>0</v>
      </c>
      <c r="AF10" s="294">
        <v>0</v>
      </c>
      <c r="AG10" s="294">
        <v>0</v>
      </c>
      <c r="AH10" s="295">
        <v>0.60679257048275359</v>
      </c>
      <c r="AI10" s="478"/>
      <c r="AK10" t="s">
        <v>822</v>
      </c>
      <c r="AL10" s="198">
        <v>54</v>
      </c>
      <c r="AM10">
        <v>432</v>
      </c>
      <c r="AN10" s="186">
        <v>2.3475198887101681E-3</v>
      </c>
      <c r="AO10" s="478"/>
    </row>
    <row r="11" spans="2:41">
      <c r="B11" s="190"/>
      <c r="C11" s="191">
        <f>SUM(C8:C10)</f>
        <v>51294</v>
      </c>
      <c r="D11" s="192">
        <f>C11/8760</f>
        <v>5.8554794520547944</v>
      </c>
      <c r="G11">
        <v>730</v>
      </c>
      <c r="H11" t="s">
        <v>435</v>
      </c>
      <c r="T11" s="34" t="s">
        <v>668</v>
      </c>
      <c r="U11" s="273">
        <f>U6</f>
        <v>0.54</v>
      </c>
      <c r="V11" s="484">
        <f>SUM(U11:U15)</f>
        <v>1</v>
      </c>
      <c r="W11" s="322"/>
      <c r="X11" s="322"/>
      <c r="Y11" s="322"/>
      <c r="Z11" s="322"/>
      <c r="AA11" s="269"/>
      <c r="AC11" s="291">
        <v>150</v>
      </c>
      <c r="AD11" s="294">
        <v>0.15153336997952824</v>
      </c>
      <c r="AE11" s="294">
        <v>0</v>
      </c>
      <c r="AF11" s="294">
        <v>0</v>
      </c>
      <c r="AG11" s="294">
        <v>0</v>
      </c>
      <c r="AH11" s="295">
        <v>0.15050998839997615</v>
      </c>
      <c r="AI11" s="479"/>
      <c r="AK11" t="s">
        <v>823</v>
      </c>
      <c r="AL11" s="198">
        <v>8178</v>
      </c>
      <c r="AM11">
        <v>624</v>
      </c>
      <c r="AN11" s="186">
        <v>0.3555188453679955</v>
      </c>
      <c r="AO11" s="478"/>
    </row>
    <row r="12" spans="2:41">
      <c r="B12" s="190"/>
      <c r="C12" s="190"/>
      <c r="D12" s="192"/>
      <c r="G12" s="198">
        <f>G10*G11/1000</f>
        <v>657000</v>
      </c>
      <c r="H12" t="s">
        <v>436</v>
      </c>
      <c r="N12" s="203" t="s">
        <v>874</v>
      </c>
      <c r="O12" s="176"/>
      <c r="P12" s="176"/>
      <c r="T12" s="34" t="s">
        <v>669</v>
      </c>
      <c r="U12" s="273">
        <f t="shared" ref="U12:U15" si="1">U7</f>
        <v>0.13100000000000001</v>
      </c>
      <c r="V12" s="485"/>
      <c r="W12" s="323"/>
      <c r="X12" s="323"/>
      <c r="Y12" s="323"/>
      <c r="Z12" s="323"/>
      <c r="AA12" s="269"/>
      <c r="AC12" s="291">
        <v>175</v>
      </c>
      <c r="AD12" s="294">
        <v>0</v>
      </c>
      <c r="AE12" s="294">
        <v>0</v>
      </c>
      <c r="AF12" s="294">
        <v>1</v>
      </c>
      <c r="AG12" s="294">
        <v>0</v>
      </c>
      <c r="AH12" s="295">
        <v>4.0347909015465169E-4</v>
      </c>
      <c r="AI12" s="477">
        <f>SUM(AH12:AH14)</f>
        <v>0.18048151561418227</v>
      </c>
      <c r="AK12" t="s">
        <v>824</v>
      </c>
      <c r="AL12" s="198">
        <v>2</v>
      </c>
      <c r="AM12">
        <v>600</v>
      </c>
      <c r="AN12" s="186">
        <v>8.6945181063339562E-5</v>
      </c>
      <c r="AO12" s="478"/>
    </row>
    <row r="13" spans="2:41" ht="15">
      <c r="B13" s="188" t="s">
        <v>422</v>
      </c>
      <c r="C13" s="191">
        <v>25878</v>
      </c>
      <c r="D13" s="192">
        <f>C13/8760</f>
        <v>2.9541095890410958</v>
      </c>
      <c r="G13" s="201">
        <f>G12/8760</f>
        <v>75</v>
      </c>
      <c r="H13" s="202" t="s">
        <v>872</v>
      </c>
      <c r="N13" s="200">
        <v>26000000</v>
      </c>
      <c r="O13" t="s">
        <v>448</v>
      </c>
      <c r="T13" s="34" t="s">
        <v>670</v>
      </c>
      <c r="U13" s="273">
        <f t="shared" si="1"/>
        <v>0.14000000000000001</v>
      </c>
      <c r="V13" s="485"/>
      <c r="W13" s="323"/>
      <c r="X13" s="323"/>
      <c r="Y13" s="323"/>
      <c r="Z13" s="323"/>
      <c r="AA13" s="268"/>
      <c r="AC13" s="291">
        <v>200</v>
      </c>
      <c r="AD13" s="294">
        <v>0.109702790988729</v>
      </c>
      <c r="AE13" s="294">
        <v>0</v>
      </c>
      <c r="AF13" s="294">
        <v>0</v>
      </c>
      <c r="AG13" s="294">
        <v>0</v>
      </c>
      <c r="AH13" s="295">
        <v>0.10896191249088732</v>
      </c>
      <c r="AI13" s="478"/>
      <c r="AK13" t="s">
        <v>825</v>
      </c>
      <c r="AL13" s="198">
        <v>11</v>
      </c>
      <c r="AM13">
        <v>660</v>
      </c>
      <c r="AN13" s="186">
        <v>4.7819849584836762E-4</v>
      </c>
      <c r="AO13" s="478"/>
    </row>
    <row r="14" spans="2:41" ht="15">
      <c r="B14" s="188"/>
      <c r="C14" s="190"/>
      <c r="D14" s="192"/>
      <c r="N14" s="200">
        <v>5000000</v>
      </c>
      <c r="O14" t="s">
        <v>449</v>
      </c>
      <c r="T14" s="34" t="s">
        <v>671</v>
      </c>
      <c r="U14" s="273">
        <f t="shared" si="1"/>
        <v>0.17499999999999999</v>
      </c>
      <c r="V14" s="485"/>
      <c r="W14" s="323"/>
      <c r="X14" s="323"/>
      <c r="Y14" s="323"/>
      <c r="Z14" s="323"/>
      <c r="AA14" s="269"/>
      <c r="AC14" s="291">
        <v>250</v>
      </c>
      <c r="AD14" s="294">
        <v>7.117498570373712E-2</v>
      </c>
      <c r="AE14" s="294">
        <v>1</v>
      </c>
      <c r="AF14" s="294">
        <v>0</v>
      </c>
      <c r="AG14" s="294">
        <v>0</v>
      </c>
      <c r="AH14" s="295">
        <v>7.1116124033140299E-2</v>
      </c>
      <c r="AI14" s="479"/>
      <c r="AK14" t="s">
        <v>826</v>
      </c>
      <c r="AL14" s="198">
        <v>2776</v>
      </c>
      <c r="AM14">
        <v>744</v>
      </c>
      <c r="AN14" s="186">
        <v>0.12067991131591531</v>
      </c>
      <c r="AO14" s="479"/>
    </row>
    <row r="15" spans="2:41" ht="15">
      <c r="B15" s="188" t="s">
        <v>423</v>
      </c>
      <c r="C15" s="191">
        <v>31798</v>
      </c>
      <c r="D15" s="192">
        <f t="shared" ref="D15:D21" si="2">C15/8760</f>
        <v>3.6299086757990868</v>
      </c>
      <c r="G15" s="186">
        <f>G16/G10</f>
        <v>0.1111111111111111</v>
      </c>
      <c r="H15" t="s">
        <v>876</v>
      </c>
      <c r="N15" s="186">
        <v>0.04</v>
      </c>
      <c r="O15" t="s">
        <v>445</v>
      </c>
      <c r="T15" s="34" t="s">
        <v>672</v>
      </c>
      <c r="U15" s="273">
        <f t="shared" si="1"/>
        <v>1.4E-2</v>
      </c>
      <c r="V15" s="485"/>
      <c r="W15" s="323"/>
      <c r="X15" s="323"/>
      <c r="Y15" s="323"/>
      <c r="Z15" s="323"/>
      <c r="AA15" s="268"/>
      <c r="AC15" s="291">
        <v>400</v>
      </c>
      <c r="AD15" s="294">
        <v>4.1991775471213508E-2</v>
      </c>
      <c r="AE15" s="294">
        <v>0</v>
      </c>
      <c r="AF15" s="294">
        <v>0</v>
      </c>
      <c r="AG15" s="294">
        <v>0</v>
      </c>
      <c r="AH15" s="295">
        <v>4.1708183748045649E-2</v>
      </c>
      <c r="AI15" s="294"/>
      <c r="AK15" t="s">
        <v>827</v>
      </c>
      <c r="AL15" s="198">
        <v>196</v>
      </c>
      <c r="AM15">
        <v>900</v>
      </c>
      <c r="AN15" s="186">
        <v>8.5206277442072768E-3</v>
      </c>
      <c r="AO15" s="477">
        <f>SUM(AN15:AN19)</f>
        <v>0.30913359127070378</v>
      </c>
    </row>
    <row r="16" spans="2:41" ht="15">
      <c r="B16" s="188"/>
      <c r="C16" s="190"/>
      <c r="D16" s="192"/>
      <c r="G16" s="200">
        <v>100000</v>
      </c>
      <c r="H16" t="s">
        <v>887</v>
      </c>
      <c r="AA16" s="269"/>
      <c r="AC16" s="291">
        <v>1000</v>
      </c>
      <c r="AD16" s="294">
        <v>0</v>
      </c>
      <c r="AE16" s="294">
        <v>0</v>
      </c>
      <c r="AF16" s="294">
        <v>0</v>
      </c>
      <c r="AG16" s="294">
        <v>0.46507239203068929</v>
      </c>
      <c r="AH16" s="295">
        <v>2.7570459828613089E-3</v>
      </c>
      <c r="AI16" s="294"/>
      <c r="AK16" t="s">
        <v>828</v>
      </c>
      <c r="AL16" s="198">
        <v>5666</v>
      </c>
      <c r="AM16">
        <v>948</v>
      </c>
      <c r="AN16" s="186">
        <v>0.24631569795244099</v>
      </c>
      <c r="AO16" s="478"/>
    </row>
    <row r="17" spans="2:41" ht="15">
      <c r="B17" s="188" t="s">
        <v>424</v>
      </c>
      <c r="C17" s="191">
        <v>55919</v>
      </c>
      <c r="D17" s="192">
        <f t="shared" si="2"/>
        <v>6.3834474885844745</v>
      </c>
      <c r="G17">
        <v>1900</v>
      </c>
      <c r="H17" t="s">
        <v>438</v>
      </c>
      <c r="N17" s="198">
        <f>N13*$N$15</f>
        <v>1040000</v>
      </c>
      <c r="O17" t="s">
        <v>450</v>
      </c>
      <c r="AC17" s="291" t="s">
        <v>131</v>
      </c>
      <c r="AD17" s="294">
        <v>0</v>
      </c>
      <c r="AE17" s="294">
        <v>0</v>
      </c>
      <c r="AF17" s="294">
        <v>0</v>
      </c>
      <c r="AG17" s="294">
        <v>0</v>
      </c>
      <c r="AH17" s="295">
        <v>0</v>
      </c>
      <c r="AI17" s="294"/>
      <c r="AK17" t="s">
        <v>829</v>
      </c>
      <c r="AL17" s="198">
        <v>1021</v>
      </c>
      <c r="AM17">
        <v>1224</v>
      </c>
      <c r="AN17" s="186">
        <v>4.4385514932834845E-2</v>
      </c>
      <c r="AO17" s="478"/>
    </row>
    <row r="18" spans="2:41" ht="15">
      <c r="B18" s="188"/>
      <c r="C18" s="190"/>
      <c r="D18" s="192"/>
      <c r="G18" s="198">
        <f>G16*G17/1000</f>
        <v>190000</v>
      </c>
      <c r="H18" t="s">
        <v>436</v>
      </c>
      <c r="N18" s="198">
        <f>N14*N15</f>
        <v>200000</v>
      </c>
      <c r="O18" t="s">
        <v>451</v>
      </c>
      <c r="T18" s="267" t="s">
        <v>879</v>
      </c>
      <c r="U18" s="267" t="s">
        <v>879</v>
      </c>
      <c r="V18" s="267"/>
      <c r="W18" s="267" t="s">
        <v>880</v>
      </c>
      <c r="X18" s="267"/>
      <c r="Y18" s="267" t="s">
        <v>881</v>
      </c>
      <c r="Z18" s="267" t="s">
        <v>881</v>
      </c>
      <c r="AC18" s="296" t="s">
        <v>132</v>
      </c>
      <c r="AD18" s="297">
        <v>1</v>
      </c>
      <c r="AE18" s="297">
        <v>1</v>
      </c>
      <c r="AF18" s="297">
        <v>1</v>
      </c>
      <c r="AG18" s="297">
        <v>1</v>
      </c>
      <c r="AH18" s="298">
        <v>1</v>
      </c>
      <c r="AI18" s="300"/>
      <c r="AK18" t="s">
        <v>830</v>
      </c>
      <c r="AL18" s="198">
        <v>15</v>
      </c>
      <c r="AM18">
        <v>3240</v>
      </c>
      <c r="AN18" s="186">
        <v>6.5208885797504669E-4</v>
      </c>
      <c r="AO18" s="479"/>
    </row>
    <row r="19" spans="2:41" ht="15">
      <c r="B19" s="188" t="s">
        <v>425</v>
      </c>
      <c r="C19" s="191">
        <v>110736</v>
      </c>
      <c r="D19" s="192">
        <f t="shared" si="2"/>
        <v>12.641095890410959</v>
      </c>
      <c r="G19" s="201">
        <f>G18/8760</f>
        <v>21.689497716894977</v>
      </c>
      <c r="H19" s="202" t="s">
        <v>877</v>
      </c>
      <c r="T19" s="267" t="s">
        <v>735</v>
      </c>
      <c r="U19" s="267" t="s">
        <v>736</v>
      </c>
      <c r="V19" s="267"/>
      <c r="W19" s="267"/>
      <c r="X19" s="267"/>
      <c r="Y19" s="267" t="s">
        <v>883</v>
      </c>
      <c r="Z19" s="267" t="s">
        <v>884</v>
      </c>
      <c r="AK19" t="s">
        <v>831</v>
      </c>
      <c r="AL19" s="198">
        <v>213</v>
      </c>
      <c r="AM19">
        <v>1596</v>
      </c>
      <c r="AN19" s="186">
        <v>9.2596617832456634E-3</v>
      </c>
      <c r="AO19" s="477">
        <f>SUM(AN19:AN20)</f>
        <v>0.13302612702690952</v>
      </c>
    </row>
    <row r="20" spans="2:41" ht="15">
      <c r="B20" s="188"/>
      <c r="C20" s="190"/>
      <c r="D20" s="192"/>
      <c r="N20" s="201">
        <f>SUM(N17:N18)</f>
        <v>1240000</v>
      </c>
      <c r="O20" s="202" t="s">
        <v>452</v>
      </c>
      <c r="P20" s="202"/>
      <c r="T20" s="34" t="s">
        <v>663</v>
      </c>
      <c r="U20" s="273">
        <v>0</v>
      </c>
      <c r="V20" s="484">
        <f>SUM(U20:U24)</f>
        <v>1</v>
      </c>
      <c r="W20" s="273">
        <v>0.6</v>
      </c>
      <c r="X20" s="484">
        <f>SUM(W20:W24)</f>
        <v>1</v>
      </c>
      <c r="Y20" s="324">
        <f>(U20*$U$31)+(W20*$W$31)</f>
        <v>540000</v>
      </c>
      <c r="Z20" s="319">
        <f>Y20/$Y$31</f>
        <v>0.54</v>
      </c>
      <c r="AG20" s="267"/>
      <c r="AH20" s="267"/>
      <c r="AI20" s="267"/>
      <c r="AK20" s="11" t="s">
        <v>832</v>
      </c>
      <c r="AL20" s="245">
        <v>2847</v>
      </c>
      <c r="AM20">
        <v>1956</v>
      </c>
      <c r="AN20" s="186">
        <v>0.12376646524366387</v>
      </c>
      <c r="AO20" s="480"/>
    </row>
    <row r="21" spans="2:41" ht="15">
      <c r="B21" s="188" t="s">
        <v>426</v>
      </c>
      <c r="C21" s="191">
        <v>93594</v>
      </c>
      <c r="D21" s="192">
        <f t="shared" si="2"/>
        <v>10.684246575342465</v>
      </c>
      <c r="G21" s="328">
        <f>ROUND(SUM(G10,G16),-4)</f>
        <v>1000000</v>
      </c>
      <c r="H21" s="329" t="s">
        <v>440</v>
      </c>
      <c r="T21" s="34" t="s">
        <v>664</v>
      </c>
      <c r="U21" s="273">
        <v>0.05</v>
      </c>
      <c r="V21" s="485"/>
      <c r="W21" s="273">
        <v>0.14000000000000001</v>
      </c>
      <c r="X21" s="485"/>
      <c r="Y21" s="325">
        <f t="shared" ref="Y21:Y29" si="3">(U21*$U$31)+(W21*$W$31)</f>
        <v>131000.00000000001</v>
      </c>
      <c r="Z21" s="320">
        <f t="shared" ref="Z21:Z29" si="4">Y21/$Y$31</f>
        <v>0.13100000000000001</v>
      </c>
      <c r="AK21" s="11" t="s">
        <v>833</v>
      </c>
      <c r="AL21" s="245">
        <v>19</v>
      </c>
      <c r="AM21">
        <v>3600</v>
      </c>
      <c r="AN21" s="186">
        <v>8.2597922010172581E-4</v>
      </c>
      <c r="AO21" s="477">
        <f>SUM(AN21:AN22)</f>
        <v>6.6947789418771468E-3</v>
      </c>
    </row>
    <row r="22" spans="2:41" ht="25.5">
      <c r="T22" s="34" t="s">
        <v>665</v>
      </c>
      <c r="U22" s="273">
        <v>0.05</v>
      </c>
      <c r="V22" s="485"/>
      <c r="W22" s="273">
        <v>0.15</v>
      </c>
      <c r="X22" s="485"/>
      <c r="Y22" s="325">
        <f t="shared" si="3"/>
        <v>140000</v>
      </c>
      <c r="Z22" s="320">
        <f t="shared" si="4"/>
        <v>0.14000000000000001</v>
      </c>
      <c r="AK22" s="143" t="s">
        <v>834</v>
      </c>
      <c r="AL22" s="299">
        <v>135</v>
      </c>
      <c r="AM22">
        <v>4800</v>
      </c>
      <c r="AN22" s="186">
        <v>5.8687997217754207E-3</v>
      </c>
      <c r="AO22" s="480"/>
    </row>
    <row r="23" spans="2:41">
      <c r="B23" t="s">
        <v>427</v>
      </c>
      <c r="D23" s="185">
        <f>SUM(D11:D21)</f>
        <v>42.148287671232872</v>
      </c>
      <c r="T23" s="34" t="s">
        <v>666</v>
      </c>
      <c r="U23" s="273">
        <v>0.85</v>
      </c>
      <c r="V23" s="485"/>
      <c r="W23" s="273">
        <v>0.1</v>
      </c>
      <c r="X23" s="485"/>
      <c r="Y23" s="325">
        <f t="shared" si="3"/>
        <v>175000</v>
      </c>
      <c r="Z23" s="320">
        <f t="shared" si="4"/>
        <v>0.17499999999999999</v>
      </c>
    </row>
    <row r="24" spans="2:41">
      <c r="B24" t="s">
        <v>844</v>
      </c>
      <c r="D24" s="193">
        <v>0.05</v>
      </c>
      <c r="T24" s="34" t="s">
        <v>667</v>
      </c>
      <c r="U24" s="273">
        <v>0.05</v>
      </c>
      <c r="V24" s="485"/>
      <c r="W24" s="273">
        <v>0.01</v>
      </c>
      <c r="X24" s="485"/>
      <c r="Y24" s="325">
        <f t="shared" si="3"/>
        <v>14000</v>
      </c>
      <c r="Z24" s="320">
        <f t="shared" si="4"/>
        <v>1.4E-2</v>
      </c>
    </row>
    <row r="25" spans="2:41">
      <c r="B25" t="s">
        <v>428</v>
      </c>
      <c r="D25" s="186">
        <v>0.5</v>
      </c>
      <c r="T25" s="34" t="s">
        <v>668</v>
      </c>
      <c r="U25" s="273">
        <f>U20</f>
        <v>0</v>
      </c>
      <c r="V25" s="484">
        <f>SUM(U25:U29)</f>
        <v>1</v>
      </c>
      <c r="W25" s="273">
        <f>W20</f>
        <v>0.6</v>
      </c>
      <c r="X25" s="484">
        <f>SUM(W25:W29)</f>
        <v>1</v>
      </c>
      <c r="Y25" s="325">
        <f t="shared" si="3"/>
        <v>540000</v>
      </c>
      <c r="Z25" s="320">
        <f t="shared" si="4"/>
        <v>0.54</v>
      </c>
    </row>
    <row r="26" spans="2:41">
      <c r="T26" s="34" t="s">
        <v>669</v>
      </c>
      <c r="U26" s="273">
        <f t="shared" ref="U26:U29" si="5">U21</f>
        <v>0.05</v>
      </c>
      <c r="V26" s="485"/>
      <c r="W26" s="273">
        <f t="shared" ref="W26:W29" si="6">W21</f>
        <v>0.14000000000000001</v>
      </c>
      <c r="X26" s="485"/>
      <c r="Y26" s="325">
        <f t="shared" si="3"/>
        <v>131000.00000000001</v>
      </c>
      <c r="Z26" s="320">
        <f t="shared" si="4"/>
        <v>0.13100000000000001</v>
      </c>
    </row>
    <row r="27" spans="2:41">
      <c r="B27" s="194" t="s">
        <v>429</v>
      </c>
      <c r="C27" s="194"/>
      <c r="D27" s="195">
        <f>(D23*(1+D24))/D25</f>
        <v>88.511404109589037</v>
      </c>
      <c r="E27" s="194" t="s">
        <v>430</v>
      </c>
      <c r="G27" s="199">
        <f>SUM(G13,G19)</f>
        <v>96.689497716894977</v>
      </c>
      <c r="H27" s="194" t="s">
        <v>783</v>
      </c>
      <c r="T27" s="34" t="s">
        <v>670</v>
      </c>
      <c r="U27" s="273">
        <f t="shared" si="5"/>
        <v>0.05</v>
      </c>
      <c r="V27" s="485"/>
      <c r="W27" s="273">
        <f t="shared" si="6"/>
        <v>0.15</v>
      </c>
      <c r="X27" s="485"/>
      <c r="Y27" s="325">
        <f t="shared" si="3"/>
        <v>140000</v>
      </c>
      <c r="Z27" s="320">
        <f t="shared" si="4"/>
        <v>0.14000000000000001</v>
      </c>
    </row>
    <row r="28" spans="2:41">
      <c r="T28" s="34" t="s">
        <v>671</v>
      </c>
      <c r="U28" s="273">
        <f t="shared" si="5"/>
        <v>0.85</v>
      </c>
      <c r="V28" s="485"/>
      <c r="W28" s="273">
        <f t="shared" si="6"/>
        <v>0.1</v>
      </c>
      <c r="X28" s="485"/>
      <c r="Y28" s="325">
        <f t="shared" si="3"/>
        <v>175000</v>
      </c>
      <c r="Z28" s="320">
        <f t="shared" si="4"/>
        <v>0.17499999999999999</v>
      </c>
    </row>
    <row r="29" spans="2:41">
      <c r="G29">
        <f>'Performance 7P'!$A$12</f>
        <v>230</v>
      </c>
      <c r="H29" t="s">
        <v>784</v>
      </c>
      <c r="T29" s="34" t="s">
        <v>672</v>
      </c>
      <c r="U29" s="273">
        <f t="shared" si="5"/>
        <v>0.05</v>
      </c>
      <c r="V29" s="485"/>
      <c r="W29" s="273">
        <f t="shared" si="6"/>
        <v>0.01</v>
      </c>
      <c r="X29" s="485"/>
      <c r="Y29" s="326">
        <f t="shared" si="3"/>
        <v>14000</v>
      </c>
      <c r="Z29" s="321">
        <f t="shared" si="4"/>
        <v>1.4E-2</v>
      </c>
    </row>
    <row r="30" spans="2:41">
      <c r="G30" s="199">
        <f>G21*G29*4300/1000/1000/8760</f>
        <v>112.89954337899543</v>
      </c>
      <c r="H30" s="194" t="s">
        <v>783</v>
      </c>
    </row>
    <row r="31" spans="2:41">
      <c r="T31" s="62" t="s">
        <v>882</v>
      </c>
      <c r="U31" s="198">
        <f>G16</f>
        <v>100000</v>
      </c>
      <c r="W31" s="198">
        <f>G10</f>
        <v>900000</v>
      </c>
      <c r="Y31" s="198">
        <f>SUM(U31,W31)</f>
        <v>1000000</v>
      </c>
    </row>
    <row r="35" spans="1:26">
      <c r="A35" s="204" t="s">
        <v>454</v>
      </c>
      <c r="B35" s="204"/>
      <c r="C35" s="11"/>
      <c r="D35" s="11"/>
      <c r="E35" s="11"/>
      <c r="F35" s="11"/>
      <c r="G35" s="11"/>
      <c r="H35" s="11"/>
      <c r="I35" s="11"/>
      <c r="J35" s="11"/>
      <c r="K35" s="11"/>
      <c r="L35" s="11"/>
      <c r="M35" s="11"/>
      <c r="N35" s="11"/>
      <c r="O35" s="11"/>
      <c r="P35" s="11"/>
      <c r="Q35" s="11"/>
      <c r="R35" s="11"/>
      <c r="S35" s="11"/>
      <c r="T35" s="11"/>
      <c r="U35" s="11"/>
      <c r="V35" s="11"/>
      <c r="W35" s="11"/>
      <c r="X35" s="11"/>
    </row>
    <row r="36" spans="1:26">
      <c r="A36" s="11"/>
      <c r="B36" s="14" t="s">
        <v>387</v>
      </c>
      <c r="C36" s="142" t="s">
        <v>103</v>
      </c>
      <c r="D36" s="116" t="s">
        <v>104</v>
      </c>
      <c r="E36" s="11"/>
      <c r="F36" s="11"/>
      <c r="G36" s="11"/>
      <c r="H36" s="11"/>
      <c r="I36" s="11"/>
      <c r="J36" s="11"/>
      <c r="K36" s="11"/>
      <c r="L36" s="11"/>
      <c r="M36" s="11"/>
      <c r="N36" s="11"/>
      <c r="O36" s="11"/>
      <c r="P36" s="58" t="s">
        <v>105</v>
      </c>
      <c r="Q36" s="11"/>
      <c r="R36" s="11"/>
      <c r="S36" s="11"/>
      <c r="T36" s="11"/>
      <c r="U36" s="11"/>
      <c r="V36" s="11"/>
      <c r="W36" s="11"/>
      <c r="X36" s="11"/>
    </row>
    <row r="37" spans="1:26" ht="38.25">
      <c r="A37" s="143"/>
      <c r="B37" s="173" t="s">
        <v>106</v>
      </c>
      <c r="C37" s="144">
        <v>135</v>
      </c>
      <c r="D37" s="145">
        <v>50</v>
      </c>
      <c r="E37" s="146">
        <f>C37*O77/M77</f>
        <v>5.677152317880795</v>
      </c>
      <c r="F37" s="143"/>
      <c r="G37" s="143"/>
      <c r="H37" s="143"/>
      <c r="I37" s="144" t="s">
        <v>107</v>
      </c>
      <c r="J37" s="145" t="s">
        <v>108</v>
      </c>
      <c r="K37" s="486" t="s">
        <v>109</v>
      </c>
      <c r="L37" s="486"/>
      <c r="M37" s="486"/>
      <c r="N37" s="174"/>
      <c r="O37" s="143"/>
      <c r="P37" s="487" t="s">
        <v>110</v>
      </c>
      <c r="Q37" s="488"/>
      <c r="R37" s="488"/>
      <c r="S37" s="488"/>
      <c r="T37" s="488"/>
      <c r="U37" s="488"/>
      <c r="V37" s="488"/>
      <c r="W37" s="488"/>
      <c r="X37" s="489"/>
    </row>
    <row r="38" spans="1:26" ht="51.75" thickBot="1">
      <c r="A38" s="11"/>
      <c r="B38" s="139" t="s">
        <v>111</v>
      </c>
      <c r="C38" s="139" t="s">
        <v>112</v>
      </c>
      <c r="D38" s="139" t="s">
        <v>113</v>
      </c>
      <c r="E38" s="139" t="s">
        <v>114</v>
      </c>
      <c r="F38" s="139" t="s">
        <v>115</v>
      </c>
      <c r="G38" s="139" t="s">
        <v>116</v>
      </c>
      <c r="H38" s="139" t="s">
        <v>117</v>
      </c>
      <c r="I38" s="60" t="s">
        <v>118</v>
      </c>
      <c r="J38" s="61" t="s">
        <v>118</v>
      </c>
      <c r="K38" s="139" t="s">
        <v>119</v>
      </c>
      <c r="L38" s="139" t="s">
        <v>120</v>
      </c>
      <c r="M38" s="139" t="s">
        <v>121</v>
      </c>
      <c r="N38" s="175" t="s">
        <v>122</v>
      </c>
      <c r="O38" s="11"/>
      <c r="P38" s="490" t="s">
        <v>123</v>
      </c>
      <c r="Q38" s="491"/>
      <c r="R38" s="11"/>
      <c r="S38" s="492" t="s">
        <v>124</v>
      </c>
      <c r="T38" s="493"/>
      <c r="U38" s="493"/>
      <c r="V38" s="493"/>
      <c r="W38" s="493"/>
      <c r="X38" s="494"/>
      <c r="Y38" s="11"/>
      <c r="Z38" s="11"/>
    </row>
    <row r="39" spans="1:26">
      <c r="A39" s="11"/>
      <c r="B39" s="117" t="s">
        <v>389</v>
      </c>
      <c r="C39" s="115"/>
      <c r="D39" s="115"/>
      <c r="E39" s="123">
        <v>0.05</v>
      </c>
      <c r="F39" s="115"/>
      <c r="G39" s="115"/>
      <c r="H39" s="115"/>
      <c r="I39" s="115"/>
      <c r="J39" s="11"/>
      <c r="K39" s="147"/>
      <c r="L39" s="115"/>
      <c r="M39" s="115"/>
      <c r="N39" s="115"/>
      <c r="O39" s="11"/>
      <c r="P39" s="148"/>
      <c r="Q39" s="149"/>
      <c r="R39" s="11"/>
      <c r="S39" s="150" t="s">
        <v>125</v>
      </c>
      <c r="T39" s="151" t="s">
        <v>112</v>
      </c>
      <c r="U39" s="151"/>
      <c r="V39" s="151"/>
      <c r="W39" s="151"/>
      <c r="X39" s="152"/>
      <c r="Y39" s="11"/>
      <c r="Z39" s="11"/>
    </row>
    <row r="40" spans="1:26">
      <c r="A40" s="11"/>
      <c r="B40" s="115"/>
      <c r="C40" s="115" t="s">
        <v>126</v>
      </c>
      <c r="D40" s="115"/>
      <c r="E40" s="115"/>
      <c r="F40" s="123">
        <v>0.6</v>
      </c>
      <c r="G40" s="115"/>
      <c r="H40" s="123">
        <f>$E$39*F40</f>
        <v>0.03</v>
      </c>
      <c r="I40" s="153">
        <f>$C$37*$H40</f>
        <v>4.05</v>
      </c>
      <c r="J40" s="153">
        <f>$D$37*$H40</f>
        <v>1.5</v>
      </c>
      <c r="K40" s="154">
        <f>H40*$E$37</f>
        <v>0.17031456953642385</v>
      </c>
      <c r="L40" s="155"/>
      <c r="M40" s="155"/>
      <c r="N40" s="155"/>
      <c r="O40" s="11"/>
      <c r="P40" s="148" t="s">
        <v>127</v>
      </c>
      <c r="Q40" s="149"/>
      <c r="R40" s="11"/>
      <c r="S40" s="148" t="s">
        <v>127</v>
      </c>
      <c r="T40" s="115" t="s">
        <v>128</v>
      </c>
      <c r="U40" s="115" t="s">
        <v>129</v>
      </c>
      <c r="V40" s="115" t="s">
        <v>130</v>
      </c>
      <c r="W40" s="115" t="s">
        <v>131</v>
      </c>
      <c r="X40" s="149" t="s">
        <v>132</v>
      </c>
      <c r="Y40" s="11"/>
      <c r="Z40" s="11"/>
    </row>
    <row r="41" spans="1:26">
      <c r="A41" s="11"/>
      <c r="B41" s="115"/>
      <c r="C41" s="115" t="s">
        <v>133</v>
      </c>
      <c r="D41" s="115"/>
      <c r="E41" s="115"/>
      <c r="F41" s="123">
        <v>0.2</v>
      </c>
      <c r="G41" s="115"/>
      <c r="H41" s="123">
        <f>$E$39*F41</f>
        <v>1.0000000000000002E-2</v>
      </c>
      <c r="I41" s="153">
        <f>$C$37*H41</f>
        <v>1.3500000000000003</v>
      </c>
      <c r="J41" s="153">
        <f>$D$37*$H41</f>
        <v>0.50000000000000011</v>
      </c>
      <c r="K41" s="154">
        <f>H41*$E$37</f>
        <v>5.6771523178807959E-2</v>
      </c>
      <c r="L41" s="155"/>
      <c r="M41" s="155"/>
      <c r="N41" s="155"/>
      <c r="O41" s="11"/>
      <c r="P41" s="148">
        <v>70</v>
      </c>
      <c r="Q41" s="156">
        <v>1.4579533523151906E-2</v>
      </c>
      <c r="R41" s="11"/>
      <c r="S41" s="148">
        <v>70</v>
      </c>
      <c r="T41" s="157">
        <v>7.267675369765996E-3</v>
      </c>
      <c r="U41" s="123">
        <v>0</v>
      </c>
      <c r="V41" s="123">
        <v>0</v>
      </c>
      <c r="W41" s="123">
        <v>0</v>
      </c>
      <c r="X41" s="156">
        <v>7.1056188985926787E-3</v>
      </c>
      <c r="Y41" s="11"/>
      <c r="Z41" s="11"/>
    </row>
    <row r="42" spans="1:26">
      <c r="A42" s="11"/>
      <c r="B42" s="115"/>
      <c r="C42" s="158" t="s">
        <v>134</v>
      </c>
      <c r="D42" s="115"/>
      <c r="E42" s="115"/>
      <c r="F42" s="123">
        <v>0.2</v>
      </c>
      <c r="G42" s="115"/>
      <c r="H42" s="123">
        <f>$E$39*F42</f>
        <v>1.0000000000000002E-2</v>
      </c>
      <c r="I42" s="153">
        <f>$C$37*H42</f>
        <v>1.3500000000000003</v>
      </c>
      <c r="J42" s="153">
        <f>$D$37*$H42</f>
        <v>0.50000000000000011</v>
      </c>
      <c r="K42" s="154">
        <f>H42*$E$37</f>
        <v>5.6771523178807959E-2</v>
      </c>
      <c r="L42" s="155"/>
      <c r="M42" s="155"/>
      <c r="N42" s="155"/>
      <c r="O42" s="11"/>
      <c r="P42" s="148"/>
      <c r="Q42" s="156"/>
      <c r="R42" s="11"/>
      <c r="S42" s="148"/>
      <c r="T42" s="157"/>
      <c r="U42" s="123"/>
      <c r="V42" s="123"/>
      <c r="W42" s="123"/>
      <c r="X42" s="156"/>
      <c r="Y42" s="11"/>
      <c r="Z42" s="11"/>
    </row>
    <row r="43" spans="1:26">
      <c r="A43" s="11"/>
      <c r="B43" s="115" t="s">
        <v>72</v>
      </c>
      <c r="C43" s="115"/>
      <c r="D43" s="115"/>
      <c r="E43" s="123">
        <v>0.25</v>
      </c>
      <c r="F43" s="115"/>
      <c r="G43" s="115"/>
      <c r="H43" s="115"/>
      <c r="I43" s="159"/>
      <c r="J43" s="11"/>
      <c r="K43" s="160"/>
      <c r="L43" s="155">
        <v>1.5</v>
      </c>
      <c r="M43" s="155">
        <f>SUM(K41,K42,K44,K47)</f>
        <v>1.3909023178807949</v>
      </c>
      <c r="N43" s="155">
        <f>M43*$Q$55</f>
        <v>1.3352662251655629</v>
      </c>
      <c r="O43" s="11"/>
      <c r="P43" s="148">
        <v>85</v>
      </c>
      <c r="Q43" s="156">
        <v>3.1711622490291284E-3</v>
      </c>
      <c r="R43" s="11"/>
      <c r="S43" s="148">
        <v>85</v>
      </c>
      <c r="T43" s="157">
        <v>0</v>
      </c>
      <c r="U43" s="123">
        <v>0</v>
      </c>
      <c r="V43" s="123">
        <v>0</v>
      </c>
      <c r="W43" s="123">
        <v>8.9060086100879635E-2</v>
      </c>
      <c r="X43" s="156">
        <v>1.876711998433544E-3</v>
      </c>
      <c r="Y43" s="11"/>
      <c r="Z43" s="11"/>
    </row>
    <row r="44" spans="1:26">
      <c r="A44" s="11"/>
      <c r="B44" s="115"/>
      <c r="C44" s="115" t="s">
        <v>135</v>
      </c>
      <c r="D44" s="115"/>
      <c r="E44" s="115"/>
      <c r="F44" s="123">
        <v>0.85</v>
      </c>
      <c r="G44" s="115"/>
      <c r="H44" s="123">
        <f>$E$43*F44</f>
        <v>0.21249999999999999</v>
      </c>
      <c r="I44" s="159">
        <f>$C$37*H44</f>
        <v>28.6875</v>
      </c>
      <c r="J44" s="32">
        <f>$D$37*$H44</f>
        <v>10.625</v>
      </c>
      <c r="K44" s="154">
        <f>H44*$E$37</f>
        <v>1.206394867549669</v>
      </c>
      <c r="L44" s="155"/>
      <c r="M44" s="155"/>
      <c r="N44" s="155"/>
      <c r="O44" s="11"/>
      <c r="P44" s="148">
        <v>100</v>
      </c>
      <c r="Q44" s="156">
        <v>0.60679257048275359</v>
      </c>
      <c r="R44" s="11"/>
      <c r="S44" s="148">
        <v>100</v>
      </c>
      <c r="T44" s="157">
        <v>0.43210979007481276</v>
      </c>
      <c r="U44" s="123">
        <v>0</v>
      </c>
      <c r="V44" s="123">
        <v>0</v>
      </c>
      <c r="W44" s="123">
        <v>0</v>
      </c>
      <c r="X44" s="156">
        <v>0.42247449623239919</v>
      </c>
      <c r="Y44" s="47">
        <f>T44/(SUM($T$44:$T$45))</f>
        <v>0.72882957849097352</v>
      </c>
      <c r="Z44" s="11"/>
    </row>
    <row r="45" spans="1:26">
      <c r="A45" s="11"/>
      <c r="B45" s="115"/>
      <c r="C45" s="115" t="s">
        <v>136</v>
      </c>
      <c r="D45" s="115"/>
      <c r="E45" s="115"/>
      <c r="F45" s="123">
        <v>0.05</v>
      </c>
      <c r="G45" s="115"/>
      <c r="H45" s="123">
        <f>$E$43*F45</f>
        <v>1.2500000000000001E-2</v>
      </c>
      <c r="I45" s="153">
        <f>$C$37*H45</f>
        <v>1.6875</v>
      </c>
      <c r="J45" s="32">
        <f>$D$37*$H45</f>
        <v>0.625</v>
      </c>
      <c r="K45" s="154">
        <f>H45*$E$37</f>
        <v>7.0964403973509935E-2</v>
      </c>
      <c r="L45" s="155"/>
      <c r="M45" s="155"/>
      <c r="N45" s="155"/>
      <c r="O45" s="11"/>
      <c r="P45" s="148">
        <v>150</v>
      </c>
      <c r="Q45" s="156">
        <v>0.15050998839997615</v>
      </c>
      <c r="R45" s="11"/>
      <c r="S45" s="148">
        <v>150</v>
      </c>
      <c r="T45" s="157">
        <v>0.16077200675001846</v>
      </c>
      <c r="U45" s="123">
        <v>0</v>
      </c>
      <c r="V45" s="123">
        <v>0</v>
      </c>
      <c r="W45" s="123">
        <v>0</v>
      </c>
      <c r="X45" s="156">
        <v>0.1571870717120904</v>
      </c>
      <c r="Y45" s="47">
        <f>T45/(SUM($T$44:$T$45))</f>
        <v>0.27117042150902643</v>
      </c>
      <c r="Z45" s="11"/>
    </row>
    <row r="46" spans="1:26">
      <c r="A46" s="11"/>
      <c r="B46" s="115"/>
      <c r="C46" s="115" t="s">
        <v>137</v>
      </c>
      <c r="D46" s="115"/>
      <c r="E46" s="115"/>
      <c r="F46" s="123">
        <v>0.05</v>
      </c>
      <c r="G46" s="115"/>
      <c r="H46" s="123">
        <f>$E$43*F46</f>
        <v>1.2500000000000001E-2</v>
      </c>
      <c r="I46" s="153">
        <f>$C$37*H46</f>
        <v>1.6875</v>
      </c>
      <c r="J46" s="32">
        <f>$D$37*$H46</f>
        <v>0.625</v>
      </c>
      <c r="K46" s="154">
        <f>H46*$E$37</f>
        <v>7.0964403973509935E-2</v>
      </c>
      <c r="L46" s="155"/>
      <c r="M46" s="155"/>
      <c r="N46" s="155"/>
      <c r="O46" s="11"/>
      <c r="P46" s="148">
        <v>175</v>
      </c>
      <c r="Q46" s="156">
        <v>4.0347909015465169E-4</v>
      </c>
      <c r="R46" s="11"/>
      <c r="S46" s="148">
        <v>175</v>
      </c>
      <c r="T46" s="157">
        <v>0</v>
      </c>
      <c r="U46" s="123">
        <v>0</v>
      </c>
      <c r="V46" s="123">
        <v>1</v>
      </c>
      <c r="W46" s="123">
        <v>0</v>
      </c>
      <c r="X46" s="156">
        <v>4.9160843240238174E-4</v>
      </c>
      <c r="Y46" s="11"/>
      <c r="Z46" s="11"/>
    </row>
    <row r="47" spans="1:26">
      <c r="A47" s="11"/>
      <c r="B47" s="115"/>
      <c r="C47" s="115" t="s">
        <v>138</v>
      </c>
      <c r="D47" s="115"/>
      <c r="E47" s="115"/>
      <c r="F47" s="123">
        <v>0.05</v>
      </c>
      <c r="G47" s="115"/>
      <c r="H47" s="123">
        <f>$E$43*F47</f>
        <v>1.2500000000000001E-2</v>
      </c>
      <c r="I47" s="153">
        <f>$C$37*H47</f>
        <v>1.6875</v>
      </c>
      <c r="J47" s="32">
        <f>$D$37*$H47</f>
        <v>0.625</v>
      </c>
      <c r="K47" s="154">
        <f>H47*$E$37</f>
        <v>7.0964403973509935E-2</v>
      </c>
      <c r="L47" s="155"/>
      <c r="M47" s="155"/>
      <c r="N47" s="155"/>
      <c r="O47" s="11"/>
      <c r="P47" s="148">
        <v>200</v>
      </c>
      <c r="Q47" s="156">
        <v>0.10896191249088732</v>
      </c>
      <c r="R47" s="11"/>
      <c r="S47" s="148">
        <v>200</v>
      </c>
      <c r="T47" s="157">
        <v>0.15518815299643049</v>
      </c>
      <c r="U47" s="123">
        <v>0</v>
      </c>
      <c r="V47" s="123">
        <v>0</v>
      </c>
      <c r="W47" s="123">
        <v>0</v>
      </c>
      <c r="X47" s="156">
        <v>0.15172772814763646</v>
      </c>
      <c r="Y47" s="11"/>
      <c r="Z47" s="11"/>
    </row>
    <row r="48" spans="1:26">
      <c r="A48" s="11"/>
      <c r="B48" s="115"/>
      <c r="C48" s="115"/>
      <c r="D48" s="115"/>
      <c r="E48" s="115"/>
      <c r="F48" s="115"/>
      <c r="G48" s="115"/>
      <c r="H48" s="115"/>
      <c r="I48" s="153"/>
      <c r="J48" s="11"/>
      <c r="K48" s="160"/>
      <c r="L48" s="115"/>
      <c r="M48" s="115"/>
      <c r="N48" s="115"/>
      <c r="O48" s="11"/>
      <c r="P48" s="148">
        <v>250</v>
      </c>
      <c r="Q48" s="156">
        <v>7.1116124033140299E-2</v>
      </c>
      <c r="R48" s="11"/>
      <c r="S48" s="148">
        <v>250</v>
      </c>
      <c r="T48" s="157">
        <v>0.1258572647897028</v>
      </c>
      <c r="U48" s="123">
        <v>1</v>
      </c>
      <c r="V48" s="123">
        <v>0</v>
      </c>
      <c r="W48" s="123">
        <v>0</v>
      </c>
      <c r="X48" s="156">
        <v>0.12378508792139087</v>
      </c>
      <c r="Y48" s="11"/>
      <c r="Z48" s="11"/>
    </row>
    <row r="49" spans="1:26">
      <c r="A49" s="11"/>
      <c r="B49" s="115"/>
      <c r="C49" s="115"/>
      <c r="D49" s="115"/>
      <c r="E49" s="115"/>
      <c r="F49" s="115"/>
      <c r="G49" s="115"/>
      <c r="H49" s="115"/>
      <c r="I49" s="153"/>
      <c r="J49" s="11"/>
      <c r="K49" s="160"/>
      <c r="L49" s="115"/>
      <c r="M49" s="115"/>
      <c r="N49" s="115"/>
      <c r="O49" s="11"/>
      <c r="P49" s="148">
        <v>400</v>
      </c>
      <c r="Q49" s="156">
        <v>4.1708183748045649E-2</v>
      </c>
      <c r="R49" s="11"/>
      <c r="S49" s="148">
        <v>400</v>
      </c>
      <c r="T49" s="157">
        <v>0.11880511001926951</v>
      </c>
      <c r="U49" s="123">
        <v>0</v>
      </c>
      <c r="V49" s="123">
        <v>0</v>
      </c>
      <c r="W49" s="123">
        <v>0</v>
      </c>
      <c r="X49" s="156">
        <v>0.11615596350301552</v>
      </c>
      <c r="Y49" s="11"/>
      <c r="Z49" s="11"/>
    </row>
    <row r="50" spans="1:26">
      <c r="A50" s="11"/>
      <c r="B50" s="115" t="s">
        <v>139</v>
      </c>
      <c r="C50" s="115"/>
      <c r="D50" s="115"/>
      <c r="E50" s="123">
        <v>0.05</v>
      </c>
      <c r="F50" s="115"/>
      <c r="G50" s="115"/>
      <c r="H50" s="115"/>
      <c r="I50" s="153"/>
      <c r="J50" s="11"/>
      <c r="K50" s="160"/>
      <c r="L50" s="115"/>
      <c r="M50" s="115"/>
      <c r="N50" s="115"/>
      <c r="O50" s="11"/>
      <c r="P50" s="148">
        <v>1000</v>
      </c>
      <c r="Q50" s="156">
        <v>2.7570459828613089E-3</v>
      </c>
      <c r="R50" s="11"/>
      <c r="S50" s="148">
        <v>1000</v>
      </c>
      <c r="T50" s="157">
        <v>0</v>
      </c>
      <c r="U50" s="123">
        <v>0</v>
      </c>
      <c r="V50" s="123">
        <v>0</v>
      </c>
      <c r="W50" s="123">
        <v>0.91093991389912032</v>
      </c>
      <c r="X50" s="156">
        <v>1.9195713154038972E-2</v>
      </c>
      <c r="Y50" s="11"/>
      <c r="Z50" s="11"/>
    </row>
    <row r="51" spans="1:26">
      <c r="A51" s="11"/>
      <c r="B51" s="115"/>
      <c r="C51" s="115" t="s">
        <v>140</v>
      </c>
      <c r="D51" s="115"/>
      <c r="E51" s="115"/>
      <c r="F51" s="123">
        <v>0.6</v>
      </c>
      <c r="G51" s="115"/>
      <c r="H51" s="115"/>
      <c r="I51" s="153"/>
      <c r="J51" s="11"/>
      <c r="K51" s="160"/>
      <c r="L51" s="115"/>
      <c r="M51" s="115"/>
      <c r="N51" s="115"/>
      <c r="O51" s="11"/>
      <c r="P51" s="148" t="s">
        <v>131</v>
      </c>
      <c r="Q51" s="161">
        <v>0</v>
      </c>
      <c r="R51" s="11"/>
      <c r="S51" s="148" t="s">
        <v>131</v>
      </c>
      <c r="T51" s="123">
        <v>0</v>
      </c>
      <c r="U51" s="123">
        <v>0</v>
      </c>
      <c r="V51" s="123">
        <v>0</v>
      </c>
      <c r="W51" s="123">
        <v>0</v>
      </c>
      <c r="X51" s="162">
        <v>0</v>
      </c>
      <c r="Y51" s="11"/>
      <c r="Z51" s="11"/>
    </row>
    <row r="52" spans="1:26" ht="13.5" thickBot="1">
      <c r="A52" s="11"/>
      <c r="B52" s="115"/>
      <c r="C52" s="115"/>
      <c r="D52" s="115" t="s">
        <v>141</v>
      </c>
      <c r="E52" s="115"/>
      <c r="F52" s="115"/>
      <c r="G52" s="123">
        <v>0.45</v>
      </c>
      <c r="H52" s="123">
        <f>$E$50*$F$51*G52</f>
        <v>1.35E-2</v>
      </c>
      <c r="I52" s="153">
        <f>$C$37*H52</f>
        <v>1.8225</v>
      </c>
      <c r="J52" s="32">
        <f>$D$37*$H52</f>
        <v>0.67500000000000004</v>
      </c>
      <c r="K52" s="154">
        <f>H52*$E$37</f>
        <v>7.6641556291390731E-2</v>
      </c>
      <c r="L52" s="155"/>
      <c r="M52" s="155"/>
      <c r="N52" s="155"/>
      <c r="O52" s="11"/>
      <c r="P52" s="163" t="s">
        <v>132</v>
      </c>
      <c r="Q52" s="164">
        <v>1</v>
      </c>
      <c r="R52" s="11"/>
      <c r="S52" s="163" t="s">
        <v>132</v>
      </c>
      <c r="T52" s="165">
        <v>1</v>
      </c>
      <c r="U52" s="165">
        <v>1</v>
      </c>
      <c r="V52" s="165">
        <v>1</v>
      </c>
      <c r="W52" s="165">
        <v>1</v>
      </c>
      <c r="X52" s="164">
        <v>1</v>
      </c>
      <c r="Y52" s="11"/>
      <c r="Z52" s="11"/>
    </row>
    <row r="53" spans="1:26">
      <c r="A53" s="11"/>
      <c r="B53" s="115"/>
      <c r="C53" s="115"/>
      <c r="D53" s="115" t="s">
        <v>142</v>
      </c>
      <c r="E53" s="115"/>
      <c r="F53" s="115"/>
      <c r="G53" s="123">
        <v>0.5</v>
      </c>
      <c r="H53" s="123">
        <f>$E$50*$F$51*G53</f>
        <v>1.4999999999999999E-2</v>
      </c>
      <c r="I53" s="153">
        <f>$C$37*H53</f>
        <v>2.0249999999999999</v>
      </c>
      <c r="J53" s="32">
        <f>$D$37*$H53</f>
        <v>0.75</v>
      </c>
      <c r="K53" s="154">
        <f>H53*$E$37</f>
        <v>8.5157284768211924E-2</v>
      </c>
      <c r="L53" s="155"/>
      <c r="M53" s="155"/>
      <c r="N53" s="155"/>
      <c r="O53" s="11"/>
      <c r="P53" s="11"/>
      <c r="Q53" s="11"/>
      <c r="R53" s="11"/>
      <c r="S53" s="11"/>
      <c r="T53" s="11"/>
      <c r="U53" s="11"/>
      <c r="V53" s="11"/>
      <c r="W53" s="11"/>
      <c r="X53" s="11"/>
      <c r="Y53" s="11"/>
      <c r="Z53" s="11"/>
    </row>
    <row r="54" spans="1:26">
      <c r="A54" s="11"/>
      <c r="B54" s="115"/>
      <c r="C54" s="115"/>
      <c r="D54" s="115" t="s">
        <v>143</v>
      </c>
      <c r="E54" s="115"/>
      <c r="F54" s="115"/>
      <c r="G54" s="123">
        <v>0.05</v>
      </c>
      <c r="H54" s="123">
        <f>$E$50*$F$51*G54</f>
        <v>1.5E-3</v>
      </c>
      <c r="I54" s="153">
        <f>$C$37*H54</f>
        <v>0.20250000000000001</v>
      </c>
      <c r="J54" s="32">
        <f>$D$37*$H54</f>
        <v>7.4999999999999997E-2</v>
      </c>
      <c r="K54" s="154">
        <f>H54*$E$37</f>
        <v>8.5157284768211921E-3</v>
      </c>
      <c r="L54" s="155"/>
      <c r="M54" s="155"/>
      <c r="N54" s="155"/>
      <c r="O54" s="11"/>
      <c r="P54" s="11" t="s">
        <v>144</v>
      </c>
      <c r="Q54" s="166">
        <f>SUMPRODUCT(P41:P50,Q41:Q50)</f>
        <v>143.62821327537907</v>
      </c>
      <c r="R54" s="11"/>
      <c r="S54" s="11"/>
      <c r="T54" s="11"/>
      <c r="U54" s="11"/>
      <c r="V54" s="11"/>
      <c r="W54" s="11"/>
      <c r="X54" s="166">
        <f>SUMPRODUCT(X41:X50,S41:S50)</f>
        <v>193.5183718636124</v>
      </c>
      <c r="Y54" s="11" t="s">
        <v>145</v>
      </c>
      <c r="Z54" s="11"/>
    </row>
    <row r="55" spans="1:26">
      <c r="A55" s="11"/>
      <c r="B55" s="115"/>
      <c r="C55" s="115" t="s">
        <v>146</v>
      </c>
      <c r="D55" s="115"/>
      <c r="E55" s="115"/>
      <c r="F55" s="123">
        <v>0.4</v>
      </c>
      <c r="G55" s="115"/>
      <c r="H55" s="115"/>
      <c r="I55" s="159"/>
      <c r="J55" s="11"/>
      <c r="K55" s="160"/>
      <c r="L55" s="115"/>
      <c r="M55" s="115"/>
      <c r="N55" s="115"/>
      <c r="O55" s="11"/>
      <c r="P55" s="11" t="s">
        <v>147</v>
      </c>
      <c r="Q55" s="167">
        <v>0.96</v>
      </c>
      <c r="R55" s="11"/>
      <c r="S55" s="11"/>
      <c r="T55" s="11"/>
      <c r="U55" s="11"/>
      <c r="V55" s="11"/>
      <c r="W55" s="11"/>
      <c r="X55" s="11"/>
      <c r="Y55" s="11"/>
      <c r="Z55" s="11"/>
    </row>
    <row r="56" spans="1:26">
      <c r="A56" s="11"/>
      <c r="B56" s="115"/>
      <c r="C56" s="115"/>
      <c r="D56" s="115" t="s">
        <v>141</v>
      </c>
      <c r="E56" s="115"/>
      <c r="F56" s="115"/>
      <c r="G56" s="123">
        <v>0.3</v>
      </c>
      <c r="H56" s="123">
        <f>$E$50*$F$55*G56</f>
        <v>6.000000000000001E-3</v>
      </c>
      <c r="I56" s="153">
        <f>$C$37*H56</f>
        <v>0.81000000000000016</v>
      </c>
      <c r="J56" s="32">
        <f>$D$37*$H56</f>
        <v>0.30000000000000004</v>
      </c>
      <c r="K56" s="154">
        <f>H56*$E$37</f>
        <v>3.4062913907284775E-2</v>
      </c>
      <c r="L56" s="155"/>
      <c r="M56" s="155"/>
      <c r="N56" s="155"/>
      <c r="O56" s="11"/>
      <c r="P56" s="11"/>
      <c r="Q56" s="11"/>
      <c r="R56" s="11"/>
      <c r="S56" s="11"/>
      <c r="T56" s="11"/>
      <c r="U56" s="11"/>
      <c r="V56" s="11"/>
      <c r="W56" s="11"/>
      <c r="X56" s="11"/>
      <c r="Y56" s="11"/>
      <c r="Z56" s="11"/>
    </row>
    <row r="57" spans="1:26">
      <c r="A57" s="11"/>
      <c r="B57" s="115"/>
      <c r="C57" s="115"/>
      <c r="D57" s="115" t="s">
        <v>142</v>
      </c>
      <c r="E57" s="115"/>
      <c r="F57" s="115"/>
      <c r="G57" s="123">
        <v>0.4</v>
      </c>
      <c r="H57" s="123">
        <f>$E$50*$F$55*G57</f>
        <v>8.0000000000000019E-3</v>
      </c>
      <c r="I57" s="153">
        <f>$C$37*H57</f>
        <v>1.0800000000000003</v>
      </c>
      <c r="J57" s="32">
        <f>$D$37*$H57</f>
        <v>0.40000000000000008</v>
      </c>
      <c r="K57" s="154">
        <f>H57*$E$37</f>
        <v>4.5417218543046374E-2</v>
      </c>
      <c r="L57" s="155"/>
      <c r="M57" s="155"/>
      <c r="N57" s="155"/>
      <c r="O57" s="11"/>
      <c r="P57" s="11"/>
      <c r="Q57" s="11"/>
      <c r="R57" s="11"/>
      <c r="S57" s="11"/>
      <c r="T57" s="11"/>
      <c r="U57" s="11"/>
      <c r="V57" s="11"/>
      <c r="W57" s="11"/>
      <c r="X57" s="11"/>
      <c r="Y57" s="11"/>
      <c r="Z57" s="11"/>
    </row>
    <row r="58" spans="1:26">
      <c r="A58" s="11"/>
      <c r="B58" s="115"/>
      <c r="C58" s="115"/>
      <c r="D58" s="115" t="s">
        <v>143</v>
      </c>
      <c r="E58" s="115"/>
      <c r="F58" s="115"/>
      <c r="G58" s="123">
        <v>0.3</v>
      </c>
      <c r="H58" s="123">
        <f>$E$50*$F$55*G58</f>
        <v>6.000000000000001E-3</v>
      </c>
      <c r="I58" s="153">
        <f>$C$37*H58</f>
        <v>0.81000000000000016</v>
      </c>
      <c r="J58" s="32">
        <f>$D$37*$H58</f>
        <v>0.30000000000000004</v>
      </c>
      <c r="K58" s="154">
        <f>H58*$E$37</f>
        <v>3.4062913907284775E-2</v>
      </c>
      <c r="L58" s="155"/>
      <c r="M58" s="155"/>
      <c r="N58" s="155"/>
      <c r="O58" s="11"/>
      <c r="P58" s="11"/>
      <c r="Q58" s="11"/>
      <c r="R58" s="11"/>
      <c r="S58" s="11"/>
      <c r="T58" s="11"/>
      <c r="U58" s="11"/>
      <c r="V58" s="11"/>
      <c r="W58" s="11"/>
      <c r="X58" s="11"/>
      <c r="Y58" s="11"/>
      <c r="Z58" s="11"/>
    </row>
    <row r="59" spans="1:26">
      <c r="A59" s="11"/>
      <c r="B59" s="115"/>
      <c r="C59" s="115"/>
      <c r="D59" s="115"/>
      <c r="E59" s="115"/>
      <c r="F59" s="115"/>
      <c r="G59" s="115"/>
      <c r="H59" s="115"/>
      <c r="I59" s="115"/>
      <c r="J59" s="11"/>
      <c r="K59" s="160"/>
      <c r="L59" s="115"/>
      <c r="M59" s="115"/>
      <c r="N59" s="115"/>
      <c r="O59" s="11"/>
      <c r="P59" s="11"/>
      <c r="Q59" s="11"/>
      <c r="R59" s="11"/>
      <c r="S59" s="11"/>
      <c r="T59" s="11"/>
      <c r="U59" s="11"/>
      <c r="V59" s="11"/>
      <c r="W59" s="11"/>
      <c r="X59" s="11"/>
      <c r="Y59" s="11"/>
      <c r="Z59" s="11"/>
    </row>
    <row r="60" spans="1:26">
      <c r="A60" s="11"/>
      <c r="B60" s="115" t="s">
        <v>148</v>
      </c>
      <c r="C60" s="115"/>
      <c r="D60" s="115"/>
      <c r="E60" s="123">
        <v>0.35</v>
      </c>
      <c r="F60" s="115"/>
      <c r="G60" s="115"/>
      <c r="H60" s="115"/>
      <c r="I60" s="115"/>
      <c r="J60" s="11"/>
      <c r="K60" s="160"/>
      <c r="L60" s="155"/>
      <c r="M60" s="155"/>
      <c r="N60" s="155"/>
      <c r="O60" s="11"/>
      <c r="P60" s="11"/>
      <c r="Q60" s="11"/>
      <c r="R60" s="11"/>
      <c r="S60" s="11"/>
      <c r="T60" s="11"/>
      <c r="U60" s="11"/>
      <c r="V60" s="11"/>
      <c r="W60" s="11"/>
      <c r="X60" s="11"/>
      <c r="Y60" s="11"/>
      <c r="Z60" s="11"/>
    </row>
    <row r="61" spans="1:26">
      <c r="A61" s="11"/>
      <c r="B61" s="115"/>
      <c r="C61" s="115" t="s">
        <v>149</v>
      </c>
      <c r="D61" s="115"/>
      <c r="E61" s="115"/>
      <c r="F61" s="123">
        <v>0.4</v>
      </c>
      <c r="G61" s="115"/>
      <c r="H61" s="123">
        <f>E60*F61</f>
        <v>0.13999999999999999</v>
      </c>
      <c r="I61" s="153">
        <f>$C$37*H61</f>
        <v>18.899999999999999</v>
      </c>
      <c r="J61" s="32">
        <f>$D$37*$H61</f>
        <v>6.9999999999999991</v>
      </c>
      <c r="K61" s="154">
        <f>H61*$E$37</f>
        <v>0.7948013245033112</v>
      </c>
      <c r="L61" s="11"/>
      <c r="M61" s="11"/>
      <c r="N61" s="11"/>
      <c r="O61" s="11"/>
      <c r="P61" s="11"/>
      <c r="Q61" s="11"/>
      <c r="R61" s="11"/>
      <c r="S61" s="11"/>
      <c r="T61" s="11"/>
      <c r="U61" s="11"/>
      <c r="V61" s="11"/>
      <c r="W61" s="11"/>
      <c r="X61" s="11"/>
      <c r="Y61" s="11"/>
      <c r="Z61" s="11"/>
    </row>
    <row r="62" spans="1:26">
      <c r="A62" s="11"/>
      <c r="B62" s="115"/>
      <c r="C62" s="115" t="s">
        <v>150</v>
      </c>
      <c r="D62" s="115"/>
      <c r="E62" s="115"/>
      <c r="F62" s="123">
        <v>0.6</v>
      </c>
      <c r="G62" s="115"/>
      <c r="H62" s="123">
        <f>E60*F62</f>
        <v>0.21</v>
      </c>
      <c r="I62" s="153">
        <f>$C$37*H62</f>
        <v>28.349999999999998</v>
      </c>
      <c r="J62" s="32">
        <f>$D$37*$H62</f>
        <v>10.5</v>
      </c>
      <c r="K62" s="154">
        <f>H62*$E$37</f>
        <v>1.1922019867549669</v>
      </c>
      <c r="L62" s="11"/>
      <c r="M62" s="11"/>
      <c r="N62" s="11"/>
      <c r="O62" s="11"/>
      <c r="P62" s="11"/>
      <c r="Q62" s="11"/>
      <c r="R62" s="11"/>
      <c r="S62" s="11"/>
      <c r="T62" s="11"/>
      <c r="U62" s="11"/>
      <c r="V62" s="11"/>
      <c r="W62" s="11"/>
      <c r="X62" s="11"/>
      <c r="Y62" s="11"/>
      <c r="Z62" s="11"/>
    </row>
    <row r="63" spans="1:26">
      <c r="A63" s="11"/>
      <c r="B63" s="115" t="s">
        <v>151</v>
      </c>
      <c r="C63" s="115"/>
      <c r="D63" s="115"/>
      <c r="E63" s="123">
        <v>0.3</v>
      </c>
      <c r="F63" s="115"/>
      <c r="G63" s="115"/>
      <c r="H63" s="115"/>
      <c r="I63" s="115"/>
      <c r="J63" s="11"/>
      <c r="K63" s="160"/>
      <c r="L63" s="11"/>
      <c r="M63" s="11"/>
      <c r="N63" s="11"/>
      <c r="O63" s="11"/>
      <c r="P63" s="11"/>
      <c r="Q63" s="11"/>
      <c r="R63" s="11"/>
      <c r="S63" s="11"/>
      <c r="T63" s="11"/>
      <c r="U63" s="11"/>
      <c r="V63" s="11"/>
      <c r="W63" s="11"/>
      <c r="X63" s="11"/>
      <c r="Y63" s="11"/>
      <c r="Z63" s="11"/>
    </row>
    <row r="64" spans="1:26">
      <c r="A64" s="11"/>
      <c r="B64" s="115"/>
      <c r="C64" s="115" t="s">
        <v>152</v>
      </c>
      <c r="D64" s="115"/>
      <c r="E64" s="115"/>
      <c r="F64" s="123">
        <v>0.6</v>
      </c>
      <c r="G64" s="115"/>
      <c r="H64" s="123">
        <f>E63*F64</f>
        <v>0.18</v>
      </c>
      <c r="I64" s="153">
        <f>$C$37*H64</f>
        <v>24.3</v>
      </c>
      <c r="J64" s="32">
        <f>$D$37*$H64</f>
        <v>9</v>
      </c>
      <c r="K64" s="154">
        <f>H64*$E$37</f>
        <v>1.021887417218543</v>
      </c>
      <c r="L64" s="11"/>
      <c r="M64" s="11"/>
      <c r="N64" s="11"/>
      <c r="O64" s="11"/>
      <c r="P64" s="11"/>
      <c r="Q64" s="11"/>
      <c r="R64" s="11"/>
      <c r="S64" s="11"/>
      <c r="T64" s="11"/>
      <c r="U64" s="11"/>
      <c r="V64" s="11"/>
      <c r="W64" s="11"/>
      <c r="X64" s="11"/>
      <c r="Y64" s="11"/>
      <c r="Z64" s="11"/>
    </row>
    <row r="65" spans="1:26">
      <c r="A65" s="11"/>
      <c r="B65" s="115"/>
      <c r="C65" s="158" t="s">
        <v>153</v>
      </c>
      <c r="D65" s="115"/>
      <c r="E65" s="115"/>
      <c r="F65" s="123">
        <v>0.4</v>
      </c>
      <c r="G65" s="115"/>
      <c r="H65" s="123">
        <f>E63*F65</f>
        <v>0.12</v>
      </c>
      <c r="I65" s="153">
        <f>$C$37*H65</f>
        <v>16.2</v>
      </c>
      <c r="J65" s="32">
        <f>$D$37*$H65</f>
        <v>6</v>
      </c>
      <c r="K65" s="154">
        <f>H65*$E$37</f>
        <v>0.6812582781456954</v>
      </c>
      <c r="L65" s="11"/>
      <c r="M65" s="11"/>
      <c r="N65" s="11"/>
      <c r="O65" s="11"/>
      <c r="P65" s="11"/>
      <c r="Q65" s="11"/>
      <c r="R65" s="11"/>
      <c r="S65" s="11"/>
      <c r="T65" s="11"/>
      <c r="U65" s="11"/>
      <c r="V65" s="11"/>
      <c r="W65" s="11"/>
      <c r="X65" s="11"/>
      <c r="Y65" s="11"/>
      <c r="Z65" s="11"/>
    </row>
    <row r="66" spans="1:26">
      <c r="A66" s="11"/>
      <c r="B66" s="115"/>
      <c r="C66" s="115"/>
      <c r="D66" s="115"/>
      <c r="E66" s="115"/>
      <c r="F66" s="115"/>
      <c r="G66" s="115"/>
      <c r="H66" s="115"/>
      <c r="I66" s="115"/>
      <c r="J66" s="11"/>
      <c r="K66" s="160"/>
      <c r="L66" s="11"/>
      <c r="M66" s="11"/>
      <c r="N66" s="11"/>
      <c r="O66" s="11"/>
      <c r="P66" s="11"/>
      <c r="Q66" s="11"/>
      <c r="R66" s="11"/>
      <c r="S66" s="11"/>
      <c r="T66" s="11"/>
      <c r="U66" s="11"/>
      <c r="V66" s="11"/>
      <c r="W66" s="11"/>
      <c r="X66" s="11"/>
      <c r="Y66" s="11"/>
      <c r="Z66" s="11"/>
    </row>
    <row r="67" spans="1:26">
      <c r="A67" s="11"/>
      <c r="B67" s="115"/>
      <c r="C67" s="115"/>
      <c r="D67" s="115"/>
      <c r="E67" s="115"/>
      <c r="F67" s="115"/>
      <c r="G67" s="115"/>
      <c r="H67" s="115"/>
      <c r="I67" s="115"/>
      <c r="J67" s="11"/>
      <c r="K67" s="160"/>
      <c r="L67" s="11"/>
      <c r="M67" s="11"/>
      <c r="N67" s="11"/>
      <c r="O67" s="11"/>
      <c r="P67" s="11"/>
      <c r="Q67" s="11"/>
      <c r="R67" s="11"/>
      <c r="S67" s="11"/>
      <c r="T67" s="11"/>
      <c r="U67" s="11"/>
      <c r="V67" s="11"/>
      <c r="W67" s="11"/>
      <c r="X67" s="11"/>
      <c r="Y67" s="11"/>
      <c r="Z67" s="11"/>
    </row>
    <row r="68" spans="1:26">
      <c r="A68" s="11"/>
      <c r="B68" s="115" t="s">
        <v>154</v>
      </c>
      <c r="C68" s="115"/>
      <c r="D68" s="115"/>
      <c r="E68" s="123">
        <f>SUM(E39:E65)</f>
        <v>1</v>
      </c>
      <c r="F68" s="123">
        <f>SUM(F39:F65)</f>
        <v>5</v>
      </c>
      <c r="G68" s="123">
        <f>SUM(G39:G65)</f>
        <v>2</v>
      </c>
      <c r="H68" s="123">
        <f>SUM(H39:H65)</f>
        <v>1</v>
      </c>
      <c r="I68" s="159">
        <f>SUM(I40:I65)</f>
        <v>135</v>
      </c>
      <c r="J68" s="166">
        <f>SUM(J40:J65)</f>
        <v>50</v>
      </c>
      <c r="K68" s="168">
        <f>SUM(K40:K65)</f>
        <v>5.677152317880795</v>
      </c>
      <c r="L68" s="11"/>
      <c r="M68" s="11"/>
      <c r="N68" s="11"/>
      <c r="O68" s="11"/>
      <c r="P68" s="11"/>
      <c r="Q68" s="11"/>
      <c r="R68" s="11"/>
      <c r="S68" s="11"/>
      <c r="T68" s="11"/>
      <c r="U68" s="11"/>
      <c r="V68" s="11"/>
      <c r="W68" s="11"/>
      <c r="X68" s="11"/>
      <c r="Y68" s="11"/>
      <c r="Z68" s="11"/>
    </row>
    <row r="69" spans="1:26">
      <c r="A69" s="11"/>
      <c r="B69" s="115"/>
      <c r="C69" s="115"/>
      <c r="D69" s="115"/>
      <c r="E69" s="123"/>
      <c r="F69" s="123"/>
      <c r="G69" s="123"/>
      <c r="H69" s="123"/>
      <c r="I69" s="159"/>
      <c r="J69" s="166"/>
      <c r="K69" s="169"/>
      <c r="L69" s="11"/>
      <c r="M69" s="11"/>
      <c r="N69" s="11"/>
      <c r="O69" s="11"/>
      <c r="P69" s="11"/>
      <c r="Q69" s="11"/>
      <c r="R69" s="11"/>
      <c r="S69" s="11"/>
      <c r="T69" s="11"/>
      <c r="U69" s="11"/>
      <c r="V69" s="11"/>
      <c r="W69" s="11"/>
      <c r="X69" s="11"/>
      <c r="Y69" s="11"/>
      <c r="Z69" s="11"/>
    </row>
    <row r="70" spans="1:26">
      <c r="A70" s="11"/>
      <c r="B70" s="115"/>
      <c r="C70" s="115" t="s">
        <v>128</v>
      </c>
      <c r="D70" s="115"/>
      <c r="E70" s="123"/>
      <c r="F70" s="123"/>
      <c r="G70" s="123"/>
      <c r="H70" s="123"/>
      <c r="I70" s="159">
        <f>SUM(I40,I41,I44,I47,I52,I56)</f>
        <v>38.407499999999999</v>
      </c>
      <c r="J70" s="159">
        <f>SUM(J40,J41,J44,J47,J52,J56)</f>
        <v>14.225000000000001</v>
      </c>
      <c r="K70" s="169"/>
      <c r="L70" s="11"/>
      <c r="M70" s="11"/>
      <c r="N70" s="11"/>
      <c r="O70" s="11"/>
      <c r="P70" s="11"/>
      <c r="Q70" s="11"/>
      <c r="R70" s="11"/>
      <c r="S70" s="11"/>
      <c r="T70" s="11"/>
      <c r="U70" s="11"/>
      <c r="V70" s="11"/>
      <c r="W70" s="11"/>
      <c r="X70" s="11"/>
      <c r="Y70" s="11"/>
      <c r="Z70" s="11"/>
    </row>
    <row r="71" spans="1:26">
      <c r="A71" s="11"/>
      <c r="B71" s="115"/>
      <c r="C71" s="115" t="s">
        <v>129</v>
      </c>
      <c r="D71" s="115"/>
      <c r="E71" s="123"/>
      <c r="F71" s="123"/>
      <c r="G71" s="123"/>
      <c r="H71" s="123"/>
      <c r="I71" s="159">
        <f>SUM(I46,I53,I57)</f>
        <v>4.7925000000000004</v>
      </c>
      <c r="J71" s="159">
        <f>SUM(J46,J53,J57)</f>
        <v>1.7750000000000001</v>
      </c>
      <c r="K71" s="169"/>
      <c r="L71" s="11"/>
      <c r="M71" s="11"/>
      <c r="N71" s="11"/>
      <c r="O71" s="11"/>
      <c r="P71" s="11"/>
      <c r="Q71" s="11"/>
      <c r="R71" s="11"/>
      <c r="S71" s="11"/>
      <c r="T71" s="11"/>
      <c r="U71" s="11"/>
      <c r="V71" s="11"/>
      <c r="W71" s="11"/>
      <c r="X71" s="11"/>
      <c r="Y71" s="11"/>
      <c r="Z71" s="11"/>
    </row>
    <row r="72" spans="1:26">
      <c r="A72" s="11"/>
      <c r="B72" s="115"/>
      <c r="C72" s="115" t="s">
        <v>155</v>
      </c>
      <c r="D72" s="115"/>
      <c r="E72" s="123"/>
      <c r="F72" s="123"/>
      <c r="G72" s="123"/>
      <c r="H72" s="123"/>
      <c r="I72" s="159">
        <f>SUM(I58,I54)</f>
        <v>1.0125000000000002</v>
      </c>
      <c r="J72" s="159">
        <f>SUM(J58,J54)</f>
        <v>0.37500000000000006</v>
      </c>
      <c r="K72" s="169"/>
      <c r="L72" s="11"/>
      <c r="M72" s="11"/>
      <c r="N72" s="11"/>
      <c r="O72" s="11"/>
      <c r="P72" s="11"/>
      <c r="Q72" s="11"/>
      <c r="R72" s="11"/>
      <c r="S72" s="11"/>
      <c r="T72" s="11"/>
      <c r="U72" s="11"/>
      <c r="V72" s="11"/>
      <c r="W72" s="11"/>
      <c r="X72" s="11"/>
      <c r="Y72" s="11"/>
      <c r="Z72" s="11"/>
    </row>
    <row r="73" spans="1:26">
      <c r="A73" s="11"/>
      <c r="B73" s="115"/>
      <c r="C73" s="115" t="s">
        <v>136</v>
      </c>
      <c r="D73" s="115"/>
      <c r="E73" s="115"/>
      <c r="F73" s="115"/>
      <c r="G73" s="115"/>
      <c r="H73" s="115"/>
      <c r="I73" s="159">
        <f>I45</f>
        <v>1.6875</v>
      </c>
      <c r="J73" s="159">
        <f>J45</f>
        <v>0.625</v>
      </c>
      <c r="K73" s="169"/>
      <c r="L73" s="11"/>
      <c r="M73" s="11"/>
      <c r="N73" s="11"/>
      <c r="O73" s="11"/>
      <c r="P73" s="11"/>
      <c r="Q73" s="11"/>
      <c r="R73" s="11"/>
      <c r="S73" s="11"/>
      <c r="T73" s="11"/>
      <c r="U73" s="11"/>
      <c r="V73" s="11"/>
      <c r="W73" s="11"/>
      <c r="X73" s="11"/>
      <c r="Y73" s="11"/>
      <c r="Z73" s="11"/>
    </row>
    <row r="74" spans="1:26">
      <c r="A74" s="11"/>
      <c r="B74" s="115"/>
      <c r="C74" s="115" t="s">
        <v>156</v>
      </c>
      <c r="D74" s="115"/>
      <c r="E74" s="115"/>
      <c r="F74" s="115"/>
      <c r="G74" s="115"/>
      <c r="H74" s="115"/>
      <c r="I74" s="159">
        <f>SUM(I70:I73)</f>
        <v>45.900000000000006</v>
      </c>
      <c r="J74" s="166">
        <f>SUM(J70:J73)</f>
        <v>17</v>
      </c>
      <c r="K74" s="169"/>
      <c r="L74" s="11"/>
      <c r="M74" s="11"/>
      <c r="N74" s="11"/>
      <c r="O74" s="11"/>
      <c r="P74" s="11"/>
      <c r="Q74" s="11"/>
      <c r="R74" s="11"/>
      <c r="S74" s="11"/>
      <c r="T74" s="11"/>
      <c r="U74" s="11"/>
      <c r="V74" s="11"/>
      <c r="W74" s="11"/>
      <c r="X74" s="11"/>
      <c r="Y74" s="11"/>
      <c r="Z74" s="11"/>
    </row>
    <row r="75" spans="1:26">
      <c r="A75" s="11"/>
      <c r="B75" s="115"/>
      <c r="C75" s="115"/>
      <c r="D75" s="115"/>
      <c r="E75" s="123"/>
      <c r="F75" s="123"/>
      <c r="G75" s="123"/>
      <c r="H75" s="123"/>
      <c r="I75" s="159"/>
      <c r="J75" s="166"/>
      <c r="K75" s="169"/>
      <c r="L75" s="11"/>
      <c r="M75" s="11"/>
      <c r="N75" s="11"/>
      <c r="O75" s="11"/>
      <c r="P75" s="11"/>
      <c r="Q75" s="11"/>
      <c r="R75" s="11"/>
      <c r="S75" s="11"/>
      <c r="T75" s="11"/>
      <c r="U75" s="11"/>
      <c r="V75" s="11"/>
      <c r="W75" s="11"/>
      <c r="X75" s="11"/>
      <c r="Y75" s="11"/>
      <c r="Z75" s="11"/>
    </row>
    <row r="76" spans="1:26">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row>
    <row r="77" spans="1:26">
      <c r="A77" s="11"/>
      <c r="B77" s="495" t="s">
        <v>157</v>
      </c>
      <c r="C77" s="496"/>
      <c r="D77" s="496"/>
      <c r="E77" s="496"/>
      <c r="F77" s="496"/>
      <c r="G77" s="496"/>
      <c r="H77" s="496"/>
      <c r="I77" s="497"/>
      <c r="J77" s="11"/>
      <c r="K77" s="11" t="s">
        <v>158</v>
      </c>
      <c r="L77" s="11">
        <v>36.6</v>
      </c>
      <c r="M77" s="11">
        <v>302</v>
      </c>
      <c r="N77" s="11"/>
      <c r="O77" s="11">
        <v>12.7</v>
      </c>
      <c r="P77" s="11"/>
      <c r="Q77" s="11"/>
      <c r="R77" s="11"/>
      <c r="S77" s="11"/>
      <c r="T77" s="11"/>
      <c r="U77" s="11"/>
      <c r="V77" s="11"/>
      <c r="W77" s="11"/>
      <c r="X77" s="11"/>
      <c r="Y77" s="11"/>
      <c r="Z77" s="11"/>
    </row>
    <row r="78" spans="1:26" ht="51">
      <c r="A78" s="11"/>
      <c r="B78" s="481" t="s">
        <v>159</v>
      </c>
      <c r="C78" s="482"/>
      <c r="D78" s="483"/>
      <c r="E78" s="171" t="s">
        <v>160</v>
      </c>
      <c r="F78" s="171" t="s">
        <v>161</v>
      </c>
      <c r="G78" s="171" t="s">
        <v>162</v>
      </c>
      <c r="H78" s="171" t="s">
        <v>163</v>
      </c>
      <c r="I78" s="171" t="s">
        <v>164</v>
      </c>
      <c r="J78" s="172"/>
      <c r="K78" s="139" t="s">
        <v>165</v>
      </c>
      <c r="L78" s="139" t="s">
        <v>166</v>
      </c>
      <c r="M78" s="139" t="s">
        <v>167</v>
      </c>
      <c r="N78" s="139"/>
      <c r="O78" s="139" t="s">
        <v>168</v>
      </c>
      <c r="P78" s="11"/>
      <c r="Q78" s="11"/>
      <c r="R78" s="11"/>
      <c r="S78" s="11"/>
      <c r="T78" s="11"/>
      <c r="U78" s="11"/>
      <c r="V78" s="11"/>
      <c r="W78" s="11"/>
      <c r="X78" s="11"/>
      <c r="Y78" s="11"/>
      <c r="Z78" s="11"/>
    </row>
    <row r="79" spans="1:26">
      <c r="A79" s="11"/>
      <c r="B79" s="11" t="s">
        <v>169</v>
      </c>
      <c r="C79" s="11"/>
      <c r="D79" s="11"/>
      <c r="E79" s="11"/>
      <c r="F79" s="11"/>
      <c r="G79" s="11"/>
      <c r="H79" s="11"/>
      <c r="I79" s="11"/>
      <c r="J79" s="11"/>
      <c r="K79" s="11" t="s">
        <v>170</v>
      </c>
      <c r="L79" s="11">
        <v>950</v>
      </c>
      <c r="M79" s="11"/>
      <c r="N79" s="11"/>
      <c r="O79" s="11"/>
      <c r="P79" s="11"/>
      <c r="Q79" s="11"/>
      <c r="R79" s="11"/>
      <c r="S79" s="11"/>
      <c r="T79" s="11"/>
      <c r="U79" s="11"/>
      <c r="V79" s="11"/>
      <c r="W79" s="11"/>
      <c r="X79" s="11"/>
      <c r="Y79" s="11"/>
      <c r="Z79" s="11"/>
    </row>
    <row r="80" spans="1:26">
      <c r="A80" s="11"/>
      <c r="B80" s="11"/>
      <c r="C80" s="11" t="s">
        <v>171</v>
      </c>
      <c r="D80" s="11"/>
      <c r="E80" s="170">
        <v>0.4</v>
      </c>
      <c r="F80" s="166">
        <v>655.49526734714595</v>
      </c>
      <c r="G80" s="42">
        <f>F80*1000000*E80/1000000</f>
        <v>262.19810693885842</v>
      </c>
      <c r="H80" s="11">
        <v>4380</v>
      </c>
      <c r="I80" s="166">
        <f>G80*H80/8760</f>
        <v>131.09905346942921</v>
      </c>
      <c r="J80" s="11"/>
      <c r="K80" s="11" t="s">
        <v>172</v>
      </c>
      <c r="L80" s="166">
        <f>L79*1000000000/8760/1000000</f>
        <v>108.4474885844749</v>
      </c>
      <c r="M80" s="166">
        <f>L80*M77/L77</f>
        <v>894.83993312872724</v>
      </c>
      <c r="N80" s="166"/>
      <c r="O80" s="166">
        <f>L80*O77/L77</f>
        <v>37.630685929585546</v>
      </c>
      <c r="P80" s="11"/>
      <c r="Q80" s="11"/>
      <c r="R80" s="11"/>
      <c r="S80" s="11"/>
      <c r="T80" s="11"/>
      <c r="U80" s="11"/>
      <c r="V80" s="11"/>
      <c r="W80" s="11"/>
      <c r="X80" s="11"/>
      <c r="Y80" s="11"/>
      <c r="Z80" s="11"/>
    </row>
    <row r="81" spans="1:26">
      <c r="A81" s="11"/>
      <c r="B81" s="11"/>
      <c r="C81" s="11" t="s">
        <v>173</v>
      </c>
      <c r="D81" s="11"/>
      <c r="E81" s="11">
        <v>0.16</v>
      </c>
      <c r="F81" s="166">
        <v>1929.1281868746205</v>
      </c>
      <c r="G81" s="42">
        <f>F81*1000000*E81/1000000</f>
        <v>308.66050989993931</v>
      </c>
      <c r="H81" s="11">
        <v>4380</v>
      </c>
      <c r="I81" s="166">
        <f>G81*H81/8760</f>
        <v>154.33025494996966</v>
      </c>
      <c r="J81" s="11"/>
      <c r="K81" s="11"/>
      <c r="L81" s="11"/>
      <c r="M81" s="11"/>
      <c r="N81" s="11"/>
      <c r="O81" s="11"/>
      <c r="P81" s="11"/>
      <c r="Q81" s="11"/>
      <c r="R81" s="11"/>
      <c r="S81" s="11"/>
      <c r="T81" s="11"/>
      <c r="U81" s="11"/>
      <c r="V81" s="11"/>
      <c r="W81" s="11"/>
      <c r="X81" s="11"/>
      <c r="Y81" s="11"/>
      <c r="Z81" s="11"/>
    </row>
    <row r="82" spans="1:26">
      <c r="A82" s="11"/>
      <c r="B82" s="11"/>
      <c r="C82" s="11" t="s">
        <v>174</v>
      </c>
      <c r="D82" s="11"/>
      <c r="E82" s="11">
        <v>0.05</v>
      </c>
      <c r="F82" s="166">
        <v>363.46665980805562</v>
      </c>
      <c r="G82" s="42">
        <f>F82*1000000*E82/1000000</f>
        <v>18.173332990402784</v>
      </c>
      <c r="H82" s="11">
        <v>4380</v>
      </c>
      <c r="I82" s="166">
        <f>G82*H82/8760</f>
        <v>9.086666495201392</v>
      </c>
      <c r="J82" s="11"/>
      <c r="K82" s="11"/>
      <c r="L82" s="11"/>
      <c r="M82" s="11"/>
      <c r="N82" s="11"/>
      <c r="O82" s="11"/>
      <c r="P82" s="11"/>
      <c r="Q82" s="11"/>
      <c r="R82" s="11"/>
      <c r="S82" s="11"/>
      <c r="T82" s="11"/>
      <c r="U82" s="11"/>
      <c r="V82" s="11"/>
      <c r="W82" s="11"/>
      <c r="X82" s="11"/>
      <c r="Y82" s="11"/>
      <c r="Z82" s="11"/>
    </row>
    <row r="83" spans="1:26">
      <c r="A83" s="11"/>
      <c r="B83" s="11"/>
      <c r="C83" s="11"/>
      <c r="D83" s="11"/>
      <c r="E83" s="11"/>
      <c r="F83" s="11"/>
      <c r="G83" s="11"/>
      <c r="H83" s="11"/>
      <c r="I83" s="166">
        <f>SUM(I80:I82)</f>
        <v>294.51597491460024</v>
      </c>
      <c r="J83" s="11"/>
      <c r="K83" s="11"/>
      <c r="L83" s="11"/>
      <c r="M83" s="11"/>
      <c r="N83" s="11"/>
      <c r="O83" s="11"/>
      <c r="P83" s="11"/>
      <c r="Q83" s="11"/>
      <c r="R83" s="11"/>
      <c r="S83" s="11"/>
      <c r="T83" s="11"/>
      <c r="U83" s="11"/>
      <c r="V83" s="11"/>
      <c r="W83" s="11"/>
      <c r="X83" s="11"/>
      <c r="Y83" s="11"/>
      <c r="Z83" s="11"/>
    </row>
    <row r="84" spans="1:26">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row>
    <row r="85" spans="1:26">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row>
    <row r="86" spans="1:26">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row>
    <row r="87" spans="1:26">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row>
    <row r="88" spans="1:26">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row>
    <row r="89" spans="1:26">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row>
    <row r="90" spans="1:26">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row>
    <row r="91" spans="1:26">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row>
    <row r="92" spans="1:26">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row>
    <row r="93" spans="1:26">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row>
    <row r="94" spans="1:26">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row>
    <row r="95" spans="1:26">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row>
    <row r="96" spans="1:26">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row>
    <row r="97" spans="1:26">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row>
    <row r="98" spans="1:26">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row>
    <row r="99" spans="1:26">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row>
    <row r="100" spans="1:26">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row>
    <row r="101" spans="1:26">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row>
    <row r="102" spans="1:26">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row>
    <row r="103" spans="1:26">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row>
    <row r="104" spans="1:26">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row>
    <row r="105" spans="1:26">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row>
    <row r="106" spans="1:26">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row>
    <row r="107" spans="1:26">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row>
    <row r="108" spans="1:26">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row>
    <row r="109" spans="1:26">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row>
    <row r="110" spans="1:26">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row>
    <row r="111" spans="1:26">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row>
    <row r="112" spans="1:26">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row>
    <row r="113" spans="1:26">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row>
    <row r="114" spans="1:26">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row>
    <row r="115" spans="1:26">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row>
    <row r="116" spans="1:26">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row>
    <row r="117" spans="1:26">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row>
    <row r="118" spans="1:26">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row>
    <row r="119" spans="1:26">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row>
    <row r="120" spans="1:26">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row>
    <row r="121" spans="1:26">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row>
    <row r="122" spans="1:26">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row>
    <row r="123" spans="1:26">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row>
    <row r="124" spans="1:26">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row>
    <row r="125" spans="1:26">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row>
    <row r="126" spans="1:26">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row>
    <row r="127" spans="1:26">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row>
    <row r="128" spans="1:26">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row>
    <row r="129" spans="1:26">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row>
    <row r="130" spans="1:26">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row>
    <row r="131" spans="1:26">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row>
    <row r="132" spans="1:26">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row>
    <row r="133" spans="1:26">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row>
    <row r="134" spans="1:26">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row>
    <row r="135" spans="1:26">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row>
    <row r="136" spans="1:26">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row>
    <row r="137" spans="1:26">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row>
    <row r="138" spans="1:26">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row>
    <row r="139" spans="1:26">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row>
    <row r="140" spans="1:26">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row>
    <row r="141" spans="1:26">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row>
    <row r="142" spans="1:26">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row>
    <row r="143" spans="1:26">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row>
    <row r="144" spans="1:26">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row>
    <row r="145" spans="1:26">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row>
    <row r="146" spans="1:26">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row>
    <row r="147" spans="1:26">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row>
    <row r="148" spans="1:26">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row>
    <row r="149" spans="1:26">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row>
    <row r="150" spans="1:26">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row>
    <row r="151" spans="1:26">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row>
    <row r="152" spans="1:26">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row>
    <row r="153" spans="1:26">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row>
    <row r="154" spans="1:26">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row>
    <row r="155" spans="1:26">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row>
    <row r="156" spans="1:26">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row>
    <row r="157" spans="1:26">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row>
    <row r="158" spans="1:26">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row>
    <row r="159" spans="1:26">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row>
    <row r="160" spans="1:26">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row>
    <row r="161" spans="1:26">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row>
    <row r="162" spans="1:26">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row>
    <row r="163" spans="1:26">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row>
    <row r="164" spans="1:26">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row>
    <row r="165" spans="1:26">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row>
    <row r="166" spans="1:26">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row>
    <row r="167" spans="1:26">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row>
    <row r="168" spans="1:26">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row>
    <row r="169" spans="1:26">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row>
    <row r="170" spans="1:26">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row>
    <row r="171" spans="1:26">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row>
    <row r="172" spans="1:26">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row>
    <row r="173" spans="1:26">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row>
    <row r="174" spans="1:26">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row>
    <row r="175" spans="1:26">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row>
    <row r="176" spans="1:26">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row>
    <row r="177" spans="1:26">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row>
    <row r="178" spans="1:26">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row>
    <row r="179" spans="1:26">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row>
    <row r="180" spans="1:26">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row>
    <row r="181" spans="1:26">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row>
    <row r="182" spans="1:26">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row>
    <row r="183" spans="1:26">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row>
    <row r="184" spans="1:26">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row>
    <row r="185" spans="1:26">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row>
    <row r="186" spans="1:26">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row>
    <row r="187" spans="1:26">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row>
    <row r="188" spans="1:26">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row>
    <row r="189" spans="1:26">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row>
    <row r="190" spans="1:26">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row>
    <row r="191" spans="1:26">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row>
    <row r="192" spans="1:26">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row>
    <row r="193" spans="1:26">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row>
    <row r="194" spans="1:26">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row>
    <row r="195" spans="1:26">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row>
    <row r="196" spans="1:26">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row>
    <row r="197" spans="1:26">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row>
    <row r="198" spans="1:26">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row>
    <row r="199" spans="1:26">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row>
    <row r="200" spans="1:26">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row>
    <row r="201" spans="1:26">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row>
    <row r="202" spans="1:26">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row>
    <row r="203" spans="1:26">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row>
    <row r="204" spans="1:26">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row>
    <row r="205" spans="1:26">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row>
    <row r="206" spans="1:26">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row>
    <row r="207" spans="1:26">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row>
    <row r="208" spans="1:26">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row>
  </sheetData>
  <mergeCells count="18">
    <mergeCell ref="B78:D78"/>
    <mergeCell ref="V6:V10"/>
    <mergeCell ref="V11:V15"/>
    <mergeCell ref="K37:M37"/>
    <mergeCell ref="P37:X37"/>
    <mergeCell ref="P38:Q38"/>
    <mergeCell ref="S38:X38"/>
    <mergeCell ref="B77:I77"/>
    <mergeCell ref="V20:V24"/>
    <mergeCell ref="V25:V29"/>
    <mergeCell ref="X20:X24"/>
    <mergeCell ref="X25:X29"/>
    <mergeCell ref="AO8:AO14"/>
    <mergeCell ref="AO15:AO18"/>
    <mergeCell ref="AI12:AI14"/>
    <mergeCell ref="AO19:AO20"/>
    <mergeCell ref="AO21:AO22"/>
    <mergeCell ref="AI8:AI11"/>
  </mergeCells>
  <pageMargins left="0.7" right="0.7" top="0.75" bottom="0.75" header="0.3" footer="0.3"/>
  <legacyDrawing r:id="rId1"/>
</worksheet>
</file>

<file path=xl/worksheets/sheet18.xml><?xml version="1.0" encoding="utf-8"?>
<worksheet xmlns="http://schemas.openxmlformats.org/spreadsheetml/2006/main" xmlns:r="http://schemas.openxmlformats.org/officeDocument/2006/relationships">
  <sheetPr codeName="Sheet10"/>
  <dimension ref="A12:Z68"/>
  <sheetViews>
    <sheetView topLeftCell="I1" workbookViewId="0">
      <selection activeCell="G67" sqref="G67"/>
    </sheetView>
  </sheetViews>
  <sheetFormatPr defaultRowHeight="12.75"/>
  <cols>
    <col min="2" max="2" width="33.140625" customWidth="1"/>
    <col min="5" max="5" width="9.7109375" customWidth="1"/>
    <col min="26" max="26" width="11.140625" customWidth="1"/>
  </cols>
  <sheetData>
    <row r="12" spans="1:1">
      <c r="A12">
        <v>230</v>
      </c>
    </row>
    <row r="35" spans="2:26">
      <c r="X35" t="s">
        <v>506</v>
      </c>
      <c r="Y35" t="s">
        <v>507</v>
      </c>
      <c r="Z35" t="s">
        <v>863</v>
      </c>
    </row>
    <row r="36" spans="2:26">
      <c r="X36">
        <v>92</v>
      </c>
      <c r="Y36">
        <v>42</v>
      </c>
      <c r="Z36" s="225">
        <f>X36*Y36/1000</f>
        <v>3.8639999999999999</v>
      </c>
    </row>
    <row r="46" spans="2:26">
      <c r="B46" s="498" t="s">
        <v>921</v>
      </c>
      <c r="C46" s="499"/>
      <c r="D46" s="499"/>
      <c r="E46" s="499"/>
      <c r="F46" s="499"/>
      <c r="G46" s="500"/>
    </row>
    <row r="47" spans="2:26" ht="15" customHeight="1" thickBot="1">
      <c r="B47" s="344" t="s">
        <v>922</v>
      </c>
      <c r="C47" s="344"/>
      <c r="D47" s="501" t="s">
        <v>923</v>
      </c>
      <c r="E47" s="502"/>
      <c r="F47" s="502"/>
      <c r="G47" s="503"/>
    </row>
    <row r="48" spans="2:26" ht="15" customHeight="1" thickBot="1">
      <c r="B48" s="345"/>
      <c r="C48" s="345" t="s">
        <v>924</v>
      </c>
      <c r="D48" s="346">
        <v>2014</v>
      </c>
      <c r="E48" s="346">
        <v>2015</v>
      </c>
      <c r="F48" s="346">
        <v>2016</v>
      </c>
      <c r="G48" s="346">
        <v>2017</v>
      </c>
    </row>
    <row r="49" spans="2:7" ht="15" customHeight="1" thickBot="1">
      <c r="B49" s="347" t="s">
        <v>925</v>
      </c>
      <c r="C49" s="348" t="s">
        <v>155</v>
      </c>
      <c r="D49" s="348">
        <v>76</v>
      </c>
      <c r="E49" s="348">
        <v>81</v>
      </c>
      <c r="F49" s="348">
        <v>86</v>
      </c>
      <c r="G49" s="348">
        <v>90</v>
      </c>
    </row>
    <row r="50" spans="2:7" ht="15" customHeight="1" thickBot="1">
      <c r="B50" s="349" t="s">
        <v>926</v>
      </c>
      <c r="C50" s="350" t="s">
        <v>927</v>
      </c>
      <c r="D50" s="350">
        <v>67</v>
      </c>
      <c r="E50" s="350">
        <v>68</v>
      </c>
      <c r="F50" s="350">
        <v>69</v>
      </c>
      <c r="G50" s="350">
        <v>70</v>
      </c>
    </row>
    <row r="51" spans="2:7" ht="15" customHeight="1" thickBot="1">
      <c r="B51" s="347" t="s">
        <v>928</v>
      </c>
      <c r="C51" s="348" t="s">
        <v>155</v>
      </c>
      <c r="D51" s="348">
        <v>66</v>
      </c>
      <c r="E51" s="348">
        <v>73</v>
      </c>
      <c r="F51" s="348">
        <v>80</v>
      </c>
      <c r="G51" s="348">
        <v>87</v>
      </c>
    </row>
    <row r="52" spans="2:7" ht="15" customHeight="1" thickBot="1">
      <c r="B52" s="349" t="s">
        <v>926</v>
      </c>
      <c r="C52" s="350" t="s">
        <v>927</v>
      </c>
      <c r="D52" s="350">
        <v>60</v>
      </c>
      <c r="E52" s="350">
        <v>63</v>
      </c>
      <c r="F52" s="350">
        <v>65</v>
      </c>
      <c r="G52" s="350">
        <v>68</v>
      </c>
    </row>
    <row r="53" spans="2:7" ht="15" customHeight="1" thickBot="1">
      <c r="B53" s="347" t="s">
        <v>929</v>
      </c>
      <c r="C53" s="348" t="s">
        <v>155</v>
      </c>
      <c r="D53" s="348">
        <v>67</v>
      </c>
      <c r="E53" s="348">
        <v>72</v>
      </c>
      <c r="F53" s="348">
        <v>76</v>
      </c>
      <c r="G53" s="348">
        <v>80</v>
      </c>
    </row>
    <row r="54" spans="2:7" ht="15" customHeight="1" thickBot="1">
      <c r="B54" s="349" t="s">
        <v>926</v>
      </c>
      <c r="C54" s="350" t="s">
        <v>927</v>
      </c>
      <c r="D54" s="350">
        <v>64</v>
      </c>
      <c r="E54" s="350">
        <v>69</v>
      </c>
      <c r="F54" s="350">
        <v>73</v>
      </c>
      <c r="G54" s="350">
        <v>77</v>
      </c>
    </row>
    <row r="55" spans="2:7" ht="15" customHeight="1" thickBot="1">
      <c r="B55" s="347" t="s">
        <v>930</v>
      </c>
      <c r="C55" s="348" t="s">
        <v>155</v>
      </c>
      <c r="D55" s="348">
        <v>62</v>
      </c>
      <c r="E55" s="348">
        <v>66</v>
      </c>
      <c r="F55" s="348">
        <v>69</v>
      </c>
      <c r="G55" s="348">
        <v>73</v>
      </c>
    </row>
    <row r="56" spans="2:7" ht="15" customHeight="1" thickBot="1">
      <c r="B56" s="349" t="s">
        <v>926</v>
      </c>
      <c r="C56" s="350" t="s">
        <v>927</v>
      </c>
      <c r="D56" s="350">
        <v>62</v>
      </c>
      <c r="E56" s="350">
        <v>67</v>
      </c>
      <c r="F56" s="350">
        <v>72</v>
      </c>
      <c r="G56" s="350">
        <v>77</v>
      </c>
    </row>
    <row r="57" spans="2:7" ht="15" customHeight="1" thickBot="1">
      <c r="B57" s="347" t="s">
        <v>931</v>
      </c>
      <c r="C57" s="348" t="s">
        <v>155</v>
      </c>
      <c r="D57" s="348">
        <v>62</v>
      </c>
      <c r="E57" s="348">
        <v>66</v>
      </c>
      <c r="F57" s="348">
        <v>71</v>
      </c>
      <c r="G57" s="348">
        <v>75</v>
      </c>
    </row>
    <row r="58" spans="2:7" ht="15" customHeight="1" thickBot="1">
      <c r="B58" s="349" t="s">
        <v>932</v>
      </c>
      <c r="C58" s="350" t="s">
        <v>927</v>
      </c>
      <c r="D58" s="350">
        <v>55</v>
      </c>
      <c r="E58" s="350">
        <v>55</v>
      </c>
      <c r="F58" s="350">
        <v>55</v>
      </c>
      <c r="G58" s="350">
        <v>55</v>
      </c>
    </row>
    <row r="59" spans="2:7" ht="15" customHeight="1" thickBot="1">
      <c r="B59" s="347" t="s">
        <v>931</v>
      </c>
      <c r="C59" s="348" t="s">
        <v>155</v>
      </c>
      <c r="D59" s="348">
        <v>62</v>
      </c>
      <c r="E59" s="348">
        <v>66</v>
      </c>
      <c r="F59" s="348">
        <v>71</v>
      </c>
      <c r="G59" s="348">
        <v>75</v>
      </c>
    </row>
    <row r="60" spans="2:7" ht="15" customHeight="1" thickBot="1">
      <c r="B60" s="349" t="s">
        <v>933</v>
      </c>
      <c r="C60" s="350" t="s">
        <v>927</v>
      </c>
      <c r="D60" s="350">
        <v>64</v>
      </c>
      <c r="E60" s="350">
        <v>66</v>
      </c>
      <c r="F60" s="350">
        <v>69</v>
      </c>
      <c r="G60" s="350">
        <v>71</v>
      </c>
    </row>
    <row r="61" spans="2:7" ht="15" customHeight="1" thickBot="1">
      <c r="B61" s="347" t="s">
        <v>934</v>
      </c>
      <c r="C61" s="348" t="s">
        <v>155</v>
      </c>
      <c r="D61" s="348">
        <v>95</v>
      </c>
      <c r="E61" s="348">
        <v>103</v>
      </c>
      <c r="F61" s="348">
        <v>110</v>
      </c>
      <c r="G61" s="348">
        <v>117</v>
      </c>
    </row>
    <row r="62" spans="2:7" ht="15" customHeight="1" thickBot="1">
      <c r="B62" s="349" t="s">
        <v>932</v>
      </c>
      <c r="C62" s="350" t="s">
        <v>935</v>
      </c>
      <c r="D62" s="350" t="s">
        <v>936</v>
      </c>
      <c r="E62" s="350" t="s">
        <v>936</v>
      </c>
      <c r="F62" s="350" t="s">
        <v>936</v>
      </c>
      <c r="G62" s="350" t="s">
        <v>936</v>
      </c>
    </row>
    <row r="63" spans="2:7" ht="15" customHeight="1" thickBot="1">
      <c r="B63" s="347" t="s">
        <v>937</v>
      </c>
      <c r="C63" s="348" t="s">
        <v>155</v>
      </c>
      <c r="D63" s="348">
        <v>95</v>
      </c>
      <c r="E63" s="348">
        <v>101</v>
      </c>
      <c r="F63" s="348">
        <v>106</v>
      </c>
      <c r="G63" s="348">
        <v>111</v>
      </c>
    </row>
    <row r="64" spans="2:7" ht="15" customHeight="1" thickBot="1">
      <c r="B64" s="349" t="s">
        <v>938</v>
      </c>
      <c r="C64" s="350" t="s">
        <v>935</v>
      </c>
      <c r="D64" s="350">
        <v>93</v>
      </c>
      <c r="E64" s="350">
        <v>98</v>
      </c>
      <c r="F64" s="350">
        <v>103</v>
      </c>
      <c r="G64" s="350">
        <v>107</v>
      </c>
    </row>
    <row r="65" spans="2:7" ht="15" customHeight="1" thickBot="1">
      <c r="B65" s="347" t="s">
        <v>939</v>
      </c>
      <c r="C65" s="348" t="s">
        <v>155</v>
      </c>
      <c r="D65" s="348">
        <v>86</v>
      </c>
      <c r="E65" s="348">
        <v>91</v>
      </c>
      <c r="F65" s="348">
        <v>95</v>
      </c>
      <c r="G65" s="348">
        <v>99</v>
      </c>
    </row>
    <row r="66" spans="2:7" ht="15" customHeight="1" thickBot="1">
      <c r="B66" s="349" t="s">
        <v>932</v>
      </c>
      <c r="C66" s="350" t="s">
        <v>935</v>
      </c>
      <c r="D66" s="350">
        <v>85</v>
      </c>
      <c r="E66" s="350">
        <v>90</v>
      </c>
      <c r="F66" s="350">
        <v>94</v>
      </c>
      <c r="G66" s="350">
        <v>98</v>
      </c>
    </row>
    <row r="67" spans="2:7" ht="15" customHeight="1" thickBot="1">
      <c r="B67" s="347" t="s">
        <v>940</v>
      </c>
      <c r="C67" s="348" t="s">
        <v>155</v>
      </c>
      <c r="D67" s="348">
        <v>83</v>
      </c>
      <c r="E67" s="348">
        <v>88</v>
      </c>
      <c r="F67" s="348">
        <v>92</v>
      </c>
      <c r="G67" s="348">
        <v>96</v>
      </c>
    </row>
    <row r="68" spans="2:7" ht="15" customHeight="1" thickBot="1">
      <c r="B68" s="349" t="s">
        <v>932</v>
      </c>
      <c r="C68" s="350" t="s">
        <v>935</v>
      </c>
      <c r="D68" s="350">
        <v>86</v>
      </c>
      <c r="E68" s="350">
        <v>92</v>
      </c>
      <c r="F68" s="350">
        <v>97</v>
      </c>
      <c r="G68" s="350">
        <v>102</v>
      </c>
    </row>
  </sheetData>
  <mergeCells count="2">
    <mergeCell ref="B46:G46"/>
    <mergeCell ref="D47:G47"/>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sheetPr codeName="Sheet14"/>
  <dimension ref="C4:U20"/>
  <sheetViews>
    <sheetView topLeftCell="A4" workbookViewId="0">
      <selection activeCell="E13" sqref="E13"/>
    </sheetView>
  </sheetViews>
  <sheetFormatPr defaultRowHeight="12.75"/>
  <cols>
    <col min="1" max="2" width="9.140625" style="34"/>
    <col min="3" max="3" width="29.7109375" style="34" customWidth="1"/>
    <col min="4" max="4" width="18.85546875" style="34" customWidth="1"/>
    <col min="5" max="14" width="9.140625" style="34"/>
    <col min="15" max="15" width="19.28515625" style="34" customWidth="1"/>
    <col min="16" max="16" width="9.140625" style="34"/>
    <col min="17" max="17" width="14" style="34" bestFit="1" customWidth="1"/>
    <col min="18" max="18" width="10.7109375" style="34" customWidth="1"/>
    <col min="19" max="19" width="11.140625" style="34" customWidth="1"/>
    <col min="20" max="20" width="11.42578125" style="34" customWidth="1"/>
    <col min="21" max="21" width="11.7109375" style="34" customWidth="1"/>
    <col min="22" max="16384" width="9.140625" style="34"/>
  </cols>
  <sheetData>
    <row r="4" spans="3:21" ht="15">
      <c r="D4" s="113"/>
      <c r="E4" s="111"/>
      <c r="F4" s="111"/>
    </row>
    <row r="5" spans="3:21">
      <c r="D5" s="14"/>
      <c r="E5" s="111"/>
      <c r="F5" s="111"/>
      <c r="S5" s="62"/>
      <c r="T5" s="62"/>
      <c r="U5" s="62"/>
    </row>
    <row r="6" spans="3:21" ht="15">
      <c r="D6" s="113"/>
      <c r="E6" s="113"/>
      <c r="F6" s="113"/>
      <c r="S6" s="77"/>
      <c r="T6" s="77"/>
      <c r="U6" s="77"/>
    </row>
    <row r="7" spans="3:21" ht="15">
      <c r="C7" s="11"/>
      <c r="D7" s="14"/>
      <c r="E7" s="113"/>
      <c r="F7" s="111"/>
      <c r="S7" s="85"/>
      <c r="T7" s="62"/>
      <c r="U7" s="177"/>
    </row>
    <row r="8" spans="3:21">
      <c r="C8" s="11"/>
      <c r="D8" s="11"/>
      <c r="E8" s="111"/>
      <c r="F8" s="111"/>
      <c r="O8" s="62"/>
      <c r="P8" s="62"/>
      <c r="Q8" s="83"/>
      <c r="R8" s="62"/>
      <c r="S8" s="85"/>
      <c r="T8" s="62"/>
      <c r="U8" s="177"/>
    </row>
    <row r="9" spans="3:21">
      <c r="C9" s="11"/>
      <c r="D9" s="11"/>
      <c r="E9" s="111"/>
      <c r="F9" s="111"/>
      <c r="O9" s="62"/>
      <c r="P9" s="62"/>
      <c r="Q9" s="83"/>
      <c r="R9" s="62"/>
      <c r="S9" s="62"/>
      <c r="T9" s="62"/>
      <c r="U9" s="62"/>
    </row>
    <row r="10" spans="3:21">
      <c r="C10" s="172" t="s">
        <v>862</v>
      </c>
      <c r="D10" s="172"/>
      <c r="E10" s="275"/>
      <c r="F10" s="275"/>
      <c r="G10" s="276"/>
      <c r="H10" s="276"/>
      <c r="I10" s="276"/>
      <c r="O10" s="62"/>
      <c r="P10" s="62"/>
      <c r="Q10" s="62"/>
      <c r="R10" s="62"/>
      <c r="S10" s="62"/>
      <c r="T10" s="62"/>
      <c r="U10" s="62"/>
    </row>
    <row r="11" spans="3:21" ht="47.25">
      <c r="C11" s="277"/>
      <c r="D11" s="278" t="s">
        <v>493</v>
      </c>
      <c r="E11" s="278" t="s">
        <v>494</v>
      </c>
      <c r="F11" s="277"/>
      <c r="G11" s="277"/>
      <c r="H11" s="277"/>
      <c r="I11" s="279"/>
      <c r="O11" s="62"/>
      <c r="P11" s="62"/>
      <c r="Q11" s="62"/>
      <c r="R11" s="62"/>
      <c r="S11" s="62"/>
      <c r="T11" s="62"/>
      <c r="U11" s="62"/>
    </row>
    <row r="12" spans="3:21" ht="15.75">
      <c r="C12" s="214" t="s">
        <v>495</v>
      </c>
      <c r="D12" s="219">
        <f>ROUND(AVERAGE(D13:D15),0)</f>
        <v>118</v>
      </c>
      <c r="E12" s="219">
        <f>ROUND(AVERAGE(E13:E15),0)</f>
        <v>56</v>
      </c>
      <c r="F12" s="210"/>
      <c r="G12" s="210"/>
      <c r="H12" s="210"/>
      <c r="I12" s="222"/>
      <c r="O12" s="62"/>
      <c r="P12" s="62"/>
      <c r="Q12" s="62"/>
      <c r="R12" s="62"/>
      <c r="S12" s="62"/>
      <c r="T12" s="62"/>
      <c r="U12" s="62"/>
    </row>
    <row r="13" spans="3:21" ht="15.75">
      <c r="C13" s="214" t="s">
        <v>496</v>
      </c>
      <c r="D13" s="219">
        <v>144.15</v>
      </c>
      <c r="E13" s="219">
        <f>D13*E14/D14</f>
        <v>63.50896402877698</v>
      </c>
      <c r="F13" s="210"/>
      <c r="G13" s="210"/>
      <c r="H13" s="210"/>
      <c r="I13" s="222"/>
      <c r="O13" s="77"/>
      <c r="P13" s="77"/>
      <c r="Q13" s="77"/>
      <c r="R13" s="77"/>
      <c r="S13" s="77"/>
      <c r="T13" s="62"/>
      <c r="U13" s="62"/>
    </row>
    <row r="14" spans="3:21" ht="15.75">
      <c r="C14" s="214" t="s">
        <v>497</v>
      </c>
      <c r="D14" s="219">
        <v>104.25</v>
      </c>
      <c r="E14" s="219">
        <v>45.93</v>
      </c>
      <c r="F14" s="210"/>
      <c r="G14" s="210"/>
      <c r="H14" s="210"/>
      <c r="I14" s="222"/>
      <c r="O14" s="62"/>
      <c r="P14" s="62"/>
      <c r="Q14" s="83"/>
      <c r="R14" s="62"/>
      <c r="S14" s="83"/>
      <c r="T14" s="62"/>
      <c r="U14" s="62"/>
    </row>
    <row r="15" spans="3:21" ht="15.75">
      <c r="C15" s="214" t="s">
        <v>498</v>
      </c>
      <c r="D15" s="219">
        <v>105.43</v>
      </c>
      <c r="E15" s="219">
        <v>59.94</v>
      </c>
      <c r="F15" s="210"/>
      <c r="G15" s="210"/>
      <c r="H15" s="210"/>
      <c r="I15" s="210"/>
      <c r="O15" s="62"/>
      <c r="P15" s="62"/>
      <c r="Q15" s="62"/>
      <c r="R15" s="62"/>
      <c r="S15" s="62"/>
      <c r="T15" s="62"/>
      <c r="U15" s="62"/>
    </row>
    <row r="16" spans="3:21">
      <c r="O16" s="62"/>
      <c r="P16" s="62"/>
      <c r="Q16" s="62"/>
      <c r="R16" s="62"/>
      <c r="S16" s="62"/>
      <c r="T16" s="62"/>
      <c r="U16" s="62"/>
    </row>
    <row r="18" spans="3:6">
      <c r="C18" s="276" t="s">
        <v>101</v>
      </c>
      <c r="D18" s="276"/>
      <c r="E18" s="276"/>
      <c r="F18" s="276"/>
    </row>
    <row r="19" spans="3:6" ht="25.5">
      <c r="C19" s="139" t="s">
        <v>272</v>
      </c>
      <c r="D19" s="139" t="s">
        <v>273</v>
      </c>
      <c r="E19" s="139" t="s">
        <v>274</v>
      </c>
      <c r="F19" s="139" t="s">
        <v>275</v>
      </c>
    </row>
    <row r="20" spans="3:6">
      <c r="C20" s="34">
        <v>30</v>
      </c>
      <c r="D20" s="34">
        <v>8</v>
      </c>
      <c r="E20" s="34">
        <f>C20/D20</f>
        <v>3.75</v>
      </c>
      <c r="F20" s="51">
        <f>D20/C20</f>
        <v>0.26666666666666666</v>
      </c>
    </row>
  </sheetData>
  <pageMargins left="0.75" right="0.75" top="1" bottom="1" header="0.5" footer="0.5"/>
  <headerFooter alignWithMargins="0"/>
  <legacyDrawing r:id="rId1"/>
  <oleObjects>
    <oleObject progId="Word.Document.8" shapeId="7169" r:id="rId2"/>
  </oleObjects>
</worksheet>
</file>

<file path=xl/worksheets/sheet2.xml><?xml version="1.0" encoding="utf-8"?>
<worksheet xmlns="http://schemas.openxmlformats.org/spreadsheetml/2006/main" xmlns:r="http://schemas.openxmlformats.org/officeDocument/2006/relationships">
  <sheetPr codeName="Sheet4"/>
  <dimension ref="C1:E17"/>
  <sheetViews>
    <sheetView tabSelected="1" topLeftCell="A13" zoomScaleNormal="100" zoomScaleSheetLayoutView="90" workbookViewId="0">
      <selection activeCell="C21" sqref="C21"/>
    </sheetView>
  </sheetViews>
  <sheetFormatPr defaultRowHeight="15"/>
  <cols>
    <col min="1" max="1" width="4" style="1" customWidth="1"/>
    <col min="2" max="2" width="4.28515625" style="1" customWidth="1"/>
    <col min="3" max="3" width="28.140625" style="1" customWidth="1"/>
    <col min="4" max="4" width="54" style="1" customWidth="1"/>
    <col min="5" max="5" width="61.42578125" style="1" customWidth="1"/>
    <col min="6" max="16384" width="9.140625" style="1"/>
  </cols>
  <sheetData>
    <row r="1" spans="3:5" ht="15.75" thickBot="1"/>
    <row r="2" spans="3:5" ht="19.5" thickBot="1">
      <c r="C2" s="184" t="s">
        <v>0</v>
      </c>
      <c r="D2" s="39" t="str">
        <f>[1]MLIST!$B$68</f>
        <v>Street and Roadway Lighting</v>
      </c>
      <c r="E2" s="181"/>
    </row>
    <row r="3" spans="3:5">
      <c r="C3" s="182" t="s">
        <v>1</v>
      </c>
      <c r="D3" s="182" t="s">
        <v>2</v>
      </c>
      <c r="E3" s="182" t="s">
        <v>3</v>
      </c>
    </row>
    <row r="4" spans="3:5" ht="30">
      <c r="C4" s="183" t="s">
        <v>4</v>
      </c>
      <c r="D4" s="107" t="s">
        <v>813</v>
      </c>
      <c r="E4" s="108" t="s">
        <v>1003</v>
      </c>
    </row>
    <row r="5" spans="3:5" ht="30">
      <c r="C5" s="183" t="s">
        <v>5</v>
      </c>
      <c r="D5" s="118" t="s">
        <v>387</v>
      </c>
      <c r="E5" s="108"/>
    </row>
    <row r="6" spans="3:5" ht="60">
      <c r="C6" s="183" t="s">
        <v>6</v>
      </c>
      <c r="D6" s="109" t="s">
        <v>399</v>
      </c>
      <c r="E6" s="109" t="s">
        <v>891</v>
      </c>
    </row>
    <row r="7" spans="3:5" ht="33" customHeight="1">
      <c r="C7" s="183" t="s">
        <v>388</v>
      </c>
      <c r="D7" s="118" t="s">
        <v>401</v>
      </c>
      <c r="E7" s="108"/>
    </row>
    <row r="8" spans="3:5" ht="45">
      <c r="C8" s="183" t="s">
        <v>7</v>
      </c>
      <c r="D8" s="118" t="s">
        <v>1009</v>
      </c>
      <c r="E8" s="109" t="s">
        <v>892</v>
      </c>
    </row>
    <row r="9" spans="3:5" ht="30" customHeight="1">
      <c r="C9" s="183" t="s">
        <v>1026</v>
      </c>
      <c r="D9" s="118" t="s">
        <v>1027</v>
      </c>
      <c r="E9" s="109" t="s">
        <v>1028</v>
      </c>
    </row>
    <row r="10" spans="3:5" ht="33.75" customHeight="1">
      <c r="C10" s="183" t="s">
        <v>390</v>
      </c>
      <c r="D10" s="118" t="s">
        <v>403</v>
      </c>
      <c r="E10" s="108" t="s">
        <v>1010</v>
      </c>
    </row>
    <row r="11" spans="3:5" ht="26.25" customHeight="1">
      <c r="C11" s="183" t="s">
        <v>391</v>
      </c>
      <c r="D11" s="118" t="s">
        <v>392</v>
      </c>
      <c r="E11" s="108"/>
    </row>
    <row r="12" spans="3:5" ht="30" customHeight="1">
      <c r="C12" s="183" t="s">
        <v>393</v>
      </c>
      <c r="D12" s="118" t="s">
        <v>1004</v>
      </c>
      <c r="E12" s="108" t="s">
        <v>414</v>
      </c>
    </row>
    <row r="13" spans="3:5" ht="31.5" customHeight="1">
      <c r="C13" s="183" t="s">
        <v>394</v>
      </c>
      <c r="D13" s="118" t="s">
        <v>1011</v>
      </c>
      <c r="E13" s="108" t="s">
        <v>404</v>
      </c>
    </row>
    <row r="14" spans="3:5" ht="36" customHeight="1">
      <c r="C14" s="183" t="s">
        <v>395</v>
      </c>
      <c r="D14" s="118" t="s">
        <v>415</v>
      </c>
      <c r="E14" s="108"/>
    </row>
    <row r="15" spans="3:5" ht="30">
      <c r="C15" s="183" t="s">
        <v>396</v>
      </c>
      <c r="D15" s="118" t="s">
        <v>72</v>
      </c>
      <c r="E15" s="109" t="s">
        <v>402</v>
      </c>
    </row>
    <row r="16" spans="3:5" ht="72" customHeight="1">
      <c r="C16" s="183" t="s">
        <v>8</v>
      </c>
      <c r="D16" s="118" t="s">
        <v>1024</v>
      </c>
      <c r="E16" s="119" t="s">
        <v>1025</v>
      </c>
    </row>
    <row r="17" spans="3:5" ht="31.5" customHeight="1">
      <c r="C17" s="183" t="s">
        <v>9</v>
      </c>
      <c r="D17" s="118" t="s">
        <v>412</v>
      </c>
      <c r="E17" s="118" t="s">
        <v>413</v>
      </c>
    </row>
  </sheetData>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sheetPr codeName="Sheet15"/>
  <dimension ref="A2:L32"/>
  <sheetViews>
    <sheetView workbookViewId="0">
      <selection activeCell="E7" sqref="E7"/>
    </sheetView>
  </sheetViews>
  <sheetFormatPr defaultRowHeight="12.75"/>
  <cols>
    <col min="1" max="1" width="10.42578125" style="34" customWidth="1"/>
    <col min="2" max="2" width="22.140625" style="34" customWidth="1"/>
    <col min="3" max="3" width="11.28515625" style="34" customWidth="1"/>
    <col min="4" max="4" width="9.140625" style="34"/>
    <col min="5" max="5" width="9" style="34" customWidth="1"/>
    <col min="6" max="16384" width="9.140625" style="34"/>
  </cols>
  <sheetData>
    <row r="2" spans="1:12">
      <c r="C2" s="34">
        <v>4300</v>
      </c>
      <c r="F2" s="34">
        <v>24000</v>
      </c>
      <c r="G2" s="34">
        <v>16000</v>
      </c>
      <c r="H2" s="34">
        <v>9000</v>
      </c>
    </row>
    <row r="4" spans="1:12" ht="51">
      <c r="A4" s="121" t="s">
        <v>276</v>
      </c>
      <c r="B4" s="122" t="s">
        <v>387</v>
      </c>
      <c r="C4" s="121" t="s">
        <v>277</v>
      </c>
      <c r="D4" s="121" t="s">
        <v>278</v>
      </c>
      <c r="E4" s="121" t="s">
        <v>279</v>
      </c>
      <c r="F4" s="121" t="s">
        <v>280</v>
      </c>
      <c r="G4" s="121" t="s">
        <v>281</v>
      </c>
      <c r="H4" s="121" t="s">
        <v>282</v>
      </c>
      <c r="I4" s="121" t="s">
        <v>283</v>
      </c>
      <c r="J4" s="121" t="s">
        <v>284</v>
      </c>
      <c r="K4" s="121" t="s">
        <v>285</v>
      </c>
      <c r="L4" s="121"/>
    </row>
    <row r="5" spans="1:12">
      <c r="A5" s="34" t="s">
        <v>286</v>
      </c>
      <c r="B5" s="34">
        <v>35000</v>
      </c>
      <c r="C5" s="34">
        <v>4300</v>
      </c>
      <c r="D5" s="63">
        <f t="shared" ref="D5:D32" si="0">B5/C5</f>
        <v>8.1395348837209305</v>
      </c>
      <c r="E5" s="53">
        <f t="shared" ref="E5:E32" si="1">ROUND(B5/C5,0)</f>
        <v>8</v>
      </c>
      <c r="F5" s="63">
        <f t="shared" ref="F5:F32" si="2">$F$2/C5</f>
        <v>5.5813953488372094</v>
      </c>
      <c r="G5" s="63">
        <f t="shared" ref="G5:G32" si="3">$G$2/C5</f>
        <v>3.7209302325581395</v>
      </c>
      <c r="H5" s="63">
        <f t="shared" ref="H5:H32" si="4">$H$2/C5</f>
        <v>2.0930232558139537</v>
      </c>
      <c r="I5" s="63">
        <f t="shared" ref="I5:I32" si="5">D5/F5</f>
        <v>1.4583333333333333</v>
      </c>
      <c r="J5" s="63">
        <f t="shared" ref="J5:J32" si="6">D5/G5</f>
        <v>2.1875</v>
      </c>
      <c r="K5" s="63">
        <f t="shared" ref="K5:K32" si="7">D5/H5</f>
        <v>3.8888888888888888</v>
      </c>
    </row>
    <row r="6" spans="1:12">
      <c r="A6" s="34" t="s">
        <v>287</v>
      </c>
      <c r="B6" s="34">
        <v>43000</v>
      </c>
      <c r="C6" s="34">
        <v>4300</v>
      </c>
      <c r="D6" s="63">
        <f t="shared" si="0"/>
        <v>10</v>
      </c>
      <c r="E6" s="34">
        <f t="shared" si="1"/>
        <v>10</v>
      </c>
      <c r="F6" s="63">
        <f t="shared" si="2"/>
        <v>5.5813953488372094</v>
      </c>
      <c r="G6" s="63">
        <f t="shared" si="3"/>
        <v>3.7209302325581395</v>
      </c>
      <c r="H6" s="63">
        <f t="shared" si="4"/>
        <v>2.0930232558139537</v>
      </c>
      <c r="I6" s="63">
        <f t="shared" si="5"/>
        <v>1.7916666666666665</v>
      </c>
      <c r="J6" s="63">
        <f t="shared" si="6"/>
        <v>2.6875</v>
      </c>
      <c r="K6" s="63">
        <f t="shared" si="7"/>
        <v>4.7777777777777777</v>
      </c>
    </row>
    <row r="7" spans="1:12">
      <c r="A7" s="34" t="s">
        <v>288</v>
      </c>
      <c r="B7" s="120">
        <v>50000</v>
      </c>
      <c r="C7" s="34">
        <v>4300</v>
      </c>
      <c r="D7" s="63">
        <f t="shared" si="0"/>
        <v>11.627906976744185</v>
      </c>
      <c r="E7" s="53">
        <f t="shared" si="1"/>
        <v>12</v>
      </c>
      <c r="F7" s="63">
        <f t="shared" si="2"/>
        <v>5.5813953488372094</v>
      </c>
      <c r="G7" s="63">
        <f t="shared" si="3"/>
        <v>3.7209302325581395</v>
      </c>
      <c r="H7" s="63">
        <f t="shared" si="4"/>
        <v>2.0930232558139537</v>
      </c>
      <c r="I7" s="63">
        <f t="shared" si="5"/>
        <v>2.083333333333333</v>
      </c>
      <c r="J7" s="63">
        <f t="shared" si="6"/>
        <v>3.125</v>
      </c>
      <c r="K7" s="63">
        <f t="shared" si="7"/>
        <v>5.5555555555555545</v>
      </c>
    </row>
    <row r="8" spans="1:12">
      <c r="A8" s="34" t="s">
        <v>411</v>
      </c>
      <c r="B8" s="34">
        <v>70000</v>
      </c>
      <c r="C8" s="34">
        <v>4300</v>
      </c>
      <c r="D8" s="63">
        <f t="shared" si="0"/>
        <v>16.279069767441861</v>
      </c>
      <c r="E8" s="53">
        <f t="shared" si="1"/>
        <v>16</v>
      </c>
      <c r="F8" s="63">
        <f t="shared" si="2"/>
        <v>5.5813953488372094</v>
      </c>
      <c r="G8" s="63">
        <f t="shared" si="3"/>
        <v>3.7209302325581395</v>
      </c>
      <c r="H8" s="63">
        <f t="shared" si="4"/>
        <v>2.0930232558139537</v>
      </c>
      <c r="I8" s="63">
        <f t="shared" si="5"/>
        <v>2.9166666666666665</v>
      </c>
      <c r="J8" s="63">
        <f t="shared" si="6"/>
        <v>4.375</v>
      </c>
      <c r="K8" s="63">
        <f t="shared" si="7"/>
        <v>7.7777777777777777</v>
      </c>
    </row>
    <row r="9" spans="1:12">
      <c r="A9" s="34" t="s">
        <v>289</v>
      </c>
      <c r="B9" s="34">
        <v>100000</v>
      </c>
      <c r="C9" s="34">
        <v>4300</v>
      </c>
      <c r="D9" s="63">
        <f t="shared" si="0"/>
        <v>23.255813953488371</v>
      </c>
      <c r="E9" s="34">
        <f t="shared" si="1"/>
        <v>23</v>
      </c>
      <c r="F9" s="63">
        <f t="shared" si="2"/>
        <v>5.5813953488372094</v>
      </c>
      <c r="G9" s="63">
        <f t="shared" si="3"/>
        <v>3.7209302325581395</v>
      </c>
      <c r="H9" s="63">
        <f t="shared" si="4"/>
        <v>2.0930232558139537</v>
      </c>
      <c r="I9" s="63">
        <f t="shared" si="5"/>
        <v>4.1666666666666661</v>
      </c>
      <c r="J9" s="63">
        <f t="shared" si="6"/>
        <v>6.25</v>
      </c>
      <c r="K9" s="63">
        <f t="shared" si="7"/>
        <v>11.111111111111109</v>
      </c>
    </row>
    <row r="10" spans="1:12">
      <c r="A10" s="34" t="s">
        <v>290</v>
      </c>
      <c r="B10" s="34">
        <v>120000</v>
      </c>
      <c r="C10" s="34">
        <v>4300</v>
      </c>
      <c r="D10" s="63">
        <f t="shared" si="0"/>
        <v>27.906976744186046</v>
      </c>
      <c r="E10" s="53">
        <f t="shared" si="1"/>
        <v>28</v>
      </c>
      <c r="F10" s="63">
        <f t="shared" si="2"/>
        <v>5.5813953488372094</v>
      </c>
      <c r="G10" s="63">
        <f t="shared" si="3"/>
        <v>3.7209302325581395</v>
      </c>
      <c r="H10" s="63">
        <f t="shared" si="4"/>
        <v>2.0930232558139537</v>
      </c>
      <c r="I10" s="63">
        <f t="shared" si="5"/>
        <v>5</v>
      </c>
      <c r="J10" s="63">
        <f t="shared" si="6"/>
        <v>7.5</v>
      </c>
      <c r="K10" s="63">
        <f t="shared" si="7"/>
        <v>13.333333333333332</v>
      </c>
    </row>
    <row r="11" spans="1:12">
      <c r="A11" s="34" t="s">
        <v>286</v>
      </c>
      <c r="B11" s="34">
        <v>35000</v>
      </c>
      <c r="C11" s="34">
        <v>8760</v>
      </c>
      <c r="D11" s="63">
        <f t="shared" si="0"/>
        <v>3.9954337899543377</v>
      </c>
      <c r="E11" s="34">
        <f t="shared" si="1"/>
        <v>4</v>
      </c>
      <c r="F11" s="63">
        <f t="shared" si="2"/>
        <v>2.7397260273972601</v>
      </c>
      <c r="G11" s="63">
        <f t="shared" si="3"/>
        <v>1.8264840182648401</v>
      </c>
      <c r="H11" s="63">
        <f t="shared" si="4"/>
        <v>1.0273972602739727</v>
      </c>
      <c r="I11" s="63">
        <f t="shared" si="5"/>
        <v>1.4583333333333333</v>
      </c>
      <c r="J11" s="63">
        <f t="shared" si="6"/>
        <v>2.1875</v>
      </c>
      <c r="K11" s="63">
        <f t="shared" si="7"/>
        <v>3.8888888888888884</v>
      </c>
    </row>
    <row r="12" spans="1:12">
      <c r="A12" s="34" t="s">
        <v>287</v>
      </c>
      <c r="B12" s="34">
        <v>43000</v>
      </c>
      <c r="C12" s="34">
        <v>8760</v>
      </c>
      <c r="D12" s="63">
        <f t="shared" si="0"/>
        <v>4.9086757990867582</v>
      </c>
      <c r="E12" s="34">
        <f t="shared" si="1"/>
        <v>5</v>
      </c>
      <c r="F12" s="63">
        <f t="shared" si="2"/>
        <v>2.7397260273972601</v>
      </c>
      <c r="G12" s="63">
        <f t="shared" si="3"/>
        <v>1.8264840182648401</v>
      </c>
      <c r="H12" s="63">
        <f t="shared" si="4"/>
        <v>1.0273972602739727</v>
      </c>
      <c r="I12" s="63">
        <f t="shared" si="5"/>
        <v>1.7916666666666667</v>
      </c>
      <c r="J12" s="63">
        <f t="shared" si="6"/>
        <v>2.6875000000000004</v>
      </c>
      <c r="K12" s="63">
        <f t="shared" si="7"/>
        <v>4.7777777777777777</v>
      </c>
    </row>
    <row r="13" spans="1:12">
      <c r="A13" s="34" t="s">
        <v>288</v>
      </c>
      <c r="B13" s="34">
        <v>50000</v>
      </c>
      <c r="C13" s="34">
        <v>8760</v>
      </c>
      <c r="D13" s="63">
        <f t="shared" si="0"/>
        <v>5.7077625570776256</v>
      </c>
      <c r="E13" s="34">
        <f t="shared" si="1"/>
        <v>6</v>
      </c>
      <c r="F13" s="63">
        <f t="shared" si="2"/>
        <v>2.7397260273972601</v>
      </c>
      <c r="G13" s="63">
        <f t="shared" si="3"/>
        <v>1.8264840182648401</v>
      </c>
      <c r="H13" s="63">
        <f t="shared" si="4"/>
        <v>1.0273972602739727</v>
      </c>
      <c r="I13" s="63">
        <f t="shared" si="5"/>
        <v>2.0833333333333335</v>
      </c>
      <c r="J13" s="63">
        <f t="shared" si="6"/>
        <v>3.125</v>
      </c>
      <c r="K13" s="63">
        <f t="shared" si="7"/>
        <v>5.5555555555555554</v>
      </c>
    </row>
    <row r="14" spans="1:12">
      <c r="A14" s="34" t="s">
        <v>411</v>
      </c>
      <c r="B14" s="34">
        <v>70000</v>
      </c>
      <c r="C14" s="34">
        <v>8760</v>
      </c>
      <c r="D14" s="63">
        <f t="shared" si="0"/>
        <v>7.9908675799086755</v>
      </c>
      <c r="E14" s="34">
        <f t="shared" si="1"/>
        <v>8</v>
      </c>
      <c r="F14" s="63">
        <f t="shared" si="2"/>
        <v>2.7397260273972601</v>
      </c>
      <c r="G14" s="63">
        <f t="shared" si="3"/>
        <v>1.8264840182648401</v>
      </c>
      <c r="H14" s="63">
        <f t="shared" si="4"/>
        <v>1.0273972602739727</v>
      </c>
      <c r="I14" s="63">
        <f t="shared" si="5"/>
        <v>2.9166666666666665</v>
      </c>
      <c r="J14" s="63">
        <f t="shared" si="6"/>
        <v>4.375</v>
      </c>
      <c r="K14" s="63">
        <f t="shared" si="7"/>
        <v>7.7777777777777768</v>
      </c>
    </row>
    <row r="15" spans="1:12">
      <c r="A15" s="34" t="s">
        <v>289</v>
      </c>
      <c r="B15" s="34">
        <v>100000</v>
      </c>
      <c r="C15" s="34">
        <v>8760</v>
      </c>
      <c r="D15" s="63">
        <f t="shared" si="0"/>
        <v>11.415525114155251</v>
      </c>
      <c r="E15" s="34">
        <f t="shared" si="1"/>
        <v>11</v>
      </c>
      <c r="F15" s="63">
        <f t="shared" si="2"/>
        <v>2.7397260273972601</v>
      </c>
      <c r="G15" s="63">
        <f t="shared" si="3"/>
        <v>1.8264840182648401</v>
      </c>
      <c r="H15" s="63">
        <f t="shared" si="4"/>
        <v>1.0273972602739727</v>
      </c>
      <c r="I15" s="63">
        <f t="shared" si="5"/>
        <v>4.166666666666667</v>
      </c>
      <c r="J15" s="63">
        <f t="shared" si="6"/>
        <v>6.25</v>
      </c>
      <c r="K15" s="63">
        <f t="shared" si="7"/>
        <v>11.111111111111111</v>
      </c>
    </row>
    <row r="16" spans="1:12">
      <c r="A16" s="34" t="s">
        <v>290</v>
      </c>
      <c r="B16" s="34">
        <v>120000</v>
      </c>
      <c r="C16" s="34">
        <v>8760</v>
      </c>
      <c r="D16" s="63">
        <f t="shared" si="0"/>
        <v>13.698630136986301</v>
      </c>
      <c r="E16" s="34">
        <f t="shared" si="1"/>
        <v>14</v>
      </c>
      <c r="F16" s="63">
        <f t="shared" si="2"/>
        <v>2.7397260273972601</v>
      </c>
      <c r="G16" s="63">
        <f t="shared" si="3"/>
        <v>1.8264840182648401</v>
      </c>
      <c r="H16" s="63">
        <f t="shared" si="4"/>
        <v>1.0273972602739727</v>
      </c>
      <c r="I16" s="63">
        <f t="shared" si="5"/>
        <v>5</v>
      </c>
      <c r="J16" s="63">
        <f t="shared" si="6"/>
        <v>7.5</v>
      </c>
      <c r="K16" s="63">
        <f t="shared" si="7"/>
        <v>13.333333333333332</v>
      </c>
    </row>
    <row r="17" spans="1:11">
      <c r="A17" s="34" t="s">
        <v>286</v>
      </c>
      <c r="B17" s="34">
        <v>35000</v>
      </c>
      <c r="C17" s="34">
        <v>1000</v>
      </c>
      <c r="D17" s="63">
        <f t="shared" si="0"/>
        <v>35</v>
      </c>
      <c r="E17" s="34">
        <f t="shared" si="1"/>
        <v>35</v>
      </c>
      <c r="F17" s="63">
        <f t="shared" si="2"/>
        <v>24</v>
      </c>
      <c r="G17" s="63">
        <f t="shared" si="3"/>
        <v>16</v>
      </c>
      <c r="H17" s="63">
        <f t="shared" si="4"/>
        <v>9</v>
      </c>
      <c r="I17" s="63">
        <f t="shared" si="5"/>
        <v>1.4583333333333333</v>
      </c>
      <c r="J17" s="63">
        <f t="shared" si="6"/>
        <v>2.1875</v>
      </c>
      <c r="K17" s="63">
        <f t="shared" si="7"/>
        <v>3.8888888888888888</v>
      </c>
    </row>
    <row r="18" spans="1:11">
      <c r="A18" s="34" t="s">
        <v>286</v>
      </c>
      <c r="B18" s="34">
        <v>35000</v>
      </c>
      <c r="C18" s="34">
        <v>2000</v>
      </c>
      <c r="D18" s="63">
        <f t="shared" si="0"/>
        <v>17.5</v>
      </c>
      <c r="E18" s="34">
        <f t="shared" si="1"/>
        <v>18</v>
      </c>
      <c r="F18" s="63">
        <f t="shared" si="2"/>
        <v>12</v>
      </c>
      <c r="G18" s="63">
        <f t="shared" si="3"/>
        <v>8</v>
      </c>
      <c r="H18" s="63">
        <f t="shared" si="4"/>
        <v>4.5</v>
      </c>
      <c r="I18" s="63">
        <f t="shared" si="5"/>
        <v>1.4583333333333333</v>
      </c>
      <c r="J18" s="63">
        <f t="shared" si="6"/>
        <v>2.1875</v>
      </c>
      <c r="K18" s="63">
        <f t="shared" si="7"/>
        <v>3.8888888888888888</v>
      </c>
    </row>
    <row r="19" spans="1:11">
      <c r="A19" s="34" t="s">
        <v>286</v>
      </c>
      <c r="B19" s="34">
        <v>35000</v>
      </c>
      <c r="C19" s="34">
        <v>3000</v>
      </c>
      <c r="D19" s="63">
        <f t="shared" si="0"/>
        <v>11.666666666666666</v>
      </c>
      <c r="E19" s="34">
        <f t="shared" si="1"/>
        <v>12</v>
      </c>
      <c r="F19" s="63">
        <f t="shared" si="2"/>
        <v>8</v>
      </c>
      <c r="G19" s="63">
        <f t="shared" si="3"/>
        <v>5.333333333333333</v>
      </c>
      <c r="H19" s="63">
        <f t="shared" si="4"/>
        <v>3</v>
      </c>
      <c r="I19" s="63">
        <f t="shared" si="5"/>
        <v>1.4583333333333333</v>
      </c>
      <c r="J19" s="63">
        <f t="shared" si="6"/>
        <v>2.1875</v>
      </c>
      <c r="K19" s="63">
        <f t="shared" si="7"/>
        <v>3.8888888888888888</v>
      </c>
    </row>
    <row r="20" spans="1:11">
      <c r="A20" s="34" t="s">
        <v>286</v>
      </c>
      <c r="B20" s="34">
        <v>35000</v>
      </c>
      <c r="C20" s="34">
        <v>4000</v>
      </c>
      <c r="D20" s="63">
        <f t="shared" si="0"/>
        <v>8.75</v>
      </c>
      <c r="E20" s="34">
        <f t="shared" si="1"/>
        <v>9</v>
      </c>
      <c r="F20" s="63">
        <f t="shared" si="2"/>
        <v>6</v>
      </c>
      <c r="G20" s="63">
        <f t="shared" si="3"/>
        <v>4</v>
      </c>
      <c r="H20" s="63">
        <f t="shared" si="4"/>
        <v>2.25</v>
      </c>
      <c r="I20" s="63">
        <f t="shared" si="5"/>
        <v>1.4583333333333333</v>
      </c>
      <c r="J20" s="63">
        <f t="shared" si="6"/>
        <v>2.1875</v>
      </c>
      <c r="K20" s="63">
        <f t="shared" si="7"/>
        <v>3.8888888888888888</v>
      </c>
    </row>
    <row r="21" spans="1:11">
      <c r="A21" s="34" t="s">
        <v>286</v>
      </c>
      <c r="B21" s="34">
        <v>35000</v>
      </c>
      <c r="C21" s="34">
        <v>5000</v>
      </c>
      <c r="D21" s="63">
        <f t="shared" si="0"/>
        <v>7</v>
      </c>
      <c r="E21" s="34">
        <f t="shared" si="1"/>
        <v>7</v>
      </c>
      <c r="F21" s="63">
        <f t="shared" si="2"/>
        <v>4.8</v>
      </c>
      <c r="G21" s="63">
        <f t="shared" si="3"/>
        <v>3.2</v>
      </c>
      <c r="H21" s="63">
        <f t="shared" si="4"/>
        <v>1.8</v>
      </c>
      <c r="I21" s="63">
        <f t="shared" si="5"/>
        <v>1.4583333333333335</v>
      </c>
      <c r="J21" s="63">
        <f t="shared" si="6"/>
        <v>2.1875</v>
      </c>
      <c r="K21" s="63">
        <f t="shared" si="7"/>
        <v>3.8888888888888888</v>
      </c>
    </row>
    <row r="22" spans="1:11">
      <c r="A22" s="34" t="s">
        <v>286</v>
      </c>
      <c r="B22" s="34">
        <v>35000</v>
      </c>
      <c r="C22" s="34">
        <v>6000</v>
      </c>
      <c r="D22" s="63">
        <f t="shared" si="0"/>
        <v>5.833333333333333</v>
      </c>
      <c r="E22" s="34">
        <f t="shared" si="1"/>
        <v>6</v>
      </c>
      <c r="F22" s="63">
        <f t="shared" si="2"/>
        <v>4</v>
      </c>
      <c r="G22" s="63">
        <f t="shared" si="3"/>
        <v>2.6666666666666665</v>
      </c>
      <c r="H22" s="63">
        <f t="shared" si="4"/>
        <v>1.5</v>
      </c>
      <c r="I22" s="63">
        <f t="shared" si="5"/>
        <v>1.4583333333333333</v>
      </c>
      <c r="J22" s="63">
        <f t="shared" si="6"/>
        <v>2.1875</v>
      </c>
      <c r="K22" s="63">
        <f t="shared" si="7"/>
        <v>3.8888888888888888</v>
      </c>
    </row>
    <row r="23" spans="1:11">
      <c r="A23" s="34" t="s">
        <v>286</v>
      </c>
      <c r="B23" s="34">
        <v>35000</v>
      </c>
      <c r="C23" s="34">
        <v>7000</v>
      </c>
      <c r="D23" s="63">
        <f t="shared" si="0"/>
        <v>5</v>
      </c>
      <c r="E23" s="34">
        <f t="shared" si="1"/>
        <v>5</v>
      </c>
      <c r="F23" s="63">
        <f t="shared" si="2"/>
        <v>3.4285714285714284</v>
      </c>
      <c r="G23" s="63">
        <f t="shared" si="3"/>
        <v>2.2857142857142856</v>
      </c>
      <c r="H23" s="63">
        <f t="shared" si="4"/>
        <v>1.2857142857142858</v>
      </c>
      <c r="I23" s="63">
        <f t="shared" si="5"/>
        <v>1.4583333333333335</v>
      </c>
      <c r="J23" s="63">
        <f t="shared" si="6"/>
        <v>2.1875</v>
      </c>
      <c r="K23" s="63">
        <f t="shared" si="7"/>
        <v>3.8888888888888884</v>
      </c>
    </row>
    <row r="24" spans="1:11">
      <c r="A24" s="34" t="s">
        <v>286</v>
      </c>
      <c r="B24" s="34">
        <v>35000</v>
      </c>
      <c r="C24" s="34">
        <v>8000</v>
      </c>
      <c r="D24" s="63">
        <f t="shared" si="0"/>
        <v>4.375</v>
      </c>
      <c r="E24" s="34">
        <f t="shared" si="1"/>
        <v>4</v>
      </c>
      <c r="F24" s="63">
        <f t="shared" si="2"/>
        <v>3</v>
      </c>
      <c r="G24" s="63">
        <f t="shared" si="3"/>
        <v>2</v>
      </c>
      <c r="H24" s="63">
        <f t="shared" si="4"/>
        <v>1.125</v>
      </c>
      <c r="I24" s="63">
        <f t="shared" si="5"/>
        <v>1.4583333333333333</v>
      </c>
      <c r="J24" s="63">
        <f t="shared" si="6"/>
        <v>2.1875</v>
      </c>
      <c r="K24" s="63">
        <f t="shared" si="7"/>
        <v>3.8888888888888888</v>
      </c>
    </row>
    <row r="25" spans="1:11">
      <c r="A25" s="34" t="s">
        <v>288</v>
      </c>
      <c r="B25" s="34">
        <v>50000</v>
      </c>
      <c r="C25" s="34">
        <v>1000</v>
      </c>
      <c r="D25" s="63">
        <f t="shared" si="0"/>
        <v>50</v>
      </c>
      <c r="E25" s="34">
        <f t="shared" si="1"/>
        <v>50</v>
      </c>
      <c r="F25" s="63">
        <f t="shared" si="2"/>
        <v>24</v>
      </c>
      <c r="G25" s="63">
        <f t="shared" si="3"/>
        <v>16</v>
      </c>
      <c r="H25" s="63">
        <f t="shared" si="4"/>
        <v>9</v>
      </c>
      <c r="I25" s="63">
        <f t="shared" si="5"/>
        <v>2.0833333333333335</v>
      </c>
      <c r="J25" s="63">
        <f t="shared" si="6"/>
        <v>3.125</v>
      </c>
      <c r="K25" s="63">
        <f t="shared" si="7"/>
        <v>5.5555555555555554</v>
      </c>
    </row>
    <row r="26" spans="1:11">
      <c r="A26" s="34" t="s">
        <v>288</v>
      </c>
      <c r="B26" s="34">
        <v>50000</v>
      </c>
      <c r="C26" s="34">
        <v>2000</v>
      </c>
      <c r="D26" s="63">
        <f t="shared" si="0"/>
        <v>25</v>
      </c>
      <c r="E26" s="34">
        <f t="shared" si="1"/>
        <v>25</v>
      </c>
      <c r="F26" s="63">
        <f t="shared" si="2"/>
        <v>12</v>
      </c>
      <c r="G26" s="63">
        <f t="shared" si="3"/>
        <v>8</v>
      </c>
      <c r="H26" s="63">
        <f t="shared" si="4"/>
        <v>4.5</v>
      </c>
      <c r="I26" s="63">
        <f t="shared" si="5"/>
        <v>2.0833333333333335</v>
      </c>
      <c r="J26" s="63">
        <f t="shared" si="6"/>
        <v>3.125</v>
      </c>
      <c r="K26" s="63">
        <f t="shared" si="7"/>
        <v>5.5555555555555554</v>
      </c>
    </row>
    <row r="27" spans="1:11">
      <c r="A27" s="34" t="s">
        <v>288</v>
      </c>
      <c r="B27" s="34">
        <v>50000</v>
      </c>
      <c r="C27" s="34">
        <v>3000</v>
      </c>
      <c r="D27" s="63">
        <f t="shared" si="0"/>
        <v>16.666666666666668</v>
      </c>
      <c r="E27" s="34">
        <f t="shared" si="1"/>
        <v>17</v>
      </c>
      <c r="F27" s="63">
        <f t="shared" si="2"/>
        <v>8</v>
      </c>
      <c r="G27" s="63">
        <f t="shared" si="3"/>
        <v>5.333333333333333</v>
      </c>
      <c r="H27" s="63">
        <f t="shared" si="4"/>
        <v>3</v>
      </c>
      <c r="I27" s="63">
        <f t="shared" si="5"/>
        <v>2.0833333333333335</v>
      </c>
      <c r="J27" s="63">
        <f t="shared" si="6"/>
        <v>3.1250000000000004</v>
      </c>
      <c r="K27" s="63">
        <f t="shared" si="7"/>
        <v>5.5555555555555562</v>
      </c>
    </row>
    <row r="28" spans="1:11">
      <c r="A28" s="34" t="s">
        <v>288</v>
      </c>
      <c r="B28" s="34">
        <v>50000</v>
      </c>
      <c r="C28" s="34">
        <v>4000</v>
      </c>
      <c r="D28" s="63">
        <f t="shared" si="0"/>
        <v>12.5</v>
      </c>
      <c r="E28" s="34">
        <f t="shared" si="1"/>
        <v>13</v>
      </c>
      <c r="F28" s="63">
        <f t="shared" si="2"/>
        <v>6</v>
      </c>
      <c r="G28" s="63">
        <f t="shared" si="3"/>
        <v>4</v>
      </c>
      <c r="H28" s="63">
        <f t="shared" si="4"/>
        <v>2.25</v>
      </c>
      <c r="I28" s="63">
        <f t="shared" si="5"/>
        <v>2.0833333333333335</v>
      </c>
      <c r="J28" s="63">
        <f t="shared" si="6"/>
        <v>3.125</v>
      </c>
      <c r="K28" s="63">
        <f t="shared" si="7"/>
        <v>5.5555555555555554</v>
      </c>
    </row>
    <row r="29" spans="1:11">
      <c r="A29" s="34" t="s">
        <v>288</v>
      </c>
      <c r="B29" s="34">
        <v>50000</v>
      </c>
      <c r="C29" s="34">
        <v>5000</v>
      </c>
      <c r="D29" s="63">
        <f t="shared" si="0"/>
        <v>10</v>
      </c>
      <c r="E29" s="34">
        <f t="shared" si="1"/>
        <v>10</v>
      </c>
      <c r="F29" s="63">
        <f t="shared" si="2"/>
        <v>4.8</v>
      </c>
      <c r="G29" s="63">
        <f t="shared" si="3"/>
        <v>3.2</v>
      </c>
      <c r="H29" s="63">
        <f t="shared" si="4"/>
        <v>1.8</v>
      </c>
      <c r="I29" s="63">
        <f t="shared" si="5"/>
        <v>2.0833333333333335</v>
      </c>
      <c r="J29" s="63">
        <f t="shared" si="6"/>
        <v>3.125</v>
      </c>
      <c r="K29" s="63">
        <f t="shared" si="7"/>
        <v>5.5555555555555554</v>
      </c>
    </row>
    <row r="30" spans="1:11">
      <c r="A30" s="34" t="s">
        <v>288</v>
      </c>
      <c r="B30" s="34">
        <v>50000</v>
      </c>
      <c r="C30" s="34">
        <v>6000</v>
      </c>
      <c r="D30" s="63">
        <f t="shared" si="0"/>
        <v>8.3333333333333339</v>
      </c>
      <c r="E30" s="34">
        <f t="shared" si="1"/>
        <v>8</v>
      </c>
      <c r="F30" s="63">
        <f t="shared" si="2"/>
        <v>4</v>
      </c>
      <c r="G30" s="63">
        <f t="shared" si="3"/>
        <v>2.6666666666666665</v>
      </c>
      <c r="H30" s="63">
        <f t="shared" si="4"/>
        <v>1.5</v>
      </c>
      <c r="I30" s="63">
        <f t="shared" si="5"/>
        <v>2.0833333333333335</v>
      </c>
      <c r="J30" s="63">
        <f t="shared" si="6"/>
        <v>3.1250000000000004</v>
      </c>
      <c r="K30" s="63">
        <f t="shared" si="7"/>
        <v>5.5555555555555562</v>
      </c>
    </row>
    <row r="31" spans="1:11">
      <c r="A31" s="34" t="s">
        <v>288</v>
      </c>
      <c r="B31" s="34">
        <v>50000</v>
      </c>
      <c r="C31" s="34">
        <v>7000</v>
      </c>
      <c r="D31" s="63">
        <f t="shared" si="0"/>
        <v>7.1428571428571432</v>
      </c>
      <c r="E31" s="34">
        <f t="shared" si="1"/>
        <v>7</v>
      </c>
      <c r="F31" s="63">
        <f t="shared" si="2"/>
        <v>3.4285714285714284</v>
      </c>
      <c r="G31" s="63">
        <f t="shared" si="3"/>
        <v>2.2857142857142856</v>
      </c>
      <c r="H31" s="63">
        <f t="shared" si="4"/>
        <v>1.2857142857142858</v>
      </c>
      <c r="I31" s="63">
        <f t="shared" si="5"/>
        <v>2.0833333333333335</v>
      </c>
      <c r="J31" s="63">
        <f t="shared" si="6"/>
        <v>3.1250000000000004</v>
      </c>
      <c r="K31" s="63">
        <f t="shared" si="7"/>
        <v>5.5555555555555554</v>
      </c>
    </row>
    <row r="32" spans="1:11">
      <c r="A32" s="34" t="s">
        <v>288</v>
      </c>
      <c r="B32" s="34">
        <v>50000</v>
      </c>
      <c r="C32" s="34">
        <v>8000</v>
      </c>
      <c r="D32" s="63">
        <f t="shared" si="0"/>
        <v>6.25</v>
      </c>
      <c r="E32" s="34">
        <f t="shared" si="1"/>
        <v>6</v>
      </c>
      <c r="F32" s="63">
        <f t="shared" si="2"/>
        <v>3</v>
      </c>
      <c r="G32" s="63">
        <f t="shared" si="3"/>
        <v>2</v>
      </c>
      <c r="H32" s="63">
        <f t="shared" si="4"/>
        <v>1.125</v>
      </c>
      <c r="I32" s="63">
        <f t="shared" si="5"/>
        <v>2.0833333333333335</v>
      </c>
      <c r="J32" s="63">
        <f t="shared" si="6"/>
        <v>3.125</v>
      </c>
      <c r="K32" s="63">
        <f t="shared" si="7"/>
        <v>5.5555555555555554</v>
      </c>
    </row>
  </sheetData>
  <pageMargins left="0.75" right="0.75" top="1" bottom="1" header="0.5" footer="0.5"/>
  <headerFooter alignWithMargins="0"/>
</worksheet>
</file>

<file path=xl/worksheets/sheet21.xml><?xml version="1.0" encoding="utf-8"?>
<worksheet xmlns="http://schemas.openxmlformats.org/spreadsheetml/2006/main" xmlns:r="http://schemas.openxmlformats.org/officeDocument/2006/relationships">
  <sheetPr codeName="Sheet13"/>
  <dimension ref="A4:C16"/>
  <sheetViews>
    <sheetView workbookViewId="0">
      <selection activeCell="B25" sqref="B25"/>
    </sheetView>
  </sheetViews>
  <sheetFormatPr defaultRowHeight="12.75"/>
  <cols>
    <col min="2" max="2" width="81.5703125" customWidth="1"/>
    <col min="3" max="3" width="78.42578125" customWidth="1"/>
  </cols>
  <sheetData>
    <row r="4" spans="1:3">
      <c r="A4" s="267" t="s">
        <v>431</v>
      </c>
      <c r="B4" s="267" t="s">
        <v>406</v>
      </c>
      <c r="C4" s="267" t="s">
        <v>407</v>
      </c>
    </row>
    <row r="5" spans="1:3">
      <c r="A5" s="196">
        <v>1</v>
      </c>
      <c r="B5" s="179" t="s">
        <v>408</v>
      </c>
      <c r="C5" s="180" t="s">
        <v>405</v>
      </c>
    </row>
    <row r="6" spans="1:3" ht="15" customHeight="1">
      <c r="A6" s="196">
        <v>2</v>
      </c>
      <c r="B6" s="179" t="s">
        <v>410</v>
      </c>
      <c r="C6" s="180" t="s">
        <v>409</v>
      </c>
    </row>
    <row r="7" spans="1:3">
      <c r="A7" s="196">
        <v>3</v>
      </c>
      <c r="B7" s="180" t="s">
        <v>432</v>
      </c>
      <c r="C7" s="180" t="s">
        <v>433</v>
      </c>
    </row>
    <row r="8" spans="1:3">
      <c r="A8" s="196">
        <v>4</v>
      </c>
      <c r="B8" s="180" t="s">
        <v>443</v>
      </c>
      <c r="C8" s="180" t="s">
        <v>444</v>
      </c>
    </row>
    <row r="9" spans="1:3">
      <c r="A9" s="196">
        <v>5</v>
      </c>
      <c r="B9" s="180" t="s">
        <v>457</v>
      </c>
      <c r="C9" s="180" t="s">
        <v>456</v>
      </c>
    </row>
    <row r="10" spans="1:3">
      <c r="A10" s="196">
        <v>6</v>
      </c>
      <c r="B10" s="180" t="s">
        <v>1005</v>
      </c>
      <c r="C10" s="180" t="s">
        <v>409</v>
      </c>
    </row>
    <row r="11" spans="1:3">
      <c r="A11" s="196">
        <v>7</v>
      </c>
      <c r="B11" s="180" t="s">
        <v>1007</v>
      </c>
      <c r="C11" s="180" t="s">
        <v>1006</v>
      </c>
    </row>
    <row r="12" spans="1:3">
      <c r="A12" s="196"/>
      <c r="B12" s="180"/>
      <c r="C12" s="180"/>
    </row>
    <row r="13" spans="1:3">
      <c r="A13" s="196"/>
    </row>
    <row r="14" spans="1:3">
      <c r="A14" s="196"/>
    </row>
    <row r="15" spans="1:3">
      <c r="A15" s="196"/>
    </row>
    <row r="16" spans="1:3">
      <c r="A16" s="196"/>
    </row>
  </sheetData>
  <hyperlinks>
    <hyperlink ref="C7" r:id="rId1"/>
    <hyperlink ref="C8" r:id="rId2"/>
  </hyperlinks>
  <pageMargins left="0.7" right="0.7" top="0.75" bottom="0.75" header="0.3" footer="0.3"/>
</worksheet>
</file>

<file path=xl/worksheets/sheet22.xml><?xml version="1.0" encoding="utf-8"?>
<worksheet xmlns="http://schemas.openxmlformats.org/spreadsheetml/2006/main" xmlns:r="http://schemas.openxmlformats.org/officeDocument/2006/relationships">
  <sheetPr codeName="Sheet12"/>
  <dimension ref="A1:Z206"/>
  <sheetViews>
    <sheetView topLeftCell="A70" zoomScale="89" workbookViewId="0">
      <selection activeCell="D55" sqref="D55"/>
    </sheetView>
  </sheetViews>
  <sheetFormatPr defaultRowHeight="12.75"/>
  <cols>
    <col min="1" max="1" width="20.28515625" style="93" customWidth="1"/>
    <col min="2" max="2" width="30.85546875" style="66" customWidth="1"/>
    <col min="3" max="3" width="14.28515625" style="66" customWidth="1"/>
    <col min="4" max="4" width="54" style="66" customWidth="1"/>
    <col min="5" max="5" width="10" style="66" customWidth="1"/>
    <col min="6" max="6" width="10.28515625" style="66" customWidth="1"/>
    <col min="7" max="7" width="12.28515625" style="66" customWidth="1"/>
    <col min="8" max="9" width="9.140625" style="66"/>
    <col min="10" max="10" width="29.5703125" style="66" customWidth="1"/>
    <col min="11" max="12" width="13" style="66" customWidth="1"/>
    <col min="13" max="13" width="13.140625" style="66" customWidth="1"/>
    <col min="14" max="14" width="12.85546875" style="66" customWidth="1"/>
    <col min="15" max="15" width="12.140625" style="66" customWidth="1"/>
    <col min="16" max="16" width="12.28515625" style="66" customWidth="1"/>
    <col min="17" max="17" width="12.140625" style="66" customWidth="1"/>
    <col min="18" max="18" width="11.5703125" style="66" customWidth="1"/>
    <col min="19" max="19" width="11.42578125" style="66" customWidth="1"/>
    <col min="20" max="20" width="11.140625" style="66" customWidth="1"/>
    <col min="21" max="21" width="10.28515625" style="66" customWidth="1"/>
    <col min="22" max="22" width="32.42578125" style="66" customWidth="1"/>
    <col min="23" max="25" width="9.140625" style="66"/>
    <col min="26" max="26" width="10.85546875" style="66" customWidth="1"/>
    <col min="27" max="16384" width="9.140625" style="66"/>
  </cols>
  <sheetData>
    <row r="1" spans="1:23">
      <c r="A1" s="64" t="s">
        <v>175</v>
      </c>
      <c r="B1" s="65"/>
      <c r="C1" s="65"/>
      <c r="D1" s="65"/>
      <c r="E1" s="65"/>
      <c r="F1" s="65"/>
    </row>
    <row r="2" spans="1:23">
      <c r="A2" s="67"/>
      <c r="B2" s="68"/>
      <c r="C2" s="68"/>
      <c r="D2" s="68"/>
      <c r="E2" s="68"/>
      <c r="F2" s="68"/>
    </row>
    <row r="3" spans="1:23">
      <c r="A3" s="67" t="s">
        <v>176</v>
      </c>
      <c r="B3" s="68"/>
      <c r="C3" s="69" t="s">
        <v>177</v>
      </c>
      <c r="D3" s="68"/>
      <c r="E3" s="68"/>
      <c r="F3" s="68"/>
    </row>
    <row r="4" spans="1:23" ht="15">
      <c r="A4" s="67"/>
      <c r="B4" s="68"/>
      <c r="C4" s="69" t="s">
        <v>178</v>
      </c>
      <c r="D4" s="114" t="s">
        <v>397</v>
      </c>
      <c r="E4" s="112"/>
      <c r="F4" s="112"/>
    </row>
    <row r="5" spans="1:23">
      <c r="A5" s="67"/>
      <c r="B5" s="68"/>
      <c r="C5" s="68"/>
      <c r="D5" s="110" t="s">
        <v>387</v>
      </c>
      <c r="E5" s="112"/>
      <c r="F5" s="112"/>
      <c r="I5" s="504" t="s">
        <v>179</v>
      </c>
      <c r="J5" s="505"/>
      <c r="K5" s="505"/>
      <c r="L5" s="505"/>
      <c r="M5" s="505"/>
      <c r="N5" s="505"/>
      <c r="O5" s="505"/>
      <c r="P5" s="505"/>
      <c r="Q5" s="505"/>
      <c r="R5" s="505"/>
      <c r="S5" s="505"/>
      <c r="T5" s="505"/>
      <c r="U5" s="505"/>
      <c r="V5" s="505"/>
    </row>
    <row r="6" spans="1:23" ht="15">
      <c r="A6" s="67"/>
      <c r="B6" s="68"/>
      <c r="C6" s="68"/>
      <c r="D6" s="114" t="s">
        <v>399</v>
      </c>
      <c r="E6" s="114"/>
      <c r="F6" s="114" t="s">
        <v>398</v>
      </c>
      <c r="I6" s="136"/>
      <c r="J6" s="136"/>
      <c r="K6" s="506" t="s">
        <v>180</v>
      </c>
      <c r="L6" s="507"/>
      <c r="M6" s="507"/>
      <c r="N6" s="507"/>
      <c r="O6" s="507"/>
      <c r="P6" s="507"/>
      <c r="Q6" s="508"/>
      <c r="R6" s="137"/>
      <c r="S6" s="138">
        <v>0.04</v>
      </c>
      <c r="T6" s="136"/>
      <c r="U6" s="136"/>
      <c r="V6" s="136"/>
      <c r="W6" s="71"/>
    </row>
    <row r="7" spans="1:23" ht="99" customHeight="1">
      <c r="A7" s="67"/>
      <c r="B7" s="68"/>
      <c r="C7" s="11"/>
      <c r="D7" s="14" t="s">
        <v>389</v>
      </c>
      <c r="E7" s="114" t="s">
        <v>400</v>
      </c>
      <c r="F7" s="112"/>
      <c r="I7" s="136"/>
      <c r="J7" s="136"/>
      <c r="K7" s="139" t="s">
        <v>181</v>
      </c>
      <c r="L7" s="139" t="s">
        <v>182</v>
      </c>
      <c r="M7" s="139" t="s">
        <v>183</v>
      </c>
      <c r="N7" s="139" t="s">
        <v>184</v>
      </c>
      <c r="O7" s="139" t="s">
        <v>185</v>
      </c>
      <c r="P7" s="139" t="s">
        <v>186</v>
      </c>
      <c r="Q7" s="140" t="s">
        <v>187</v>
      </c>
      <c r="R7" s="139" t="s">
        <v>188</v>
      </c>
      <c r="S7" s="139" t="s">
        <v>189</v>
      </c>
      <c r="T7" s="139" t="s">
        <v>190</v>
      </c>
      <c r="U7" s="139" t="s">
        <v>191</v>
      </c>
      <c r="V7" s="141" t="s">
        <v>192</v>
      </c>
      <c r="W7" s="72" t="s">
        <v>193</v>
      </c>
    </row>
    <row r="8" spans="1:23" ht="17.25" customHeight="1">
      <c r="A8" s="67"/>
      <c r="B8" s="68"/>
      <c r="C8" s="11"/>
      <c r="D8" s="11"/>
      <c r="E8" s="112"/>
      <c r="F8" s="112"/>
      <c r="I8" s="125" t="s">
        <v>194</v>
      </c>
      <c r="J8" s="99"/>
      <c r="K8" s="99"/>
      <c r="L8" s="98"/>
      <c r="M8" s="124"/>
      <c r="N8" s="124"/>
      <c r="O8" s="99"/>
      <c r="P8" s="124"/>
      <c r="Q8" s="99"/>
      <c r="R8" s="99"/>
      <c r="S8" s="99"/>
      <c r="T8" s="99"/>
      <c r="U8" s="99"/>
      <c r="V8" s="126"/>
      <c r="W8" s="70"/>
    </row>
    <row r="9" spans="1:23">
      <c r="A9" s="67"/>
      <c r="B9" s="68"/>
      <c r="C9" s="11"/>
      <c r="D9" s="11"/>
      <c r="E9" s="112"/>
      <c r="F9" s="112"/>
      <c r="I9" s="99"/>
      <c r="J9" s="125" t="s">
        <v>195</v>
      </c>
      <c r="K9" s="125">
        <v>2.4</v>
      </c>
      <c r="L9" s="98">
        <v>0.52</v>
      </c>
      <c r="M9" s="127">
        <v>2.0299999999999998</v>
      </c>
      <c r="N9" s="128">
        <f>M9/K9</f>
        <v>0.84583333333333333</v>
      </c>
      <c r="O9" s="128">
        <f>M9/$M$24</f>
        <v>1.1267136593217517E-2</v>
      </c>
      <c r="P9" s="99">
        <v>4.8499999999999996</v>
      </c>
      <c r="Q9" s="104">
        <f>M9*1000000000/8760/1000</f>
        <v>231.73515981735159</v>
      </c>
      <c r="R9" s="104">
        <f>K9*1000000000000/8760/1000000*$S$6</f>
        <v>10.95890410958904</v>
      </c>
      <c r="S9" s="129">
        <f>Q9*$S$6</f>
        <v>9.269406392694064</v>
      </c>
      <c r="T9" s="98">
        <v>0.5</v>
      </c>
      <c r="U9" s="127">
        <f>S9*T9</f>
        <v>4.634703196347032</v>
      </c>
      <c r="V9" s="126"/>
      <c r="W9" s="72" t="s">
        <v>196</v>
      </c>
    </row>
    <row r="10" spans="1:23">
      <c r="A10" s="67"/>
      <c r="B10" s="68"/>
      <c r="C10" s="11"/>
      <c r="D10" s="11"/>
      <c r="E10" s="112"/>
      <c r="F10" s="112"/>
      <c r="I10" s="99"/>
      <c r="J10" s="125" t="s">
        <v>197</v>
      </c>
      <c r="K10" s="125">
        <v>6.6</v>
      </c>
      <c r="L10" s="130">
        <v>0.05</v>
      </c>
      <c r="M10" s="127">
        <v>5.97</v>
      </c>
      <c r="N10" s="128">
        <f t="shared" ref="N10:N22" si="0">M10/K10</f>
        <v>0.90454545454545454</v>
      </c>
      <c r="O10" s="128">
        <f>M10/$M$24</f>
        <v>3.3135372148526396E-2</v>
      </c>
      <c r="P10" s="99">
        <v>6.3</v>
      </c>
      <c r="Q10" s="104">
        <f>M10*1000000000/8760/1000</f>
        <v>681.50684931506851</v>
      </c>
      <c r="R10" s="104">
        <f t="shared" ref="R10:R22" si="1">K10*1000000000000/8760/1000000*$S$6</f>
        <v>30.136986301369863</v>
      </c>
      <c r="S10" s="129">
        <f t="shared" ref="S10:S22" si="2">Q10*$S$6</f>
        <v>27.260273972602739</v>
      </c>
      <c r="T10" s="98">
        <v>1</v>
      </c>
      <c r="U10" s="127">
        <f t="shared" ref="U10:U22" si="3">S10*T10</f>
        <v>27.260273972602739</v>
      </c>
      <c r="V10" s="126"/>
      <c r="W10" s="70"/>
    </row>
    <row r="11" spans="1:23">
      <c r="A11" s="67"/>
      <c r="B11" s="68"/>
      <c r="C11" s="11"/>
      <c r="D11" s="11"/>
      <c r="E11" s="112"/>
      <c r="F11" s="112"/>
      <c r="I11" s="99"/>
      <c r="J11" s="125" t="s">
        <v>198</v>
      </c>
      <c r="K11" s="125">
        <v>2.5</v>
      </c>
      <c r="L11" s="130">
        <v>0.88</v>
      </c>
      <c r="M11" s="127">
        <v>0.63</v>
      </c>
      <c r="N11" s="128">
        <f t="shared" si="0"/>
        <v>0.252</v>
      </c>
      <c r="O11" s="128">
        <f>M11/$M$24</f>
        <v>3.4966975634123333E-3</v>
      </c>
      <c r="P11" s="99">
        <v>5.18</v>
      </c>
      <c r="Q11" s="104">
        <f>M11*1000000000/8760/1000</f>
        <v>71.917808219178085</v>
      </c>
      <c r="R11" s="104">
        <f t="shared" si="1"/>
        <v>11.415525114155253</v>
      </c>
      <c r="S11" s="129">
        <f t="shared" si="2"/>
        <v>2.8767123287671232</v>
      </c>
      <c r="T11" s="98">
        <v>1</v>
      </c>
      <c r="U11" s="127">
        <f t="shared" si="3"/>
        <v>2.8767123287671232</v>
      </c>
      <c r="V11" s="126"/>
      <c r="W11" s="72" t="s">
        <v>199</v>
      </c>
    </row>
    <row r="12" spans="1:23">
      <c r="A12" s="67"/>
      <c r="B12" s="68"/>
      <c r="C12" s="11"/>
      <c r="D12" s="11"/>
      <c r="E12" s="112"/>
      <c r="F12" s="112"/>
      <c r="I12" s="99"/>
      <c r="J12" s="125" t="s">
        <v>200</v>
      </c>
      <c r="K12" s="125">
        <v>11.6</v>
      </c>
      <c r="L12" s="130">
        <v>0.06</v>
      </c>
      <c r="M12" s="127">
        <v>6.58</v>
      </c>
      <c r="N12" s="128">
        <f t="shared" si="0"/>
        <v>0.56724137931034491</v>
      </c>
      <c r="O12" s="128">
        <f>M12/$M$24</f>
        <v>3.6521063440084364E-2</v>
      </c>
      <c r="P12" s="99">
        <v>7.53</v>
      </c>
      <c r="Q12" s="104">
        <f>M12*1000000000/8760/1000</f>
        <v>751.14155251141551</v>
      </c>
      <c r="R12" s="104">
        <f t="shared" si="1"/>
        <v>52.968036529680369</v>
      </c>
      <c r="S12" s="129">
        <f t="shared" si="2"/>
        <v>30.045662100456621</v>
      </c>
      <c r="T12" s="98">
        <v>1</v>
      </c>
      <c r="U12" s="127">
        <f t="shared" si="3"/>
        <v>30.045662100456621</v>
      </c>
      <c r="V12" s="126"/>
      <c r="W12" s="72" t="s">
        <v>201</v>
      </c>
    </row>
    <row r="13" spans="1:23">
      <c r="A13" s="67"/>
      <c r="B13" s="68"/>
      <c r="C13" s="11"/>
      <c r="D13" s="11"/>
      <c r="E13" s="112"/>
      <c r="F13" s="112"/>
      <c r="I13" s="125" t="s">
        <v>202</v>
      </c>
      <c r="J13" s="99"/>
      <c r="K13" s="99"/>
      <c r="L13" s="99"/>
      <c r="M13" s="127"/>
      <c r="N13" s="99"/>
      <c r="O13" s="128"/>
      <c r="P13" s="99"/>
      <c r="Q13" s="99"/>
      <c r="R13" s="99"/>
      <c r="S13" s="99"/>
      <c r="T13" s="99"/>
      <c r="U13" s="127"/>
      <c r="V13" s="126"/>
      <c r="W13" s="70"/>
    </row>
    <row r="14" spans="1:23">
      <c r="A14" s="67"/>
      <c r="B14" s="68"/>
      <c r="C14" s="11"/>
      <c r="D14" s="11"/>
      <c r="E14" s="68"/>
      <c r="F14" s="68"/>
      <c r="I14" s="99"/>
      <c r="J14" s="125" t="s">
        <v>203</v>
      </c>
      <c r="K14" s="125">
        <v>103</v>
      </c>
      <c r="L14" s="130">
        <v>0</v>
      </c>
      <c r="M14" s="127">
        <v>81.2</v>
      </c>
      <c r="N14" s="128">
        <f t="shared" si="0"/>
        <v>0.78834951456310687</v>
      </c>
      <c r="O14" s="128">
        <f t="shared" ref="O14:O19" si="4">M14/$M$24</f>
        <v>0.45068546372870072</v>
      </c>
      <c r="P14" s="99">
        <v>81.2</v>
      </c>
      <c r="Q14" s="104">
        <f>M14*1000000000/8760/1000</f>
        <v>9269.4063926940635</v>
      </c>
      <c r="R14" s="104">
        <f t="shared" si="1"/>
        <v>470.31963470319636</v>
      </c>
      <c r="S14" s="129">
        <f t="shared" si="2"/>
        <v>370.77625570776257</v>
      </c>
      <c r="T14" s="98">
        <v>0.2</v>
      </c>
      <c r="U14" s="127">
        <f t="shared" si="3"/>
        <v>74.155251141552512</v>
      </c>
      <c r="V14" s="126"/>
      <c r="W14" s="72" t="s">
        <v>204</v>
      </c>
    </row>
    <row r="15" spans="1:23">
      <c r="A15" s="67"/>
      <c r="B15" s="68"/>
      <c r="C15" s="11"/>
      <c r="D15" s="11"/>
      <c r="E15" s="68"/>
      <c r="F15" s="68"/>
      <c r="I15" s="99"/>
      <c r="J15" s="125" t="s">
        <v>205</v>
      </c>
      <c r="K15" s="125">
        <v>13</v>
      </c>
      <c r="L15" s="131">
        <v>3.5999999999999997E-2</v>
      </c>
      <c r="M15" s="132">
        <v>2</v>
      </c>
      <c r="N15" s="128">
        <f t="shared" si="0"/>
        <v>0.15384615384615385</v>
      </c>
      <c r="O15" s="128">
        <f t="shared" si="4"/>
        <v>1.1100627185435977E-2</v>
      </c>
      <c r="P15" s="99">
        <v>25.4</v>
      </c>
      <c r="Q15" s="104">
        <f t="shared" ref="Q15:Q22" si="5">M15*1000000000/8760/1000</f>
        <v>228.31050228310502</v>
      </c>
      <c r="R15" s="104">
        <f t="shared" si="1"/>
        <v>59.360730593607308</v>
      </c>
      <c r="S15" s="129">
        <f t="shared" si="2"/>
        <v>9.1324200913242013</v>
      </c>
      <c r="T15" s="98">
        <v>0.8</v>
      </c>
      <c r="U15" s="127">
        <f t="shared" si="3"/>
        <v>7.3059360730593612</v>
      </c>
      <c r="V15" s="133" t="s">
        <v>206</v>
      </c>
      <c r="W15" s="72" t="s">
        <v>207</v>
      </c>
    </row>
    <row r="16" spans="1:23">
      <c r="A16" s="67"/>
      <c r="B16" s="68"/>
      <c r="C16" s="68"/>
      <c r="D16" s="68"/>
      <c r="E16" s="68"/>
      <c r="F16" s="68"/>
      <c r="I16" s="99"/>
      <c r="J16" s="125" t="s">
        <v>208</v>
      </c>
      <c r="K16" s="125">
        <v>32</v>
      </c>
      <c r="L16" s="134">
        <v>0</v>
      </c>
      <c r="M16" s="127">
        <v>7.87</v>
      </c>
      <c r="N16" s="128">
        <f t="shared" si="0"/>
        <v>0.2459375</v>
      </c>
      <c r="O16" s="128">
        <f t="shared" si="4"/>
        <v>4.3680967974690572E-2</v>
      </c>
      <c r="P16" s="99">
        <v>7.87</v>
      </c>
      <c r="Q16" s="104">
        <f t="shared" si="5"/>
        <v>898.40182648401822</v>
      </c>
      <c r="R16" s="104">
        <f t="shared" si="1"/>
        <v>146.11872146118722</v>
      </c>
      <c r="S16" s="129">
        <f t="shared" si="2"/>
        <v>35.93607305936073</v>
      </c>
      <c r="T16" s="98">
        <v>0.5</v>
      </c>
      <c r="U16" s="127">
        <f t="shared" si="3"/>
        <v>17.968036529680365</v>
      </c>
      <c r="V16" s="126"/>
      <c r="W16" s="72" t="s">
        <v>209</v>
      </c>
    </row>
    <row r="17" spans="1:26">
      <c r="A17" s="67"/>
      <c r="B17" s="68"/>
      <c r="C17" s="68"/>
      <c r="D17" s="68"/>
      <c r="E17" s="68"/>
      <c r="F17" s="68"/>
      <c r="I17" s="99"/>
      <c r="J17" s="125" t="s">
        <v>210</v>
      </c>
      <c r="K17" s="125">
        <v>19</v>
      </c>
      <c r="L17" s="134">
        <v>0</v>
      </c>
      <c r="M17" s="127">
        <v>13</v>
      </c>
      <c r="N17" s="128">
        <f t="shared" si="0"/>
        <v>0.68421052631578949</v>
      </c>
      <c r="O17" s="128">
        <f t="shared" si="4"/>
        <v>7.2154076705333858E-2</v>
      </c>
      <c r="P17" s="99">
        <v>13</v>
      </c>
      <c r="Q17" s="104">
        <f t="shared" si="5"/>
        <v>1484.0182648401826</v>
      </c>
      <c r="R17" s="104">
        <f t="shared" si="1"/>
        <v>86.75799086757992</v>
      </c>
      <c r="S17" s="129">
        <f t="shared" si="2"/>
        <v>59.360730593607308</v>
      </c>
      <c r="T17" s="98">
        <v>0.5</v>
      </c>
      <c r="U17" s="127">
        <f t="shared" si="3"/>
        <v>29.680365296803654</v>
      </c>
      <c r="V17" s="126"/>
      <c r="W17" s="72" t="s">
        <v>209</v>
      </c>
    </row>
    <row r="18" spans="1:26">
      <c r="A18" s="67"/>
      <c r="B18" s="68"/>
      <c r="C18" s="68"/>
      <c r="D18" s="68"/>
      <c r="E18" s="68"/>
      <c r="F18" s="68"/>
      <c r="I18" s="99"/>
      <c r="J18" s="125" t="s">
        <v>211</v>
      </c>
      <c r="K18" s="125">
        <v>2.8</v>
      </c>
      <c r="L18" s="134">
        <v>0</v>
      </c>
      <c r="M18" s="127">
        <v>2.2200000000000002</v>
      </c>
      <c r="N18" s="128">
        <f t="shared" si="0"/>
        <v>0.79285714285714293</v>
      </c>
      <c r="O18" s="128">
        <f t="shared" si="4"/>
        <v>1.2321696175833936E-2</v>
      </c>
      <c r="P18" s="99">
        <v>2.2200000000000002</v>
      </c>
      <c r="Q18" s="104">
        <f>M18*1000000000/8760/1000</f>
        <v>253.42465753424656</v>
      </c>
      <c r="R18" s="104">
        <f t="shared" si="1"/>
        <v>12.785388127853883</v>
      </c>
      <c r="S18" s="129">
        <f t="shared" si="2"/>
        <v>10.136986301369863</v>
      </c>
      <c r="T18" s="98">
        <v>0</v>
      </c>
      <c r="U18" s="127">
        <f t="shared" si="3"/>
        <v>0</v>
      </c>
      <c r="V18" s="126"/>
      <c r="W18" s="72" t="s">
        <v>209</v>
      </c>
    </row>
    <row r="19" spans="1:26">
      <c r="A19" s="67"/>
      <c r="B19" s="68"/>
      <c r="C19" s="68"/>
      <c r="D19" s="68"/>
      <c r="E19" s="68"/>
      <c r="F19" s="68"/>
      <c r="I19" s="99"/>
      <c r="J19" s="125" t="s">
        <v>212</v>
      </c>
      <c r="K19" s="125">
        <v>3.4</v>
      </c>
      <c r="L19" s="134">
        <v>0</v>
      </c>
      <c r="M19" s="127">
        <v>1.37</v>
      </c>
      <c r="N19" s="128">
        <f t="shared" si="0"/>
        <v>0.4029411764705883</v>
      </c>
      <c r="O19" s="128">
        <f t="shared" si="4"/>
        <v>7.6039296220236459E-3</v>
      </c>
      <c r="P19" s="99">
        <v>1.37</v>
      </c>
      <c r="Q19" s="104">
        <f t="shared" si="5"/>
        <v>156.39269406392694</v>
      </c>
      <c r="R19" s="104">
        <f t="shared" si="1"/>
        <v>15.52511415525114</v>
      </c>
      <c r="S19" s="129">
        <f t="shared" si="2"/>
        <v>6.2557077625570781</v>
      </c>
      <c r="T19" s="98">
        <v>0.5</v>
      </c>
      <c r="U19" s="127">
        <f t="shared" si="3"/>
        <v>3.127853881278539</v>
      </c>
      <c r="V19" s="126"/>
      <c r="W19" s="72" t="s">
        <v>209</v>
      </c>
    </row>
    <row r="20" spans="1:26">
      <c r="A20" s="67"/>
      <c r="B20" s="68"/>
      <c r="C20" s="68"/>
      <c r="D20" s="68"/>
      <c r="E20" s="68"/>
      <c r="F20" s="68"/>
      <c r="I20" s="125" t="s">
        <v>213</v>
      </c>
      <c r="J20" s="99"/>
      <c r="K20" s="99"/>
      <c r="L20" s="99"/>
      <c r="M20" s="127"/>
      <c r="N20" s="99"/>
      <c r="O20" s="128"/>
      <c r="P20" s="99"/>
      <c r="Q20" s="99"/>
      <c r="R20" s="99"/>
      <c r="S20" s="99"/>
      <c r="T20" s="99"/>
      <c r="U20" s="127"/>
      <c r="V20" s="126"/>
      <c r="W20" s="70"/>
    </row>
    <row r="21" spans="1:26">
      <c r="A21" s="67"/>
      <c r="B21" s="68"/>
      <c r="C21" s="68"/>
      <c r="D21" s="68"/>
      <c r="E21" s="68"/>
      <c r="F21" s="68"/>
      <c r="I21" s="99"/>
      <c r="J21" s="125" t="s">
        <v>214</v>
      </c>
      <c r="K21" s="125">
        <v>178</v>
      </c>
      <c r="L21" s="134">
        <v>0</v>
      </c>
      <c r="M21" s="127">
        <v>44.7</v>
      </c>
      <c r="N21" s="128">
        <f t="shared" si="0"/>
        <v>0.25112359550561797</v>
      </c>
      <c r="O21" s="128">
        <f>M21/$M$24</f>
        <v>0.24809901759449413</v>
      </c>
      <c r="P21" s="99">
        <v>44.7</v>
      </c>
      <c r="Q21" s="104">
        <f t="shared" si="5"/>
        <v>5102.7397260273974</v>
      </c>
      <c r="R21" s="104">
        <f t="shared" si="1"/>
        <v>812.78538812785382</v>
      </c>
      <c r="S21" s="129">
        <f t="shared" si="2"/>
        <v>204.10958904109589</v>
      </c>
      <c r="T21" s="98">
        <v>1</v>
      </c>
      <c r="U21" s="127">
        <f t="shared" si="3"/>
        <v>204.10958904109589</v>
      </c>
      <c r="V21" s="133" t="s">
        <v>215</v>
      </c>
      <c r="W21" s="72" t="s">
        <v>216</v>
      </c>
    </row>
    <row r="22" spans="1:26">
      <c r="A22" s="67"/>
      <c r="B22" s="68"/>
      <c r="C22" s="68"/>
      <c r="D22" s="68"/>
      <c r="E22" s="68"/>
      <c r="F22" s="68"/>
      <c r="I22" s="99"/>
      <c r="J22" s="125" t="s">
        <v>217</v>
      </c>
      <c r="K22" s="125">
        <v>22</v>
      </c>
      <c r="L22" s="134">
        <v>0</v>
      </c>
      <c r="M22" s="127">
        <v>12.6</v>
      </c>
      <c r="N22" s="128">
        <f t="shared" si="0"/>
        <v>0.57272727272727275</v>
      </c>
      <c r="O22" s="128">
        <f>M22/$M$24</f>
        <v>6.9933951268246655E-2</v>
      </c>
      <c r="P22" s="99">
        <v>12.6</v>
      </c>
      <c r="Q22" s="104">
        <f t="shared" si="5"/>
        <v>1438.3561643835617</v>
      </c>
      <c r="R22" s="104">
        <f t="shared" si="1"/>
        <v>100.4566210045662</v>
      </c>
      <c r="S22" s="129">
        <f t="shared" si="2"/>
        <v>57.534246575342472</v>
      </c>
      <c r="T22" s="98">
        <v>1</v>
      </c>
      <c r="U22" s="127">
        <f t="shared" si="3"/>
        <v>57.534246575342472</v>
      </c>
      <c r="V22" s="133" t="s">
        <v>215</v>
      </c>
      <c r="W22" s="72" t="s">
        <v>216</v>
      </c>
    </row>
    <row r="23" spans="1:26">
      <c r="A23" s="67"/>
      <c r="B23" s="68"/>
      <c r="C23" s="68"/>
      <c r="D23" s="68"/>
      <c r="E23" s="68"/>
      <c r="F23" s="68"/>
      <c r="I23" s="68"/>
      <c r="J23" s="68"/>
      <c r="K23" s="68"/>
      <c r="L23" s="68"/>
      <c r="M23" s="68"/>
      <c r="N23" s="68"/>
      <c r="O23" s="68"/>
      <c r="P23" s="68"/>
      <c r="Q23" s="68"/>
      <c r="R23" s="68"/>
      <c r="S23" s="68"/>
      <c r="T23" s="68"/>
      <c r="U23" s="68"/>
      <c r="V23" s="68"/>
      <c r="W23" s="70"/>
    </row>
    <row r="24" spans="1:26">
      <c r="A24" s="67"/>
      <c r="B24" s="68"/>
      <c r="C24" s="68"/>
      <c r="D24" s="68"/>
      <c r="E24" s="68"/>
      <c r="F24" s="68"/>
      <c r="I24" s="99"/>
      <c r="J24" s="125" t="s">
        <v>156</v>
      </c>
      <c r="K24" s="125">
        <f>SUM(K9:K22)</f>
        <v>396.3</v>
      </c>
      <c r="L24" s="125"/>
      <c r="M24" s="127">
        <f>SUM(M9:M22)</f>
        <v>180.17</v>
      </c>
      <c r="N24" s="127"/>
      <c r="O24" s="128">
        <f>M24/$M$24</f>
        <v>1</v>
      </c>
      <c r="P24" s="127">
        <f>SUM(P9:P22)</f>
        <v>212.22</v>
      </c>
      <c r="Q24" s="104">
        <f>M24*1000000000/8760/1000</f>
        <v>20567.351598173518</v>
      </c>
      <c r="R24" s="104">
        <f>SUM(R9:R22)</f>
        <v>1809.5890410958903</v>
      </c>
      <c r="S24" s="127">
        <f>Q24*$S$6</f>
        <v>822.69406392694077</v>
      </c>
      <c r="T24" s="135"/>
      <c r="U24" s="127">
        <f>SUM(U9:U22)</f>
        <v>458.69863013698631</v>
      </c>
      <c r="V24" s="126"/>
      <c r="W24" s="70"/>
    </row>
    <row r="25" spans="1:26">
      <c r="A25" s="67"/>
      <c r="B25" s="68"/>
      <c r="C25" s="68"/>
      <c r="D25" s="68"/>
      <c r="E25" s="68"/>
      <c r="F25" s="68"/>
    </row>
    <row r="26" spans="1:26">
      <c r="A26" s="67"/>
      <c r="B26" s="68"/>
      <c r="C26" s="68"/>
      <c r="D26" s="68"/>
      <c r="E26" s="68"/>
      <c r="F26" s="68"/>
    </row>
    <row r="27" spans="1:26">
      <c r="A27" s="67"/>
      <c r="B27" s="68"/>
      <c r="C27" s="68"/>
      <c r="D27" s="68"/>
      <c r="E27" s="68"/>
      <c r="F27" s="68"/>
    </row>
    <row r="28" spans="1:26">
      <c r="A28" s="67"/>
      <c r="B28" s="68"/>
      <c r="C28" s="68"/>
      <c r="D28" s="68"/>
      <c r="E28" s="68"/>
      <c r="F28" s="68"/>
      <c r="L28" s="74">
        <v>302</v>
      </c>
      <c r="M28" s="66">
        <v>13</v>
      </c>
      <c r="N28" s="75">
        <f>M28/L28</f>
        <v>4.3046357615894038E-2</v>
      </c>
      <c r="V28" s="76"/>
      <c r="W28" s="76"/>
      <c r="X28" s="76"/>
      <c r="Y28" s="76"/>
      <c r="Z28" s="76"/>
    </row>
    <row r="29" spans="1:26" ht="69.75" customHeight="1">
      <c r="A29" s="67"/>
      <c r="B29" s="68"/>
      <c r="C29" s="68"/>
      <c r="D29" s="68"/>
      <c r="E29" s="68"/>
      <c r="F29" s="68"/>
      <c r="J29" s="140" t="s">
        <v>218</v>
      </c>
      <c r="K29" s="139" t="s">
        <v>219</v>
      </c>
      <c r="L29" s="139" t="s">
        <v>220</v>
      </c>
      <c r="M29" s="139" t="s">
        <v>221</v>
      </c>
      <c r="R29" s="77"/>
      <c r="S29" s="77"/>
      <c r="T29" s="77"/>
      <c r="U29" s="77"/>
      <c r="V29" s="77"/>
    </row>
    <row r="30" spans="1:26">
      <c r="A30" s="67"/>
      <c r="C30" s="68"/>
      <c r="D30" s="68"/>
      <c r="E30" s="68"/>
      <c r="F30" s="68"/>
      <c r="J30" s="78" t="s">
        <v>222</v>
      </c>
      <c r="K30" s="79">
        <v>48</v>
      </c>
      <c r="L30" s="80">
        <f>K30/$L$28</f>
        <v>0.15894039735099338</v>
      </c>
      <c r="M30" s="81">
        <f>L30*$M$28</f>
        <v>2.0662251655629138</v>
      </c>
      <c r="N30" s="75">
        <f>K30/$K$34</f>
        <v>0.36336109008327028</v>
      </c>
      <c r="O30" s="66">
        <v>400</v>
      </c>
      <c r="P30" s="82">
        <v>0.3</v>
      </c>
      <c r="Q30" s="82"/>
      <c r="R30" s="83"/>
      <c r="S30" s="84"/>
      <c r="T30" s="83"/>
      <c r="U30" s="62"/>
      <c r="V30" s="85"/>
    </row>
    <row r="31" spans="1:26">
      <c r="A31" s="67"/>
      <c r="C31" s="68"/>
      <c r="D31" s="68"/>
      <c r="E31" s="68"/>
      <c r="F31" s="68"/>
      <c r="J31" s="78" t="s">
        <v>223</v>
      </c>
      <c r="K31" s="79">
        <v>46</v>
      </c>
      <c r="L31" s="80">
        <f>K31/$L$28</f>
        <v>0.15231788079470199</v>
      </c>
      <c r="M31" s="81">
        <f>L31*$M$28</f>
        <v>1.9801324503311259</v>
      </c>
      <c r="N31" s="75">
        <f>K31/$K$34</f>
        <v>0.34822104466313403</v>
      </c>
      <c r="O31" s="66">
        <v>250</v>
      </c>
      <c r="P31" s="82">
        <v>0.4</v>
      </c>
      <c r="Q31" s="82"/>
      <c r="V31" s="76"/>
      <c r="W31" s="62"/>
      <c r="X31" s="62"/>
      <c r="Y31" s="76"/>
      <c r="Z31" s="76"/>
    </row>
    <row r="32" spans="1:26">
      <c r="A32" s="67"/>
      <c r="C32" s="68"/>
      <c r="D32" s="68"/>
      <c r="E32" s="68"/>
      <c r="F32" s="68"/>
      <c r="J32" s="78" t="s">
        <v>224</v>
      </c>
      <c r="K32" s="79">
        <v>35</v>
      </c>
      <c r="L32" s="80">
        <f>K32/$L$28</f>
        <v>0.11589403973509933</v>
      </c>
      <c r="M32" s="81">
        <f>L32*$M$28</f>
        <v>1.5066225165562914</v>
      </c>
      <c r="N32" s="75">
        <f>K32/$K$34</f>
        <v>0.26495079485238454</v>
      </c>
      <c r="O32" s="66">
        <v>100</v>
      </c>
      <c r="P32" s="82">
        <v>0.3</v>
      </c>
      <c r="Q32" s="82"/>
    </row>
    <row r="33" spans="1:18">
      <c r="A33" s="67"/>
      <c r="C33" s="68"/>
      <c r="D33" s="68"/>
      <c r="E33" s="68"/>
      <c r="F33" s="68"/>
      <c r="J33" s="78" t="s">
        <v>139</v>
      </c>
      <c r="K33" s="73">
        <v>3.1</v>
      </c>
      <c r="L33" s="86">
        <f>K33/$L$28</f>
        <v>1.0264900662251657E-2</v>
      </c>
      <c r="M33" s="81">
        <f>L33*$M$28</f>
        <v>0.13344370860927154</v>
      </c>
      <c r="N33" s="75">
        <f>K33/$K$34</f>
        <v>2.3467070401211206E-2</v>
      </c>
      <c r="O33" s="509">
        <f>SUMPRODUCT(O30:O32,P30:P32)</f>
        <v>250</v>
      </c>
      <c r="P33" s="509"/>
      <c r="Q33" s="87">
        <f>300*K33*1000000*4140/8760/1000000</f>
        <v>439.52054794520546</v>
      </c>
    </row>
    <row r="34" spans="1:18">
      <c r="A34" s="67"/>
      <c r="C34" s="68"/>
      <c r="D34" s="68"/>
      <c r="E34" s="68"/>
      <c r="F34" s="68"/>
      <c r="J34" s="78" t="s">
        <v>156</v>
      </c>
      <c r="K34" s="88">
        <f>SUM(K30:K33)</f>
        <v>132.1</v>
      </c>
      <c r="M34" s="89">
        <f>SUM(M30:M33)</f>
        <v>5.6864238410596029</v>
      </c>
      <c r="N34" s="75">
        <f>K34/$K$34</f>
        <v>1</v>
      </c>
    </row>
    <row r="35" spans="1:18">
      <c r="A35" s="67"/>
      <c r="C35" s="68"/>
      <c r="D35" s="68"/>
      <c r="E35" s="68"/>
      <c r="F35" s="68"/>
    </row>
    <row r="36" spans="1:18">
      <c r="A36" s="67"/>
      <c r="C36" s="68"/>
      <c r="D36" s="68"/>
      <c r="E36" s="68"/>
      <c r="F36" s="68"/>
    </row>
    <row r="37" spans="1:18">
      <c r="A37" s="67"/>
      <c r="C37" s="68"/>
      <c r="D37" s="68"/>
      <c r="E37" s="68"/>
      <c r="F37" s="68"/>
    </row>
    <row r="38" spans="1:18">
      <c r="A38" s="67"/>
      <c r="C38" s="68"/>
      <c r="D38" s="68"/>
      <c r="E38" s="68"/>
      <c r="F38" s="68"/>
      <c r="J38" s="90" t="s">
        <v>225</v>
      </c>
      <c r="N38" s="66">
        <v>4380</v>
      </c>
      <c r="Q38" s="66">
        <v>4380</v>
      </c>
    </row>
    <row r="39" spans="1:18" ht="51" customHeight="1">
      <c r="A39" s="67"/>
      <c r="C39" s="68"/>
      <c r="D39" s="68"/>
      <c r="E39" s="68"/>
      <c r="F39" s="68"/>
      <c r="J39" s="139" t="s">
        <v>226</v>
      </c>
      <c r="K39" s="139" t="s">
        <v>219</v>
      </c>
      <c r="L39" s="139" t="s">
        <v>227</v>
      </c>
      <c r="M39" s="139" t="s">
        <v>228</v>
      </c>
      <c r="N39" s="139" t="s">
        <v>229</v>
      </c>
      <c r="O39" s="139" t="s">
        <v>230</v>
      </c>
      <c r="P39" s="139" t="s">
        <v>228</v>
      </c>
      <c r="Q39" s="139" t="s">
        <v>231</v>
      </c>
      <c r="R39" s="139" t="s">
        <v>232</v>
      </c>
    </row>
    <row r="40" spans="1:18">
      <c r="A40" s="67"/>
      <c r="C40" s="68"/>
      <c r="D40" s="68"/>
      <c r="E40" s="68"/>
      <c r="F40" s="68"/>
      <c r="J40" s="78" t="s">
        <v>233</v>
      </c>
      <c r="K40" s="88">
        <v>3.1</v>
      </c>
      <c r="L40" s="79">
        <v>150</v>
      </c>
      <c r="M40" s="91">
        <f t="shared" ref="M40:M45" si="6">K40*1000000*L40/1000</f>
        <v>465000</v>
      </c>
      <c r="N40" s="88">
        <f t="shared" ref="N40:N45" si="7">M40*$N$38/1000000000</f>
        <v>2.0367000000000002</v>
      </c>
      <c r="O40" s="79">
        <v>26</v>
      </c>
      <c r="P40" s="91">
        <f t="shared" ref="P40:P45" si="8">K40*1000000*O40/1000</f>
        <v>80600</v>
      </c>
      <c r="Q40" s="89">
        <f t="shared" ref="Q40:Q45" si="9">P40*$N$38/1000000000</f>
        <v>0.35302800000000001</v>
      </c>
      <c r="R40" s="92">
        <f t="shared" ref="R40:R46" si="10">1-(Q40/N40)</f>
        <v>0.82666666666666666</v>
      </c>
    </row>
    <row r="41" spans="1:18">
      <c r="A41" s="67"/>
      <c r="C41" s="68"/>
      <c r="D41" s="68"/>
      <c r="E41" s="68"/>
      <c r="F41" s="68"/>
      <c r="J41" s="78" t="s">
        <v>234</v>
      </c>
      <c r="K41" s="88">
        <v>9.9</v>
      </c>
      <c r="L41" s="79">
        <v>150</v>
      </c>
      <c r="M41" s="91">
        <f t="shared" si="6"/>
        <v>1485000</v>
      </c>
      <c r="N41" s="88">
        <f t="shared" si="7"/>
        <v>6.5042999999999997</v>
      </c>
      <c r="O41" s="79">
        <v>31</v>
      </c>
      <c r="P41" s="91">
        <f t="shared" si="8"/>
        <v>306900</v>
      </c>
      <c r="Q41" s="88">
        <f t="shared" si="9"/>
        <v>1.344222</v>
      </c>
      <c r="R41" s="92">
        <f t="shared" si="10"/>
        <v>0.79333333333333333</v>
      </c>
    </row>
    <row r="42" spans="1:18">
      <c r="A42" s="67"/>
      <c r="C42" s="68"/>
      <c r="D42" s="68"/>
      <c r="E42" s="68"/>
      <c r="F42" s="68"/>
      <c r="J42" s="78" t="s">
        <v>235</v>
      </c>
      <c r="K42" s="88">
        <v>7.5</v>
      </c>
      <c r="L42" s="79">
        <v>159</v>
      </c>
      <c r="M42" s="91">
        <f t="shared" si="6"/>
        <v>1192500</v>
      </c>
      <c r="N42" s="88">
        <f t="shared" si="7"/>
        <v>5.2231500000000004</v>
      </c>
      <c r="O42" s="79">
        <v>151</v>
      </c>
      <c r="P42" s="91">
        <f t="shared" si="8"/>
        <v>1132500</v>
      </c>
      <c r="Q42" s="88">
        <f t="shared" si="9"/>
        <v>4.96035</v>
      </c>
      <c r="R42" s="92">
        <f t="shared" si="10"/>
        <v>5.0314465408805131E-2</v>
      </c>
    </row>
    <row r="43" spans="1:18">
      <c r="A43" s="67"/>
      <c r="C43" s="68"/>
      <c r="D43" s="68"/>
      <c r="E43" s="68"/>
      <c r="F43" s="68"/>
      <c r="J43" s="78" t="s">
        <v>236</v>
      </c>
      <c r="K43" s="88">
        <v>17.7</v>
      </c>
      <c r="L43" s="79">
        <v>254</v>
      </c>
      <c r="M43" s="91">
        <f t="shared" si="6"/>
        <v>4495800</v>
      </c>
      <c r="N43" s="88">
        <f t="shared" si="7"/>
        <v>19.691604000000002</v>
      </c>
      <c r="O43" s="79">
        <v>108</v>
      </c>
      <c r="P43" s="91">
        <f t="shared" si="8"/>
        <v>1911600</v>
      </c>
      <c r="Q43" s="88">
        <f t="shared" si="9"/>
        <v>8.3728079999999991</v>
      </c>
      <c r="R43" s="92">
        <f t="shared" si="10"/>
        <v>0.5748031496062993</v>
      </c>
    </row>
    <row r="44" spans="1:18">
      <c r="A44" s="67"/>
      <c r="C44" s="68"/>
      <c r="D44" s="68"/>
      <c r="E44" s="68"/>
      <c r="F44" s="68"/>
      <c r="J44" s="78" t="s">
        <v>237</v>
      </c>
      <c r="K44" s="88">
        <v>38.299999999999997</v>
      </c>
      <c r="L44" s="79">
        <v>458</v>
      </c>
      <c r="M44" s="91">
        <f t="shared" si="6"/>
        <v>17541400</v>
      </c>
      <c r="N44" s="88">
        <f t="shared" si="7"/>
        <v>76.831332000000003</v>
      </c>
      <c r="O44" s="79">
        <v>327</v>
      </c>
      <c r="P44" s="91">
        <f t="shared" si="8"/>
        <v>12524100</v>
      </c>
      <c r="Q44" s="88">
        <f t="shared" si="9"/>
        <v>54.855558000000002</v>
      </c>
      <c r="R44" s="92">
        <f t="shared" si="10"/>
        <v>0.2860262008733625</v>
      </c>
    </row>
    <row r="45" spans="1:18">
      <c r="A45" s="67"/>
      <c r="B45" s="68"/>
      <c r="C45" s="68"/>
      <c r="D45" s="68"/>
      <c r="E45" s="68"/>
      <c r="F45" s="68"/>
      <c r="J45" s="78" t="s">
        <v>128</v>
      </c>
      <c r="K45" s="88">
        <v>54.7</v>
      </c>
      <c r="L45" s="79">
        <v>283</v>
      </c>
      <c r="M45" s="91">
        <f t="shared" si="6"/>
        <v>15480100</v>
      </c>
      <c r="N45" s="88">
        <f t="shared" si="7"/>
        <v>67.802837999999994</v>
      </c>
      <c r="O45" s="73">
        <v>276</v>
      </c>
      <c r="P45" s="91">
        <f t="shared" si="8"/>
        <v>15097200</v>
      </c>
      <c r="Q45" s="88">
        <f t="shared" si="9"/>
        <v>66.125736000000003</v>
      </c>
      <c r="R45" s="92">
        <f t="shared" si="10"/>
        <v>2.473498233215532E-2</v>
      </c>
    </row>
    <row r="46" spans="1:18">
      <c r="A46" s="67"/>
      <c r="B46" s="68"/>
      <c r="C46" s="68"/>
      <c r="D46" s="68"/>
      <c r="E46" s="68"/>
      <c r="F46" s="68"/>
      <c r="J46" s="78" t="s">
        <v>156</v>
      </c>
      <c r="K46" s="88">
        <f>SUM(K40:K45)</f>
        <v>131.19999999999999</v>
      </c>
      <c r="N46" s="88">
        <f>SUM(N40:N45)</f>
        <v>178.089924</v>
      </c>
      <c r="Q46" s="88">
        <f>SUM(Q40:Q45)</f>
        <v>136.01170200000001</v>
      </c>
      <c r="R46" s="92">
        <f t="shared" si="10"/>
        <v>0.23627514154029272</v>
      </c>
    </row>
    <row r="47" spans="1:18">
      <c r="A47" s="67"/>
      <c r="B47" s="68"/>
      <c r="C47" s="68"/>
      <c r="D47" s="68"/>
      <c r="E47" s="68"/>
      <c r="F47" s="68"/>
      <c r="Q47" s="87">
        <f>N46-Q46</f>
        <v>42.078221999999982</v>
      </c>
    </row>
    <row r="48" spans="1:18">
      <c r="A48" s="67"/>
      <c r="B48" s="68"/>
      <c r="C48" s="68"/>
      <c r="D48" s="68"/>
      <c r="E48" s="68"/>
      <c r="F48" s="68"/>
      <c r="Q48" s="75"/>
    </row>
    <row r="49" spans="1:18">
      <c r="A49" s="67"/>
      <c r="B49" s="68"/>
      <c r="C49" s="68"/>
      <c r="D49" s="68"/>
      <c r="E49" s="68"/>
      <c r="F49" s="68"/>
    </row>
    <row r="50" spans="1:18" ht="75" customHeight="1">
      <c r="A50" s="67"/>
      <c r="B50" s="68"/>
      <c r="C50" s="68"/>
      <c r="D50" s="68"/>
      <c r="E50" s="68"/>
      <c r="F50" s="68"/>
      <c r="J50" s="139" t="s">
        <v>238</v>
      </c>
      <c r="K50" s="139" t="s">
        <v>239</v>
      </c>
      <c r="L50" s="139" t="s">
        <v>240</v>
      </c>
      <c r="M50" s="139"/>
      <c r="N50" s="139"/>
      <c r="O50" s="139"/>
      <c r="P50" s="139"/>
      <c r="Q50" s="139"/>
      <c r="R50" s="139"/>
    </row>
    <row r="51" spans="1:18">
      <c r="A51" s="67"/>
      <c r="B51" s="68"/>
      <c r="C51" s="68"/>
      <c r="D51" s="68"/>
      <c r="E51" s="68"/>
      <c r="F51" s="68"/>
      <c r="J51" s="90" t="s">
        <v>241</v>
      </c>
      <c r="K51" s="66">
        <v>60</v>
      </c>
      <c r="L51" s="66">
        <v>58</v>
      </c>
    </row>
    <row r="52" spans="1:18">
      <c r="A52" s="67"/>
      <c r="B52" s="68"/>
      <c r="C52" s="68"/>
      <c r="D52" s="68"/>
      <c r="E52" s="68"/>
      <c r="F52" s="68"/>
    </row>
    <row r="53" spans="1:18">
      <c r="A53" s="67"/>
      <c r="B53" s="68"/>
      <c r="C53" s="68"/>
      <c r="D53" s="68"/>
      <c r="E53" s="68"/>
      <c r="F53" s="68"/>
    </row>
    <row r="54" spans="1:18">
      <c r="A54" s="67"/>
      <c r="B54" s="68"/>
      <c r="C54" s="68"/>
      <c r="D54" s="68"/>
      <c r="E54" s="68"/>
      <c r="F54" s="68"/>
    </row>
    <row r="55" spans="1:18">
      <c r="A55" s="67"/>
      <c r="B55" s="68"/>
      <c r="C55" s="68"/>
      <c r="D55" s="68"/>
      <c r="E55" s="68"/>
      <c r="F55" s="68"/>
    </row>
    <row r="56" spans="1:18" ht="89.25" customHeight="1">
      <c r="A56" s="67"/>
      <c r="B56" s="68"/>
      <c r="C56" s="68"/>
      <c r="D56" s="68"/>
      <c r="E56" s="68"/>
      <c r="F56" s="68"/>
      <c r="J56" s="139" t="s">
        <v>242</v>
      </c>
      <c r="K56" s="139" t="s">
        <v>243</v>
      </c>
      <c r="L56" s="139" t="s">
        <v>244</v>
      </c>
      <c r="M56" s="139" t="s">
        <v>245</v>
      </c>
      <c r="N56" s="139" t="s">
        <v>246</v>
      </c>
      <c r="O56" s="139"/>
      <c r="P56" s="139"/>
      <c r="Q56" s="139"/>
      <c r="R56" s="139"/>
    </row>
    <row r="57" spans="1:18">
      <c r="J57" s="94" t="s">
        <v>233</v>
      </c>
      <c r="K57" s="95">
        <v>0.22</v>
      </c>
      <c r="L57" s="79">
        <v>16</v>
      </c>
      <c r="M57" s="95">
        <v>0.04</v>
      </c>
    </row>
    <row r="58" spans="1:18" s="76" customFormat="1">
      <c r="A58" s="96"/>
      <c r="B58" s="97" t="s">
        <v>247</v>
      </c>
      <c r="J58" s="94" t="s">
        <v>234</v>
      </c>
      <c r="K58" s="98">
        <v>0</v>
      </c>
      <c r="L58" s="99"/>
      <c r="M58" s="99"/>
    </row>
    <row r="59" spans="1:18" s="76" customFormat="1">
      <c r="A59" s="96"/>
      <c r="C59" s="100"/>
      <c r="D59" s="101"/>
      <c r="E59" s="101"/>
      <c r="F59" s="101"/>
      <c r="G59" s="102"/>
      <c r="J59" s="94" t="s">
        <v>235</v>
      </c>
      <c r="K59" s="98">
        <v>0.35</v>
      </c>
      <c r="L59" s="99">
        <v>2</v>
      </c>
      <c r="M59" s="98">
        <v>0.02</v>
      </c>
    </row>
    <row r="60" spans="1:18" s="76" customFormat="1">
      <c r="A60" s="96"/>
      <c r="C60" s="100"/>
      <c r="D60" s="103"/>
      <c r="E60" s="103"/>
      <c r="F60" s="103"/>
      <c r="G60" s="102"/>
      <c r="J60" s="94" t="s">
        <v>236</v>
      </c>
      <c r="K60" s="98">
        <v>0.17</v>
      </c>
      <c r="L60" s="99">
        <v>12</v>
      </c>
      <c r="M60" s="98">
        <v>0.2</v>
      </c>
    </row>
    <row r="61" spans="1:18" s="76" customFormat="1">
      <c r="A61" s="96"/>
      <c r="B61" s="96"/>
      <c r="J61" s="94" t="s">
        <v>237</v>
      </c>
      <c r="K61" s="98">
        <v>0.06</v>
      </c>
      <c r="L61" s="99">
        <v>4.7</v>
      </c>
      <c r="M61" s="98">
        <v>0.05</v>
      </c>
    </row>
    <row r="62" spans="1:18" s="76" customFormat="1">
      <c r="A62" s="96"/>
      <c r="J62" s="94" t="s">
        <v>128</v>
      </c>
      <c r="K62" s="98">
        <v>0.47</v>
      </c>
      <c r="L62" s="99">
        <v>34</v>
      </c>
      <c r="M62" s="98">
        <v>0.59</v>
      </c>
    </row>
    <row r="63" spans="1:18" s="76" customFormat="1" ht="13.15" customHeight="1">
      <c r="A63" s="96"/>
      <c r="J63" s="97" t="s">
        <v>136</v>
      </c>
      <c r="K63" s="98">
        <v>0.05</v>
      </c>
      <c r="L63" s="99">
        <v>3.6</v>
      </c>
      <c r="M63" s="98">
        <v>0.1</v>
      </c>
    </row>
    <row r="64" spans="1:18" s="76" customFormat="1" ht="14.45" customHeight="1">
      <c r="A64" s="96"/>
      <c r="J64" s="94" t="s">
        <v>156</v>
      </c>
      <c r="K64" s="98">
        <f>SUM(K57:K63)</f>
        <v>1.32</v>
      </c>
      <c r="L64" s="104">
        <f>SUM(L57:L63)</f>
        <v>72.3</v>
      </c>
      <c r="M64" s="98">
        <f>SUM(M57:M63)</f>
        <v>0.99999999999999989</v>
      </c>
    </row>
    <row r="65" spans="1:1" s="76" customFormat="1">
      <c r="A65" s="96"/>
    </row>
    <row r="66" spans="1:1" s="76" customFormat="1">
      <c r="A66" s="96"/>
    </row>
    <row r="67" spans="1:1" s="76" customFormat="1">
      <c r="A67" s="96"/>
    </row>
    <row r="68" spans="1:1" s="76" customFormat="1">
      <c r="A68" s="96"/>
    </row>
    <row r="69" spans="1:1" s="76" customFormat="1">
      <c r="A69" s="96"/>
    </row>
    <row r="70" spans="1:1" s="76" customFormat="1">
      <c r="A70" s="96"/>
    </row>
    <row r="71" spans="1:1" s="76" customFormat="1">
      <c r="A71" s="96"/>
    </row>
    <row r="72" spans="1:1" s="76" customFormat="1">
      <c r="A72" s="96"/>
    </row>
    <row r="73" spans="1:1" s="76" customFormat="1">
      <c r="A73" s="96"/>
    </row>
    <row r="74" spans="1:1" s="76" customFormat="1">
      <c r="A74" s="96"/>
    </row>
    <row r="75" spans="1:1" s="76" customFormat="1">
      <c r="A75" s="96"/>
    </row>
    <row r="76" spans="1:1" s="76" customFormat="1">
      <c r="A76" s="96"/>
    </row>
    <row r="77" spans="1:1" s="76" customFormat="1">
      <c r="A77" s="96"/>
    </row>
    <row r="78" spans="1:1" s="76" customFormat="1">
      <c r="A78" s="96"/>
    </row>
    <row r="79" spans="1:1" s="76" customFormat="1">
      <c r="A79" s="96"/>
    </row>
    <row r="80" spans="1:1" s="76" customFormat="1">
      <c r="A80" s="96"/>
    </row>
    <row r="81" spans="1:2" s="76" customFormat="1">
      <c r="A81" s="96"/>
    </row>
    <row r="82" spans="1:2" s="76" customFormat="1">
      <c r="A82" s="96"/>
    </row>
    <row r="83" spans="1:2" s="76" customFormat="1">
      <c r="A83" s="96"/>
    </row>
    <row r="84" spans="1:2" s="76" customFormat="1">
      <c r="A84" s="96"/>
    </row>
    <row r="85" spans="1:2" s="76" customFormat="1">
      <c r="A85" s="96"/>
    </row>
    <row r="86" spans="1:2" s="76" customFormat="1">
      <c r="A86" s="96"/>
    </row>
    <row r="87" spans="1:2" s="76" customFormat="1">
      <c r="A87" s="96"/>
    </row>
    <row r="88" spans="1:2" s="76" customFormat="1">
      <c r="A88" s="96"/>
    </row>
    <row r="89" spans="1:2" s="76" customFormat="1">
      <c r="A89" s="96"/>
      <c r="B89" s="97" t="s">
        <v>248</v>
      </c>
    </row>
    <row r="90" spans="1:2" s="76" customFormat="1">
      <c r="A90" s="96"/>
      <c r="B90" s="105" t="s">
        <v>249</v>
      </c>
    </row>
    <row r="91" spans="1:2" s="76" customFormat="1">
      <c r="A91" s="96"/>
    </row>
    <row r="92" spans="1:2" s="76" customFormat="1">
      <c r="A92" s="96"/>
    </row>
    <row r="93" spans="1:2" s="76" customFormat="1">
      <c r="A93" s="96"/>
    </row>
    <row r="94" spans="1:2" s="76" customFormat="1">
      <c r="A94" s="96"/>
    </row>
    <row r="95" spans="1:2" s="76" customFormat="1">
      <c r="A95" s="96"/>
    </row>
    <row r="96" spans="1:2" s="76" customFormat="1">
      <c r="A96" s="96"/>
    </row>
    <row r="97" spans="1:1" s="76" customFormat="1">
      <c r="A97" s="96"/>
    </row>
    <row r="98" spans="1:1" s="76" customFormat="1">
      <c r="A98" s="96"/>
    </row>
    <row r="99" spans="1:1" s="76" customFormat="1">
      <c r="A99" s="96"/>
    </row>
    <row r="100" spans="1:1" s="76" customFormat="1">
      <c r="A100" s="96"/>
    </row>
    <row r="101" spans="1:1" s="76" customFormat="1">
      <c r="A101" s="96"/>
    </row>
    <row r="102" spans="1:1" s="76" customFormat="1">
      <c r="A102" s="96"/>
    </row>
    <row r="103" spans="1:1" s="76" customFormat="1">
      <c r="A103" s="96"/>
    </row>
    <row r="104" spans="1:1" s="76" customFormat="1">
      <c r="A104" s="96"/>
    </row>
    <row r="105" spans="1:1" s="76" customFormat="1">
      <c r="A105" s="96"/>
    </row>
    <row r="106" spans="1:1" s="76" customFormat="1">
      <c r="A106" s="96"/>
    </row>
    <row r="107" spans="1:1" s="76" customFormat="1">
      <c r="A107" s="96"/>
    </row>
    <row r="108" spans="1:1" s="76" customFormat="1">
      <c r="A108" s="96"/>
    </row>
    <row r="109" spans="1:1" s="76" customFormat="1">
      <c r="A109" s="96"/>
    </row>
    <row r="110" spans="1:1" s="76" customFormat="1">
      <c r="A110" s="96"/>
    </row>
    <row r="111" spans="1:1" s="76" customFormat="1">
      <c r="A111" s="96"/>
    </row>
    <row r="112" spans="1:1" s="76" customFormat="1">
      <c r="A112" s="96"/>
    </row>
    <row r="113" spans="1:13" s="76" customFormat="1">
      <c r="A113" s="96"/>
    </row>
    <row r="114" spans="1:13" s="76" customFormat="1">
      <c r="A114" s="96"/>
    </row>
    <row r="124" spans="1:13" ht="25.5">
      <c r="J124" s="59" t="s">
        <v>112</v>
      </c>
      <c r="K124" s="59" t="s">
        <v>250</v>
      </c>
      <c r="L124" s="59" t="s">
        <v>156</v>
      </c>
      <c r="M124" s="59" t="s">
        <v>251</v>
      </c>
    </row>
    <row r="125" spans="1:13">
      <c r="J125" s="90" t="s">
        <v>130</v>
      </c>
      <c r="K125" s="66">
        <v>12</v>
      </c>
      <c r="L125" s="66">
        <v>22</v>
      </c>
      <c r="M125" s="75">
        <f>K125/L125</f>
        <v>0.54545454545454541</v>
      </c>
    </row>
    <row r="126" spans="1:13">
      <c r="J126" s="90" t="s">
        <v>129</v>
      </c>
      <c r="K126" s="66">
        <v>5</v>
      </c>
      <c r="L126" s="66">
        <v>35</v>
      </c>
      <c r="M126" s="75">
        <f>K126/L126</f>
        <v>0.14285714285714285</v>
      </c>
    </row>
    <row r="127" spans="1:13">
      <c r="J127" s="90" t="s">
        <v>128</v>
      </c>
      <c r="K127" s="66">
        <v>34</v>
      </c>
      <c r="L127" s="66">
        <v>44</v>
      </c>
      <c r="M127" s="75">
        <f>K127/L127</f>
        <v>0.77272727272727271</v>
      </c>
    </row>
    <row r="159" spans="10:15" ht="51">
      <c r="J159" s="59" t="s">
        <v>252</v>
      </c>
      <c r="K159" s="59" t="s">
        <v>253</v>
      </c>
      <c r="L159" s="59" t="s">
        <v>254</v>
      </c>
      <c r="M159" s="59" t="s">
        <v>255</v>
      </c>
      <c r="N159" s="59" t="s">
        <v>256</v>
      </c>
      <c r="O159" s="59" t="s">
        <v>257</v>
      </c>
    </row>
    <row r="160" spans="10:15">
      <c r="J160" s="90" t="s">
        <v>128</v>
      </c>
      <c r="K160" s="66">
        <v>12</v>
      </c>
      <c r="L160" s="66">
        <v>6</v>
      </c>
      <c r="M160" s="66">
        <f>K160/(1/L160)</f>
        <v>72</v>
      </c>
      <c r="N160" s="82">
        <v>0.8</v>
      </c>
      <c r="O160" s="87">
        <f>M160*N160</f>
        <v>57.6</v>
      </c>
    </row>
    <row r="161" spans="10:15">
      <c r="J161" s="90" t="s">
        <v>129</v>
      </c>
      <c r="K161" s="66">
        <v>20</v>
      </c>
      <c r="L161" s="66">
        <v>4</v>
      </c>
      <c r="M161" s="66">
        <f>K161/(1/L161)</f>
        <v>80</v>
      </c>
      <c r="N161" s="82">
        <v>0.15</v>
      </c>
      <c r="O161" s="87">
        <f>M161*N161</f>
        <v>12</v>
      </c>
    </row>
    <row r="162" spans="10:15">
      <c r="J162" s="90" t="s">
        <v>130</v>
      </c>
      <c r="K162" s="66">
        <v>2</v>
      </c>
      <c r="L162" s="66">
        <v>8</v>
      </c>
      <c r="M162" s="66">
        <f>K162/(1/L162)</f>
        <v>16</v>
      </c>
      <c r="N162" s="82">
        <v>0.5</v>
      </c>
      <c r="O162" s="87">
        <f>M162*N162</f>
        <v>8</v>
      </c>
    </row>
    <row r="163" spans="10:15">
      <c r="M163" s="66">
        <f>SUM(M160:M162)</f>
        <v>168</v>
      </c>
      <c r="O163" s="87">
        <f>SUM(O160:O162)</f>
        <v>77.599999999999994</v>
      </c>
    </row>
    <row r="196" spans="10:15" ht="75.75" customHeight="1">
      <c r="J196" s="59" t="s">
        <v>258</v>
      </c>
      <c r="K196" s="59" t="s">
        <v>259</v>
      </c>
      <c r="L196" s="59" t="s">
        <v>260</v>
      </c>
      <c r="M196" s="59" t="s">
        <v>261</v>
      </c>
      <c r="N196" s="59"/>
      <c r="O196" s="59"/>
    </row>
    <row r="197" spans="10:15">
      <c r="J197" s="90" t="s">
        <v>262</v>
      </c>
      <c r="K197" s="66">
        <v>1.2</v>
      </c>
      <c r="L197" s="66">
        <v>20</v>
      </c>
      <c r="M197" s="87">
        <f>K197/(1/L197)</f>
        <v>23.999999999999996</v>
      </c>
    </row>
    <row r="198" spans="10:15">
      <c r="J198" s="90" t="s">
        <v>263</v>
      </c>
      <c r="K198" s="66">
        <v>0.9</v>
      </c>
      <c r="L198" s="66">
        <v>20</v>
      </c>
      <c r="M198" s="87">
        <f t="shared" ref="M198:M205" si="11">K198/(1/L198)</f>
        <v>18</v>
      </c>
    </row>
    <row r="199" spans="10:15">
      <c r="J199" s="90" t="s">
        <v>264</v>
      </c>
      <c r="K199" s="66">
        <v>0.15</v>
      </c>
      <c r="L199" s="66">
        <v>20</v>
      </c>
      <c r="M199" s="87">
        <f t="shared" si="11"/>
        <v>2.9999999999999996</v>
      </c>
    </row>
    <row r="200" spans="10:15">
      <c r="J200" s="90" t="s">
        <v>265</v>
      </c>
      <c r="K200" s="66">
        <v>0.02</v>
      </c>
      <c r="L200" s="66">
        <v>20</v>
      </c>
      <c r="M200" s="87">
        <f t="shared" si="11"/>
        <v>0.39999999999999997</v>
      </c>
    </row>
    <row r="201" spans="10:15">
      <c r="J201" s="90" t="s">
        <v>266</v>
      </c>
      <c r="K201" s="66">
        <v>1.2</v>
      </c>
      <c r="L201" s="66">
        <v>20</v>
      </c>
      <c r="M201" s="87">
        <f t="shared" si="11"/>
        <v>23.999999999999996</v>
      </c>
    </row>
    <row r="202" spans="10:15">
      <c r="J202" s="90" t="s">
        <v>267</v>
      </c>
      <c r="K202" s="66">
        <v>0.2</v>
      </c>
      <c r="L202" s="66">
        <v>20</v>
      </c>
      <c r="M202" s="87">
        <f t="shared" si="11"/>
        <v>4</v>
      </c>
    </row>
    <row r="203" spans="10:15">
      <c r="J203" s="90" t="s">
        <v>268</v>
      </c>
      <c r="K203" s="66">
        <v>1.3</v>
      </c>
      <c r="L203" s="66">
        <v>20</v>
      </c>
      <c r="M203" s="87">
        <f t="shared" si="11"/>
        <v>26</v>
      </c>
    </row>
    <row r="204" spans="10:15">
      <c r="J204" s="90" t="s">
        <v>269</v>
      </c>
      <c r="K204" s="66">
        <v>1.1000000000000001</v>
      </c>
      <c r="L204" s="66">
        <v>20</v>
      </c>
      <c r="M204" s="87">
        <f t="shared" si="11"/>
        <v>22</v>
      </c>
    </row>
    <row r="205" spans="10:15">
      <c r="J205" s="90" t="s">
        <v>270</v>
      </c>
      <c r="K205" s="66">
        <v>0.5</v>
      </c>
      <c r="L205" s="66">
        <v>20</v>
      </c>
      <c r="M205" s="87">
        <f t="shared" si="11"/>
        <v>10</v>
      </c>
    </row>
    <row r="206" spans="10:15">
      <c r="M206" s="87">
        <f>SUM(M197:M205)</f>
        <v>131.39999999999998</v>
      </c>
    </row>
  </sheetData>
  <mergeCells count="3">
    <mergeCell ref="I5:V5"/>
    <mergeCell ref="K6:Q6"/>
    <mergeCell ref="O33:P33"/>
  </mergeCells>
  <hyperlinks>
    <hyperlink ref="B90" r:id="rId1"/>
    <hyperlink ref="C3" r:id="rId2"/>
    <hyperlink ref="C4" r:id="rId3"/>
  </hyperlinks>
  <pageMargins left="0.75" right="0.75" top="1" bottom="1" header="0.5" footer="0.5"/>
  <pageSetup orientation="portrait" r:id="rId4"/>
  <headerFooter alignWithMargins="0"/>
  <drawing r:id="rId5"/>
  <legacyDrawing r:id="rId6"/>
</worksheet>
</file>

<file path=xl/worksheets/sheet23.xml><?xml version="1.0" encoding="utf-8"?>
<worksheet xmlns="http://schemas.openxmlformats.org/spreadsheetml/2006/main" xmlns:r="http://schemas.openxmlformats.org/officeDocument/2006/relationships">
  <sheetPr codeName="Sheet11"/>
  <dimension ref="B2:I36"/>
  <sheetViews>
    <sheetView workbookViewId="0">
      <selection activeCell="C36" sqref="C36"/>
    </sheetView>
  </sheetViews>
  <sheetFormatPr defaultRowHeight="12.75"/>
  <cols>
    <col min="3" max="3" width="61.5703125" customWidth="1"/>
    <col min="4" max="4" width="16.140625" customWidth="1"/>
    <col min="6" max="6" width="40.28515625" customWidth="1"/>
    <col min="7" max="7" width="5.42578125" customWidth="1"/>
    <col min="8" max="8" width="3.7109375" customWidth="1"/>
    <col min="9" max="9" width="9.140625" hidden="1" customWidth="1"/>
  </cols>
  <sheetData>
    <row r="2" spans="2:6">
      <c r="B2" s="280" t="s">
        <v>1</v>
      </c>
      <c r="C2" s="280" t="s">
        <v>785</v>
      </c>
      <c r="D2" s="280" t="s">
        <v>786</v>
      </c>
      <c r="E2" s="280" t="s">
        <v>787</v>
      </c>
      <c r="F2" s="280" t="s">
        <v>788</v>
      </c>
    </row>
    <row r="3" spans="2:6" s="282" customFormat="1" ht="14.25" customHeight="1">
      <c r="B3" s="283">
        <f>ROW()-2</f>
        <v>1</v>
      </c>
      <c r="C3" s="284" t="s">
        <v>792</v>
      </c>
      <c r="D3" s="285">
        <v>41945</v>
      </c>
      <c r="E3" s="286" t="s">
        <v>789</v>
      </c>
      <c r="F3" s="281"/>
    </row>
    <row r="4" spans="2:6">
      <c r="B4" s="283">
        <f t="shared" ref="B4:B36" si="0">ROW()-2</f>
        <v>2</v>
      </c>
      <c r="C4" s="284" t="s">
        <v>793</v>
      </c>
      <c r="D4" s="285">
        <v>41945</v>
      </c>
      <c r="E4" s="286" t="s">
        <v>789</v>
      </c>
    </row>
    <row r="5" spans="2:6">
      <c r="B5" s="283">
        <f t="shared" si="0"/>
        <v>3</v>
      </c>
      <c r="C5" s="284" t="s">
        <v>798</v>
      </c>
      <c r="D5" s="285">
        <v>41945</v>
      </c>
      <c r="E5" s="286" t="s">
        <v>789</v>
      </c>
    </row>
    <row r="6" spans="2:6">
      <c r="B6" s="283">
        <f t="shared" si="0"/>
        <v>4</v>
      </c>
      <c r="C6" s="284" t="s">
        <v>799</v>
      </c>
      <c r="D6" s="285">
        <v>41945</v>
      </c>
      <c r="E6" s="286" t="s">
        <v>789</v>
      </c>
    </row>
    <row r="7" spans="2:6">
      <c r="B7" s="283">
        <f t="shared" si="0"/>
        <v>5</v>
      </c>
      <c r="C7" s="284" t="s">
        <v>800</v>
      </c>
      <c r="D7" s="285">
        <v>41945</v>
      </c>
      <c r="E7" s="286" t="s">
        <v>789</v>
      </c>
    </row>
    <row r="8" spans="2:6">
      <c r="B8" s="283">
        <f t="shared" si="0"/>
        <v>6</v>
      </c>
      <c r="C8" s="284" t="s">
        <v>801</v>
      </c>
      <c r="D8" s="285">
        <v>41945</v>
      </c>
      <c r="E8" s="286" t="s">
        <v>789</v>
      </c>
    </row>
    <row r="9" spans="2:6">
      <c r="B9" s="283">
        <f t="shared" si="0"/>
        <v>7</v>
      </c>
      <c r="C9" s="284" t="s">
        <v>802</v>
      </c>
      <c r="D9" s="285">
        <v>41945</v>
      </c>
      <c r="E9" s="286" t="s">
        <v>789</v>
      </c>
    </row>
    <row r="10" spans="2:6">
      <c r="B10" s="283">
        <f t="shared" si="0"/>
        <v>8</v>
      </c>
      <c r="C10" s="284" t="s">
        <v>795</v>
      </c>
      <c r="D10" s="285">
        <v>41945</v>
      </c>
      <c r="E10" s="286" t="s">
        <v>789</v>
      </c>
    </row>
    <row r="11" spans="2:6">
      <c r="B11" s="283">
        <f t="shared" si="0"/>
        <v>9</v>
      </c>
      <c r="C11" s="284" t="s">
        <v>796</v>
      </c>
      <c r="D11" s="285">
        <v>41945</v>
      </c>
      <c r="E11" s="286" t="s">
        <v>789</v>
      </c>
    </row>
    <row r="12" spans="2:6">
      <c r="B12" s="283">
        <f t="shared" si="0"/>
        <v>10</v>
      </c>
      <c r="C12" s="284" t="s">
        <v>807</v>
      </c>
      <c r="D12" s="285">
        <v>41945</v>
      </c>
      <c r="E12" s="286" t="s">
        <v>789</v>
      </c>
    </row>
    <row r="13" spans="2:6">
      <c r="B13" s="283">
        <f t="shared" si="0"/>
        <v>11</v>
      </c>
      <c r="C13" s="284" t="s">
        <v>803</v>
      </c>
      <c r="D13" s="285">
        <v>41945</v>
      </c>
      <c r="E13" s="286" t="s">
        <v>789</v>
      </c>
    </row>
    <row r="14" spans="2:6">
      <c r="B14" s="283">
        <f t="shared" si="0"/>
        <v>12</v>
      </c>
      <c r="C14" s="284" t="s">
        <v>797</v>
      </c>
      <c r="D14" s="285">
        <v>41945</v>
      </c>
      <c r="E14" s="286" t="s">
        <v>789</v>
      </c>
    </row>
    <row r="15" spans="2:6">
      <c r="B15" s="283">
        <f t="shared" si="0"/>
        <v>13</v>
      </c>
      <c r="C15" s="284" t="s">
        <v>804</v>
      </c>
      <c r="D15" s="285">
        <v>41945</v>
      </c>
      <c r="E15" s="286" t="s">
        <v>789</v>
      </c>
    </row>
    <row r="16" spans="2:6">
      <c r="B16" s="283">
        <f t="shared" si="0"/>
        <v>14</v>
      </c>
      <c r="C16" s="284" t="s">
        <v>794</v>
      </c>
      <c r="D16" s="285">
        <v>41945</v>
      </c>
      <c r="E16" s="286" t="s">
        <v>789</v>
      </c>
    </row>
    <row r="17" spans="2:6">
      <c r="B17" s="283">
        <f t="shared" si="0"/>
        <v>15</v>
      </c>
      <c r="C17" s="284" t="s">
        <v>790</v>
      </c>
      <c r="D17" s="285">
        <v>41954</v>
      </c>
      <c r="E17" s="286" t="s">
        <v>789</v>
      </c>
    </row>
    <row r="18" spans="2:6">
      <c r="B18" s="283">
        <f t="shared" si="0"/>
        <v>16</v>
      </c>
      <c r="C18" s="284" t="s">
        <v>871</v>
      </c>
      <c r="D18" s="285">
        <v>41954</v>
      </c>
      <c r="E18" s="286" t="s">
        <v>789</v>
      </c>
    </row>
    <row r="19" spans="2:6">
      <c r="B19" s="283">
        <f t="shared" si="0"/>
        <v>17</v>
      </c>
      <c r="C19" s="284" t="s">
        <v>873</v>
      </c>
      <c r="D19" s="285">
        <v>41985</v>
      </c>
      <c r="E19" s="331" t="s">
        <v>789</v>
      </c>
    </row>
    <row r="20" spans="2:6">
      <c r="B20" s="283">
        <f t="shared" si="0"/>
        <v>18</v>
      </c>
      <c r="C20" t="s">
        <v>894</v>
      </c>
      <c r="E20" s="331" t="s">
        <v>789</v>
      </c>
    </row>
    <row r="21" spans="2:6">
      <c r="B21" s="283">
        <f t="shared" si="0"/>
        <v>19</v>
      </c>
      <c r="C21" s="284" t="s">
        <v>791</v>
      </c>
      <c r="D21" s="285">
        <v>41985</v>
      </c>
      <c r="E21" s="356" t="s">
        <v>789</v>
      </c>
      <c r="F21" s="358" t="s">
        <v>960</v>
      </c>
    </row>
    <row r="22" spans="2:6">
      <c r="B22" s="283">
        <f>ROW()-2</f>
        <v>20</v>
      </c>
      <c r="C22" s="358" t="s">
        <v>805</v>
      </c>
      <c r="D22" s="285">
        <v>42001</v>
      </c>
      <c r="E22" s="357" t="s">
        <v>789</v>
      </c>
      <c r="F22" s="358"/>
    </row>
    <row r="23" spans="2:6">
      <c r="B23" s="283">
        <f t="shared" si="0"/>
        <v>21</v>
      </c>
      <c r="C23" s="358" t="s">
        <v>806</v>
      </c>
      <c r="D23" s="435">
        <v>42014</v>
      </c>
      <c r="E23" s="357" t="s">
        <v>789</v>
      </c>
      <c r="F23" s="358" t="s">
        <v>1000</v>
      </c>
    </row>
    <row r="24" spans="2:6">
      <c r="B24" s="283">
        <f t="shared" si="0"/>
        <v>22</v>
      </c>
      <c r="C24" s="358" t="s">
        <v>843</v>
      </c>
      <c r="D24" s="435">
        <v>42014</v>
      </c>
      <c r="E24" s="357" t="s">
        <v>789</v>
      </c>
    </row>
    <row r="25" spans="2:6">
      <c r="B25" s="283">
        <f t="shared" si="0"/>
        <v>23</v>
      </c>
      <c r="C25" s="358" t="s">
        <v>895</v>
      </c>
      <c r="D25" s="435">
        <v>42014</v>
      </c>
      <c r="E25" s="400" t="s">
        <v>789</v>
      </c>
    </row>
    <row r="26" spans="2:6">
      <c r="B26" s="283">
        <f t="shared" si="0"/>
        <v>24</v>
      </c>
      <c r="C26" s="358" t="s">
        <v>959</v>
      </c>
      <c r="D26" s="435">
        <v>42014</v>
      </c>
      <c r="E26" s="434" t="s">
        <v>789</v>
      </c>
    </row>
    <row r="27" spans="2:6">
      <c r="B27" s="283">
        <f t="shared" si="0"/>
        <v>25</v>
      </c>
      <c r="C27" s="358" t="s">
        <v>899</v>
      </c>
      <c r="D27" s="435">
        <v>42014</v>
      </c>
      <c r="E27" s="434" t="s">
        <v>789</v>
      </c>
    </row>
    <row r="28" spans="2:6">
      <c r="B28" s="283">
        <f t="shared" si="0"/>
        <v>26</v>
      </c>
      <c r="C28" s="358" t="s">
        <v>945</v>
      </c>
      <c r="D28" s="285">
        <v>42001</v>
      </c>
      <c r="E28" s="400" t="s">
        <v>789</v>
      </c>
      <c r="F28" s="358" t="s">
        <v>960</v>
      </c>
    </row>
    <row r="29" spans="2:6">
      <c r="B29" s="283">
        <f t="shared" si="0"/>
        <v>27</v>
      </c>
      <c r="C29" t="s">
        <v>999</v>
      </c>
      <c r="D29" s="196"/>
      <c r="E29" s="196"/>
    </row>
    <row r="30" spans="2:6">
      <c r="B30" s="283">
        <f t="shared" si="0"/>
        <v>28</v>
      </c>
      <c r="C30" t="s">
        <v>961</v>
      </c>
      <c r="D30" s="196"/>
      <c r="E30" s="196"/>
    </row>
    <row r="31" spans="2:6">
      <c r="B31" s="283">
        <f t="shared" si="0"/>
        <v>29</v>
      </c>
      <c r="C31" s="358" t="s">
        <v>1023</v>
      </c>
      <c r="D31" s="435">
        <v>42070</v>
      </c>
      <c r="E31" s="400" t="s">
        <v>789</v>
      </c>
      <c r="F31" s="358" t="s">
        <v>960</v>
      </c>
    </row>
    <row r="32" spans="2:6">
      <c r="B32" s="283">
        <f t="shared" si="0"/>
        <v>30</v>
      </c>
      <c r="C32" s="358" t="s">
        <v>1056</v>
      </c>
      <c r="D32" s="435">
        <v>42070</v>
      </c>
      <c r="E32" s="400" t="s">
        <v>789</v>
      </c>
      <c r="F32" s="358" t="s">
        <v>960</v>
      </c>
    </row>
    <row r="33" spans="2:5">
      <c r="B33" s="283">
        <f t="shared" si="0"/>
        <v>31</v>
      </c>
      <c r="D33" s="196"/>
      <c r="E33" s="196"/>
    </row>
    <row r="34" spans="2:5">
      <c r="B34" s="283">
        <f t="shared" si="0"/>
        <v>32</v>
      </c>
    </row>
    <row r="35" spans="2:5">
      <c r="B35" s="283">
        <f t="shared" si="0"/>
        <v>33</v>
      </c>
    </row>
    <row r="36" spans="2:5">
      <c r="B36" s="283">
        <f t="shared" si="0"/>
        <v>34</v>
      </c>
    </row>
  </sheetData>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dimension ref="D2:G66"/>
  <sheetViews>
    <sheetView topLeftCell="A34" workbookViewId="0">
      <selection activeCell="D68" sqref="D68:D69"/>
    </sheetView>
  </sheetViews>
  <sheetFormatPr defaultRowHeight="12.75"/>
  <cols>
    <col min="1" max="3" width="9.140625" style="446"/>
    <col min="4" max="4" width="22.42578125" style="446" customWidth="1"/>
    <col min="5" max="5" width="41" style="446" customWidth="1"/>
    <col min="6" max="6" width="27" style="446" customWidth="1"/>
    <col min="7" max="7" width="89.85546875" style="446" customWidth="1"/>
    <col min="8" max="16384" width="9.140625" style="446"/>
  </cols>
  <sheetData>
    <row r="2" spans="4:7">
      <c r="D2" s="446" t="s">
        <v>1029</v>
      </c>
    </row>
    <row r="4" spans="4:7">
      <c r="G4" s="446" t="s">
        <v>1030</v>
      </c>
    </row>
    <row r="37" spans="4:7" ht="13.5" thickBot="1">
      <c r="D37" s="510" t="s">
        <v>1031</v>
      </c>
      <c r="E37" s="511"/>
      <c r="F37" s="511"/>
      <c r="G37" s="511"/>
    </row>
    <row r="38" spans="4:7" ht="15.75" thickBot="1">
      <c r="D38" s="447" t="s">
        <v>1032</v>
      </c>
      <c r="E38" s="448" t="s">
        <v>1033</v>
      </c>
      <c r="F38" s="448" t="s">
        <v>1034</v>
      </c>
      <c r="G38" s="449" t="s">
        <v>1035</v>
      </c>
    </row>
    <row r="39" spans="4:7" ht="15" thickBot="1">
      <c r="D39" s="450" t="s">
        <v>1036</v>
      </c>
      <c r="E39" s="451" t="s">
        <v>1037</v>
      </c>
      <c r="F39" s="451" t="s">
        <v>1038</v>
      </c>
      <c r="G39" s="452" t="s">
        <v>1039</v>
      </c>
    </row>
    <row r="40" spans="4:7" ht="15" thickBot="1">
      <c r="D40" s="450" t="s">
        <v>1036</v>
      </c>
      <c r="E40" s="451" t="s">
        <v>1037</v>
      </c>
      <c r="F40" s="451" t="s">
        <v>889</v>
      </c>
      <c r="G40" s="452" t="s">
        <v>1040</v>
      </c>
    </row>
    <row r="41" spans="4:7" ht="15" thickBot="1">
      <c r="D41" s="450" t="s">
        <v>1036</v>
      </c>
      <c r="E41" s="451" t="s">
        <v>250</v>
      </c>
      <c r="F41" s="451" t="s">
        <v>1038</v>
      </c>
      <c r="G41" s="452" t="s">
        <v>1039</v>
      </c>
    </row>
    <row r="42" spans="4:7" ht="15" thickBot="1">
      <c r="D42" s="450" t="s">
        <v>1036</v>
      </c>
      <c r="E42" s="451" t="s">
        <v>250</v>
      </c>
      <c r="F42" s="451" t="s">
        <v>889</v>
      </c>
      <c r="G42" s="452" t="s">
        <v>1041</v>
      </c>
    </row>
    <row r="43" spans="4:7" ht="15" thickBot="1">
      <c r="D43" s="450" t="s">
        <v>1042</v>
      </c>
      <c r="E43" s="451" t="s">
        <v>1037</v>
      </c>
      <c r="F43" s="451" t="s">
        <v>1038</v>
      </c>
      <c r="G43" s="452" t="s">
        <v>1039</v>
      </c>
    </row>
    <row r="44" spans="4:7" ht="15" thickBot="1">
      <c r="D44" s="450" t="s">
        <v>1042</v>
      </c>
      <c r="E44" s="451" t="s">
        <v>1037</v>
      </c>
      <c r="F44" s="451" t="s">
        <v>889</v>
      </c>
      <c r="G44" s="452" t="s">
        <v>1040</v>
      </c>
    </row>
    <row r="45" spans="4:7" ht="15" thickBot="1">
      <c r="D45" s="450" t="s">
        <v>1042</v>
      </c>
      <c r="E45" s="451" t="s">
        <v>250</v>
      </c>
      <c r="F45" s="451" t="s">
        <v>1038</v>
      </c>
      <c r="G45" s="452" t="s">
        <v>1039</v>
      </c>
    </row>
    <row r="46" spans="4:7" ht="15" thickBot="1">
      <c r="D46" s="450" t="s">
        <v>1042</v>
      </c>
      <c r="E46" s="451" t="s">
        <v>250</v>
      </c>
      <c r="F46" s="451" t="s">
        <v>889</v>
      </c>
      <c r="G46" s="452" t="s">
        <v>1040</v>
      </c>
    </row>
    <row r="47" spans="4:7" ht="15" thickBot="1">
      <c r="D47" s="450" t="s">
        <v>1043</v>
      </c>
      <c r="E47" s="451" t="s">
        <v>1037</v>
      </c>
      <c r="F47" s="451" t="s">
        <v>1038</v>
      </c>
      <c r="G47" s="452" t="s">
        <v>1044</v>
      </c>
    </row>
    <row r="48" spans="4:7" ht="15" thickBot="1">
      <c r="D48" s="450" t="s">
        <v>1043</v>
      </c>
      <c r="E48" s="451" t="s">
        <v>1037</v>
      </c>
      <c r="F48" s="451" t="s">
        <v>889</v>
      </c>
      <c r="G48" s="452" t="s">
        <v>1045</v>
      </c>
    </row>
    <row r="49" spans="4:7" ht="15" thickBot="1">
      <c r="D49" s="453" t="s">
        <v>1043</v>
      </c>
      <c r="E49" s="454" t="s">
        <v>250</v>
      </c>
      <c r="F49" s="454" t="s">
        <v>1038</v>
      </c>
      <c r="G49" s="455" t="s">
        <v>1044</v>
      </c>
    </row>
    <row r="50" spans="4:7" ht="15" thickBot="1">
      <c r="D50" s="450" t="s">
        <v>1043</v>
      </c>
      <c r="E50" s="451" t="s">
        <v>250</v>
      </c>
      <c r="F50" s="451" t="s">
        <v>889</v>
      </c>
      <c r="G50" s="452" t="s">
        <v>1046</v>
      </c>
    </row>
    <row r="51" spans="4:7" ht="15" thickBot="1">
      <c r="D51" s="450" t="s">
        <v>1047</v>
      </c>
      <c r="E51" s="451" t="s">
        <v>1037</v>
      </c>
      <c r="F51" s="451" t="s">
        <v>1038</v>
      </c>
      <c r="G51" s="452" t="s">
        <v>1048</v>
      </c>
    </row>
    <row r="52" spans="4:7" ht="15" thickBot="1">
      <c r="D52" s="450" t="s">
        <v>1047</v>
      </c>
      <c r="E52" s="451" t="s">
        <v>1037</v>
      </c>
      <c r="F52" s="451" t="s">
        <v>889</v>
      </c>
      <c r="G52" s="452" t="s">
        <v>1049</v>
      </c>
    </row>
    <row r="53" spans="4:7" ht="15" thickBot="1">
      <c r="D53" s="453" t="s">
        <v>1047</v>
      </c>
      <c r="E53" s="454" t="s">
        <v>250</v>
      </c>
      <c r="F53" s="454" t="s">
        <v>1038</v>
      </c>
      <c r="G53" s="455" t="s">
        <v>1048</v>
      </c>
    </row>
    <row r="54" spans="4:7" ht="15" thickBot="1">
      <c r="D54" s="450" t="s">
        <v>1047</v>
      </c>
      <c r="E54" s="451" t="s">
        <v>250</v>
      </c>
      <c r="F54" s="451" t="s">
        <v>889</v>
      </c>
      <c r="G54" s="452" t="s">
        <v>1049</v>
      </c>
    </row>
    <row r="55" spans="4:7" ht="15" thickBot="1">
      <c r="D55" s="450" t="s">
        <v>1050</v>
      </c>
      <c r="E55" s="451" t="s">
        <v>1037</v>
      </c>
      <c r="F55" s="451" t="s">
        <v>1038</v>
      </c>
      <c r="G55" s="452" t="s">
        <v>1051</v>
      </c>
    </row>
    <row r="56" spans="4:7" ht="15" thickBot="1">
      <c r="D56" s="450" t="s">
        <v>1050</v>
      </c>
      <c r="E56" s="451" t="s">
        <v>1037</v>
      </c>
      <c r="F56" s="451" t="s">
        <v>889</v>
      </c>
      <c r="G56" s="452" t="s">
        <v>1052</v>
      </c>
    </row>
    <row r="57" spans="4:7" ht="15" thickBot="1">
      <c r="D57" s="450" t="s">
        <v>1050</v>
      </c>
      <c r="E57" s="451" t="s">
        <v>250</v>
      </c>
      <c r="F57" s="451" t="s">
        <v>1038</v>
      </c>
      <c r="G57" s="452" t="s">
        <v>1051</v>
      </c>
    </row>
    <row r="58" spans="4:7" ht="15" thickBot="1">
      <c r="D58" s="450" t="s">
        <v>1050</v>
      </c>
      <c r="E58" s="451" t="s">
        <v>250</v>
      </c>
      <c r="F58" s="451" t="s">
        <v>889</v>
      </c>
      <c r="G58" s="452" t="s">
        <v>1052</v>
      </c>
    </row>
    <row r="62" spans="4:7">
      <c r="D62" s="446" t="s">
        <v>1029</v>
      </c>
      <c r="E62" s="446" t="s">
        <v>1053</v>
      </c>
    </row>
    <row r="63" spans="4:7">
      <c r="D63" s="456">
        <v>400</v>
      </c>
      <c r="E63" s="457">
        <f>1/(1+0.876*D63^(-0.351)) - 0.01</f>
        <v>0.89338311765703904</v>
      </c>
      <c r="F63" s="458">
        <f>D63/E63</f>
        <v>447.73624226191845</v>
      </c>
      <c r="G63" s="446" t="s">
        <v>1054</v>
      </c>
    </row>
    <row r="65" spans="4:7">
      <c r="D65" s="446" t="s">
        <v>1055</v>
      </c>
      <c r="E65" s="456"/>
    </row>
    <row r="66" spans="4:7">
      <c r="D66" s="456">
        <v>200</v>
      </c>
      <c r="E66" s="456">
        <v>0.88</v>
      </c>
      <c r="F66" s="458">
        <f>D66/E66</f>
        <v>227.27272727272728</v>
      </c>
      <c r="G66" s="446" t="s">
        <v>1054</v>
      </c>
    </row>
  </sheetData>
  <mergeCells count="1">
    <mergeCell ref="D37:G37"/>
  </mergeCells>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dimension ref="B3:F10"/>
  <sheetViews>
    <sheetView workbookViewId="0">
      <selection activeCell="B16" sqref="B16"/>
    </sheetView>
  </sheetViews>
  <sheetFormatPr defaultRowHeight="12.75"/>
  <cols>
    <col min="1" max="1" width="4.42578125" customWidth="1"/>
    <col min="3" max="3" width="68.42578125" customWidth="1"/>
    <col min="5" max="5" width="11.5703125" customWidth="1"/>
    <col min="6" max="6" width="94.28515625" customWidth="1"/>
  </cols>
  <sheetData>
    <row r="3" spans="2:6" ht="15">
      <c r="B3" s="459" t="s">
        <v>1</v>
      </c>
      <c r="C3" s="459" t="s">
        <v>1057</v>
      </c>
      <c r="D3" s="459" t="s">
        <v>787</v>
      </c>
      <c r="E3" s="459" t="s">
        <v>1058</v>
      </c>
      <c r="F3" s="459" t="s">
        <v>1059</v>
      </c>
    </row>
    <row r="4" spans="2:6">
      <c r="B4" s="456">
        <f>ROW()-3</f>
        <v>1</v>
      </c>
      <c r="C4" t="s">
        <v>1060</v>
      </c>
      <c r="D4" t="s">
        <v>789</v>
      </c>
      <c r="E4" s="460">
        <v>42070</v>
      </c>
    </row>
    <row r="5" spans="2:6">
      <c r="B5" s="456">
        <f t="shared" ref="B5:B10" si="0">ROW()-3</f>
        <v>2</v>
      </c>
      <c r="C5" t="s">
        <v>1061</v>
      </c>
      <c r="D5" t="s">
        <v>789</v>
      </c>
      <c r="E5" s="460">
        <v>42070</v>
      </c>
      <c r="F5" t="s">
        <v>1064</v>
      </c>
    </row>
    <row r="6" spans="2:6">
      <c r="B6" s="456">
        <f t="shared" si="0"/>
        <v>3</v>
      </c>
      <c r="C6" t="s">
        <v>1062</v>
      </c>
      <c r="D6" t="s">
        <v>789</v>
      </c>
      <c r="E6" s="460">
        <v>42070</v>
      </c>
      <c r="F6" t="s">
        <v>1064</v>
      </c>
    </row>
    <row r="7" spans="2:6">
      <c r="B7" s="456">
        <f t="shared" si="0"/>
        <v>4</v>
      </c>
      <c r="C7" t="s">
        <v>1063</v>
      </c>
      <c r="D7" t="s">
        <v>789</v>
      </c>
      <c r="E7" s="460">
        <v>42070</v>
      </c>
      <c r="F7" t="s">
        <v>1064</v>
      </c>
    </row>
    <row r="8" spans="2:6">
      <c r="B8" s="456">
        <f t="shared" si="0"/>
        <v>5</v>
      </c>
      <c r="C8" t="s">
        <v>1073</v>
      </c>
      <c r="D8" t="s">
        <v>789</v>
      </c>
      <c r="E8" s="519">
        <v>42081</v>
      </c>
      <c r="F8" t="s">
        <v>1074</v>
      </c>
    </row>
    <row r="9" spans="2:6">
      <c r="B9" s="456">
        <f t="shared" si="0"/>
        <v>6</v>
      </c>
      <c r="C9" t="s">
        <v>1071</v>
      </c>
      <c r="D9" t="s">
        <v>789</v>
      </c>
      <c r="E9" s="519">
        <v>42081</v>
      </c>
    </row>
    <row r="10" spans="2:6">
      <c r="B10" s="456">
        <f t="shared" si="0"/>
        <v>7</v>
      </c>
      <c r="C10" t="s">
        <v>1072</v>
      </c>
      <c r="D10" t="s">
        <v>789</v>
      </c>
      <c r="E10" s="519">
        <v>42081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Sheet1"/>
  <dimension ref="A1:AB150"/>
  <sheetViews>
    <sheetView topLeftCell="A7" workbookViewId="0">
      <selection activeCell="C12" sqref="C12"/>
    </sheetView>
  </sheetViews>
  <sheetFormatPr defaultRowHeight="12.75"/>
  <cols>
    <col min="1" max="1" width="45.5703125" style="11" customWidth="1"/>
    <col min="2" max="2" width="18.7109375" style="11" customWidth="1"/>
    <col min="3" max="3" width="32.7109375" style="11" customWidth="1"/>
    <col min="4" max="4" width="16.28515625" style="11" customWidth="1"/>
    <col min="5" max="5" width="11" style="11" customWidth="1"/>
    <col min="6" max="9" width="9.140625" style="11"/>
    <col min="10" max="10" width="9.28515625" style="11" bestFit="1" customWidth="1"/>
    <col min="11" max="23" width="9.140625" style="11"/>
    <col min="24" max="24" width="10" style="11" customWidth="1"/>
    <col min="25" max="25" width="12" style="11" customWidth="1"/>
    <col min="26" max="26" width="9.140625" style="11"/>
    <col min="27" max="27" width="14.42578125" style="11" customWidth="1"/>
    <col min="28" max="255" width="9.140625" style="11"/>
    <col min="256" max="256" width="35" style="11" customWidth="1"/>
    <col min="257" max="257" width="16" style="11" customWidth="1"/>
    <col min="258" max="258" width="29.140625" style="11" customWidth="1"/>
    <col min="259" max="259" width="12.85546875" style="11" bestFit="1" customWidth="1"/>
    <col min="260" max="260" width="9.42578125" style="11" customWidth="1"/>
    <col min="261" max="511" width="9.140625" style="11"/>
    <col min="512" max="512" width="35" style="11" customWidth="1"/>
    <col min="513" max="513" width="16" style="11" customWidth="1"/>
    <col min="514" max="514" width="29.140625" style="11" customWidth="1"/>
    <col min="515" max="515" width="12.85546875" style="11" bestFit="1" customWidth="1"/>
    <col min="516" max="516" width="9.42578125" style="11" customWidth="1"/>
    <col min="517" max="767" width="9.140625" style="11"/>
    <col min="768" max="768" width="35" style="11" customWidth="1"/>
    <col min="769" max="769" width="16" style="11" customWidth="1"/>
    <col min="770" max="770" width="29.140625" style="11" customWidth="1"/>
    <col min="771" max="771" width="12.85546875" style="11" bestFit="1" customWidth="1"/>
    <col min="772" max="772" width="9.42578125" style="11" customWidth="1"/>
    <col min="773" max="1023" width="9.140625" style="11"/>
    <col min="1024" max="1024" width="35" style="11" customWidth="1"/>
    <col min="1025" max="1025" width="16" style="11" customWidth="1"/>
    <col min="1026" max="1026" width="29.140625" style="11" customWidth="1"/>
    <col min="1027" max="1027" width="12.85546875" style="11" bestFit="1" customWidth="1"/>
    <col min="1028" max="1028" width="9.42578125" style="11" customWidth="1"/>
    <col min="1029" max="1279" width="9.140625" style="11"/>
    <col min="1280" max="1280" width="35" style="11" customWidth="1"/>
    <col min="1281" max="1281" width="16" style="11" customWidth="1"/>
    <col min="1282" max="1282" width="29.140625" style="11" customWidth="1"/>
    <col min="1283" max="1283" width="12.85546875" style="11" bestFit="1" customWidth="1"/>
    <col min="1284" max="1284" width="9.42578125" style="11" customWidth="1"/>
    <col min="1285" max="1535" width="9.140625" style="11"/>
    <col min="1536" max="1536" width="35" style="11" customWidth="1"/>
    <col min="1537" max="1537" width="16" style="11" customWidth="1"/>
    <col min="1538" max="1538" width="29.140625" style="11" customWidth="1"/>
    <col min="1539" max="1539" width="12.85546875" style="11" bestFit="1" customWidth="1"/>
    <col min="1540" max="1540" width="9.42578125" style="11" customWidth="1"/>
    <col min="1541" max="1791" width="9.140625" style="11"/>
    <col min="1792" max="1792" width="35" style="11" customWidth="1"/>
    <col min="1793" max="1793" width="16" style="11" customWidth="1"/>
    <col min="1794" max="1794" width="29.140625" style="11" customWidth="1"/>
    <col min="1795" max="1795" width="12.85546875" style="11" bestFit="1" customWidth="1"/>
    <col min="1796" max="1796" width="9.42578125" style="11" customWidth="1"/>
    <col min="1797" max="2047" width="9.140625" style="11"/>
    <col min="2048" max="2048" width="35" style="11" customWidth="1"/>
    <col min="2049" max="2049" width="16" style="11" customWidth="1"/>
    <col min="2050" max="2050" width="29.140625" style="11" customWidth="1"/>
    <col min="2051" max="2051" width="12.85546875" style="11" bestFit="1" customWidth="1"/>
    <col min="2052" max="2052" width="9.42578125" style="11" customWidth="1"/>
    <col min="2053" max="2303" width="9.140625" style="11"/>
    <col min="2304" max="2304" width="35" style="11" customWidth="1"/>
    <col min="2305" max="2305" width="16" style="11" customWidth="1"/>
    <col min="2306" max="2306" width="29.140625" style="11" customWidth="1"/>
    <col min="2307" max="2307" width="12.85546875" style="11" bestFit="1" customWidth="1"/>
    <col min="2308" max="2308" width="9.42578125" style="11" customWidth="1"/>
    <col min="2309" max="2559" width="9.140625" style="11"/>
    <col min="2560" max="2560" width="35" style="11" customWidth="1"/>
    <col min="2561" max="2561" width="16" style="11" customWidth="1"/>
    <col min="2562" max="2562" width="29.140625" style="11" customWidth="1"/>
    <col min="2563" max="2563" width="12.85546875" style="11" bestFit="1" customWidth="1"/>
    <col min="2564" max="2564" width="9.42578125" style="11" customWidth="1"/>
    <col min="2565" max="2815" width="9.140625" style="11"/>
    <col min="2816" max="2816" width="35" style="11" customWidth="1"/>
    <col min="2817" max="2817" width="16" style="11" customWidth="1"/>
    <col min="2818" max="2818" width="29.140625" style="11" customWidth="1"/>
    <col min="2819" max="2819" width="12.85546875" style="11" bestFit="1" customWidth="1"/>
    <col min="2820" max="2820" width="9.42578125" style="11" customWidth="1"/>
    <col min="2821" max="3071" width="9.140625" style="11"/>
    <col min="3072" max="3072" width="35" style="11" customWidth="1"/>
    <col min="3073" max="3073" width="16" style="11" customWidth="1"/>
    <col min="3074" max="3074" width="29.140625" style="11" customWidth="1"/>
    <col min="3075" max="3075" width="12.85546875" style="11" bestFit="1" customWidth="1"/>
    <col min="3076" max="3076" width="9.42578125" style="11" customWidth="1"/>
    <col min="3077" max="3327" width="9.140625" style="11"/>
    <col min="3328" max="3328" width="35" style="11" customWidth="1"/>
    <col min="3329" max="3329" width="16" style="11" customWidth="1"/>
    <col min="3330" max="3330" width="29.140625" style="11" customWidth="1"/>
    <col min="3331" max="3331" width="12.85546875" style="11" bestFit="1" customWidth="1"/>
    <col min="3332" max="3332" width="9.42578125" style="11" customWidth="1"/>
    <col min="3333" max="3583" width="9.140625" style="11"/>
    <col min="3584" max="3584" width="35" style="11" customWidth="1"/>
    <col min="3585" max="3585" width="16" style="11" customWidth="1"/>
    <col min="3586" max="3586" width="29.140625" style="11" customWidth="1"/>
    <col min="3587" max="3587" width="12.85546875" style="11" bestFit="1" customWidth="1"/>
    <col min="3588" max="3588" width="9.42578125" style="11" customWidth="1"/>
    <col min="3589" max="3839" width="9.140625" style="11"/>
    <col min="3840" max="3840" width="35" style="11" customWidth="1"/>
    <col min="3841" max="3841" width="16" style="11" customWidth="1"/>
    <col min="3842" max="3842" width="29.140625" style="11" customWidth="1"/>
    <col min="3843" max="3843" width="12.85546875" style="11" bestFit="1" customWidth="1"/>
    <col min="3844" max="3844" width="9.42578125" style="11" customWidth="1"/>
    <col min="3845" max="4095" width="9.140625" style="11"/>
    <col min="4096" max="4096" width="35" style="11" customWidth="1"/>
    <col min="4097" max="4097" width="16" style="11" customWidth="1"/>
    <col min="4098" max="4098" width="29.140625" style="11" customWidth="1"/>
    <col min="4099" max="4099" width="12.85546875" style="11" bestFit="1" customWidth="1"/>
    <col min="4100" max="4100" width="9.42578125" style="11" customWidth="1"/>
    <col min="4101" max="4351" width="9.140625" style="11"/>
    <col min="4352" max="4352" width="35" style="11" customWidth="1"/>
    <col min="4353" max="4353" width="16" style="11" customWidth="1"/>
    <col min="4354" max="4354" width="29.140625" style="11" customWidth="1"/>
    <col min="4355" max="4355" width="12.85546875" style="11" bestFit="1" customWidth="1"/>
    <col min="4356" max="4356" width="9.42578125" style="11" customWidth="1"/>
    <col min="4357" max="4607" width="9.140625" style="11"/>
    <col min="4608" max="4608" width="35" style="11" customWidth="1"/>
    <col min="4609" max="4609" width="16" style="11" customWidth="1"/>
    <col min="4610" max="4610" width="29.140625" style="11" customWidth="1"/>
    <col min="4611" max="4611" width="12.85546875" style="11" bestFit="1" customWidth="1"/>
    <col min="4612" max="4612" width="9.42578125" style="11" customWidth="1"/>
    <col min="4613" max="4863" width="9.140625" style="11"/>
    <col min="4864" max="4864" width="35" style="11" customWidth="1"/>
    <col min="4865" max="4865" width="16" style="11" customWidth="1"/>
    <col min="4866" max="4866" width="29.140625" style="11" customWidth="1"/>
    <col min="4867" max="4867" width="12.85546875" style="11" bestFit="1" customWidth="1"/>
    <col min="4868" max="4868" width="9.42578125" style="11" customWidth="1"/>
    <col min="4869" max="5119" width="9.140625" style="11"/>
    <col min="5120" max="5120" width="35" style="11" customWidth="1"/>
    <col min="5121" max="5121" width="16" style="11" customWidth="1"/>
    <col min="5122" max="5122" width="29.140625" style="11" customWidth="1"/>
    <col min="5123" max="5123" width="12.85546875" style="11" bestFit="1" customWidth="1"/>
    <col min="5124" max="5124" width="9.42578125" style="11" customWidth="1"/>
    <col min="5125" max="5375" width="9.140625" style="11"/>
    <col min="5376" max="5376" width="35" style="11" customWidth="1"/>
    <col min="5377" max="5377" width="16" style="11" customWidth="1"/>
    <col min="5378" max="5378" width="29.140625" style="11" customWidth="1"/>
    <col min="5379" max="5379" width="12.85546875" style="11" bestFit="1" customWidth="1"/>
    <col min="5380" max="5380" width="9.42578125" style="11" customWidth="1"/>
    <col min="5381" max="5631" width="9.140625" style="11"/>
    <col min="5632" max="5632" width="35" style="11" customWidth="1"/>
    <col min="5633" max="5633" width="16" style="11" customWidth="1"/>
    <col min="5634" max="5634" width="29.140625" style="11" customWidth="1"/>
    <col min="5635" max="5635" width="12.85546875" style="11" bestFit="1" customWidth="1"/>
    <col min="5636" max="5636" width="9.42578125" style="11" customWidth="1"/>
    <col min="5637" max="5887" width="9.140625" style="11"/>
    <col min="5888" max="5888" width="35" style="11" customWidth="1"/>
    <col min="5889" max="5889" width="16" style="11" customWidth="1"/>
    <col min="5890" max="5890" width="29.140625" style="11" customWidth="1"/>
    <col min="5891" max="5891" width="12.85546875" style="11" bestFit="1" customWidth="1"/>
    <col min="5892" max="5892" width="9.42578125" style="11" customWidth="1"/>
    <col min="5893" max="6143" width="9.140625" style="11"/>
    <col min="6144" max="6144" width="35" style="11" customWidth="1"/>
    <col min="6145" max="6145" width="16" style="11" customWidth="1"/>
    <col min="6146" max="6146" width="29.140625" style="11" customWidth="1"/>
    <col min="6147" max="6147" width="12.85546875" style="11" bestFit="1" customWidth="1"/>
    <col min="6148" max="6148" width="9.42578125" style="11" customWidth="1"/>
    <col min="6149" max="6399" width="9.140625" style="11"/>
    <col min="6400" max="6400" width="35" style="11" customWidth="1"/>
    <col min="6401" max="6401" width="16" style="11" customWidth="1"/>
    <col min="6402" max="6402" width="29.140625" style="11" customWidth="1"/>
    <col min="6403" max="6403" width="12.85546875" style="11" bestFit="1" customWidth="1"/>
    <col min="6404" max="6404" width="9.42578125" style="11" customWidth="1"/>
    <col min="6405" max="6655" width="9.140625" style="11"/>
    <col min="6656" max="6656" width="35" style="11" customWidth="1"/>
    <col min="6657" max="6657" width="16" style="11" customWidth="1"/>
    <col min="6658" max="6658" width="29.140625" style="11" customWidth="1"/>
    <col min="6659" max="6659" width="12.85546875" style="11" bestFit="1" customWidth="1"/>
    <col min="6660" max="6660" width="9.42578125" style="11" customWidth="1"/>
    <col min="6661" max="6911" width="9.140625" style="11"/>
    <col min="6912" max="6912" width="35" style="11" customWidth="1"/>
    <col min="6913" max="6913" width="16" style="11" customWidth="1"/>
    <col min="6914" max="6914" width="29.140625" style="11" customWidth="1"/>
    <col min="6915" max="6915" width="12.85546875" style="11" bestFit="1" customWidth="1"/>
    <col min="6916" max="6916" width="9.42578125" style="11" customWidth="1"/>
    <col min="6917" max="7167" width="9.140625" style="11"/>
    <col min="7168" max="7168" width="35" style="11" customWidth="1"/>
    <col min="7169" max="7169" width="16" style="11" customWidth="1"/>
    <col min="7170" max="7170" width="29.140625" style="11" customWidth="1"/>
    <col min="7171" max="7171" width="12.85546875" style="11" bestFit="1" customWidth="1"/>
    <col min="7172" max="7172" width="9.42578125" style="11" customWidth="1"/>
    <col min="7173" max="7423" width="9.140625" style="11"/>
    <col min="7424" max="7424" width="35" style="11" customWidth="1"/>
    <col min="7425" max="7425" width="16" style="11" customWidth="1"/>
    <col min="7426" max="7426" width="29.140625" style="11" customWidth="1"/>
    <col min="7427" max="7427" width="12.85546875" style="11" bestFit="1" customWidth="1"/>
    <col min="7428" max="7428" width="9.42578125" style="11" customWidth="1"/>
    <col min="7429" max="7679" width="9.140625" style="11"/>
    <col min="7680" max="7680" width="35" style="11" customWidth="1"/>
    <col min="7681" max="7681" width="16" style="11" customWidth="1"/>
    <col min="7682" max="7682" width="29.140625" style="11" customWidth="1"/>
    <col min="7683" max="7683" width="12.85546875" style="11" bestFit="1" customWidth="1"/>
    <col min="7684" max="7684" width="9.42578125" style="11" customWidth="1"/>
    <col min="7685" max="7935" width="9.140625" style="11"/>
    <col min="7936" max="7936" width="35" style="11" customWidth="1"/>
    <col min="7937" max="7937" width="16" style="11" customWidth="1"/>
    <col min="7938" max="7938" width="29.140625" style="11" customWidth="1"/>
    <col min="7939" max="7939" width="12.85546875" style="11" bestFit="1" customWidth="1"/>
    <col min="7940" max="7940" width="9.42578125" style="11" customWidth="1"/>
    <col min="7941" max="8191" width="9.140625" style="11"/>
    <col min="8192" max="8192" width="35" style="11" customWidth="1"/>
    <col min="8193" max="8193" width="16" style="11" customWidth="1"/>
    <col min="8194" max="8194" width="29.140625" style="11" customWidth="1"/>
    <col min="8195" max="8195" width="12.85546875" style="11" bestFit="1" customWidth="1"/>
    <col min="8196" max="8196" width="9.42578125" style="11" customWidth="1"/>
    <col min="8197" max="8447" width="9.140625" style="11"/>
    <col min="8448" max="8448" width="35" style="11" customWidth="1"/>
    <col min="8449" max="8449" width="16" style="11" customWidth="1"/>
    <col min="8450" max="8450" width="29.140625" style="11" customWidth="1"/>
    <col min="8451" max="8451" width="12.85546875" style="11" bestFit="1" customWidth="1"/>
    <col min="8452" max="8452" width="9.42578125" style="11" customWidth="1"/>
    <col min="8453" max="8703" width="9.140625" style="11"/>
    <col min="8704" max="8704" width="35" style="11" customWidth="1"/>
    <col min="8705" max="8705" width="16" style="11" customWidth="1"/>
    <col min="8706" max="8706" width="29.140625" style="11" customWidth="1"/>
    <col min="8707" max="8707" width="12.85546875" style="11" bestFit="1" customWidth="1"/>
    <col min="8708" max="8708" width="9.42578125" style="11" customWidth="1"/>
    <col min="8709" max="8959" width="9.140625" style="11"/>
    <col min="8960" max="8960" width="35" style="11" customWidth="1"/>
    <col min="8961" max="8961" width="16" style="11" customWidth="1"/>
    <col min="8962" max="8962" width="29.140625" style="11" customWidth="1"/>
    <col min="8963" max="8963" width="12.85546875" style="11" bestFit="1" customWidth="1"/>
    <col min="8964" max="8964" width="9.42578125" style="11" customWidth="1"/>
    <col min="8965" max="9215" width="9.140625" style="11"/>
    <col min="9216" max="9216" width="35" style="11" customWidth="1"/>
    <col min="9217" max="9217" width="16" style="11" customWidth="1"/>
    <col min="9218" max="9218" width="29.140625" style="11" customWidth="1"/>
    <col min="9219" max="9219" width="12.85546875" style="11" bestFit="1" customWidth="1"/>
    <col min="9220" max="9220" width="9.42578125" style="11" customWidth="1"/>
    <col min="9221" max="9471" width="9.140625" style="11"/>
    <col min="9472" max="9472" width="35" style="11" customWidth="1"/>
    <col min="9473" max="9473" width="16" style="11" customWidth="1"/>
    <col min="9474" max="9474" width="29.140625" style="11" customWidth="1"/>
    <col min="9475" max="9475" width="12.85546875" style="11" bestFit="1" customWidth="1"/>
    <col min="9476" max="9476" width="9.42578125" style="11" customWidth="1"/>
    <col min="9477" max="9727" width="9.140625" style="11"/>
    <col min="9728" max="9728" width="35" style="11" customWidth="1"/>
    <col min="9729" max="9729" width="16" style="11" customWidth="1"/>
    <col min="9730" max="9730" width="29.140625" style="11" customWidth="1"/>
    <col min="9731" max="9731" width="12.85546875" style="11" bestFit="1" customWidth="1"/>
    <col min="9732" max="9732" width="9.42578125" style="11" customWidth="1"/>
    <col min="9733" max="9983" width="9.140625" style="11"/>
    <col min="9984" max="9984" width="35" style="11" customWidth="1"/>
    <col min="9985" max="9985" width="16" style="11" customWidth="1"/>
    <col min="9986" max="9986" width="29.140625" style="11" customWidth="1"/>
    <col min="9987" max="9987" width="12.85546875" style="11" bestFit="1" customWidth="1"/>
    <col min="9988" max="9988" width="9.42578125" style="11" customWidth="1"/>
    <col min="9989" max="10239" width="9.140625" style="11"/>
    <col min="10240" max="10240" width="35" style="11" customWidth="1"/>
    <col min="10241" max="10241" width="16" style="11" customWidth="1"/>
    <col min="10242" max="10242" width="29.140625" style="11" customWidth="1"/>
    <col min="10243" max="10243" width="12.85546875" style="11" bestFit="1" customWidth="1"/>
    <col min="10244" max="10244" width="9.42578125" style="11" customWidth="1"/>
    <col min="10245" max="10495" width="9.140625" style="11"/>
    <col min="10496" max="10496" width="35" style="11" customWidth="1"/>
    <col min="10497" max="10497" width="16" style="11" customWidth="1"/>
    <col min="10498" max="10498" width="29.140625" style="11" customWidth="1"/>
    <col min="10499" max="10499" width="12.85546875" style="11" bestFit="1" customWidth="1"/>
    <col min="10500" max="10500" width="9.42578125" style="11" customWidth="1"/>
    <col min="10501" max="10751" width="9.140625" style="11"/>
    <col min="10752" max="10752" width="35" style="11" customWidth="1"/>
    <col min="10753" max="10753" width="16" style="11" customWidth="1"/>
    <col min="10754" max="10754" width="29.140625" style="11" customWidth="1"/>
    <col min="10755" max="10755" width="12.85546875" style="11" bestFit="1" customWidth="1"/>
    <col min="10756" max="10756" width="9.42578125" style="11" customWidth="1"/>
    <col min="10757" max="11007" width="9.140625" style="11"/>
    <col min="11008" max="11008" width="35" style="11" customWidth="1"/>
    <col min="11009" max="11009" width="16" style="11" customWidth="1"/>
    <col min="11010" max="11010" width="29.140625" style="11" customWidth="1"/>
    <col min="11011" max="11011" width="12.85546875" style="11" bestFit="1" customWidth="1"/>
    <col min="11012" max="11012" width="9.42578125" style="11" customWidth="1"/>
    <col min="11013" max="11263" width="9.140625" style="11"/>
    <col min="11264" max="11264" width="35" style="11" customWidth="1"/>
    <col min="11265" max="11265" width="16" style="11" customWidth="1"/>
    <col min="11266" max="11266" width="29.140625" style="11" customWidth="1"/>
    <col min="11267" max="11267" width="12.85546875" style="11" bestFit="1" customWidth="1"/>
    <col min="11268" max="11268" width="9.42578125" style="11" customWidth="1"/>
    <col min="11269" max="11519" width="9.140625" style="11"/>
    <col min="11520" max="11520" width="35" style="11" customWidth="1"/>
    <col min="11521" max="11521" width="16" style="11" customWidth="1"/>
    <col min="11522" max="11522" width="29.140625" style="11" customWidth="1"/>
    <col min="11523" max="11523" width="12.85546875" style="11" bestFit="1" customWidth="1"/>
    <col min="11524" max="11524" width="9.42578125" style="11" customWidth="1"/>
    <col min="11525" max="11775" width="9.140625" style="11"/>
    <col min="11776" max="11776" width="35" style="11" customWidth="1"/>
    <col min="11777" max="11777" width="16" style="11" customWidth="1"/>
    <col min="11778" max="11778" width="29.140625" style="11" customWidth="1"/>
    <col min="11779" max="11779" width="12.85546875" style="11" bestFit="1" customWidth="1"/>
    <col min="11780" max="11780" width="9.42578125" style="11" customWidth="1"/>
    <col min="11781" max="12031" width="9.140625" style="11"/>
    <col min="12032" max="12032" width="35" style="11" customWidth="1"/>
    <col min="12033" max="12033" width="16" style="11" customWidth="1"/>
    <col min="12034" max="12034" width="29.140625" style="11" customWidth="1"/>
    <col min="12035" max="12035" width="12.85546875" style="11" bestFit="1" customWidth="1"/>
    <col min="12036" max="12036" width="9.42578125" style="11" customWidth="1"/>
    <col min="12037" max="12287" width="9.140625" style="11"/>
    <col min="12288" max="12288" width="35" style="11" customWidth="1"/>
    <col min="12289" max="12289" width="16" style="11" customWidth="1"/>
    <col min="12290" max="12290" width="29.140625" style="11" customWidth="1"/>
    <col min="12291" max="12291" width="12.85546875" style="11" bestFit="1" customWidth="1"/>
    <col min="12292" max="12292" width="9.42578125" style="11" customWidth="1"/>
    <col min="12293" max="12543" width="9.140625" style="11"/>
    <col min="12544" max="12544" width="35" style="11" customWidth="1"/>
    <col min="12545" max="12545" width="16" style="11" customWidth="1"/>
    <col min="12546" max="12546" width="29.140625" style="11" customWidth="1"/>
    <col min="12547" max="12547" width="12.85546875" style="11" bestFit="1" customWidth="1"/>
    <col min="12548" max="12548" width="9.42578125" style="11" customWidth="1"/>
    <col min="12549" max="12799" width="9.140625" style="11"/>
    <col min="12800" max="12800" width="35" style="11" customWidth="1"/>
    <col min="12801" max="12801" width="16" style="11" customWidth="1"/>
    <col min="12802" max="12802" width="29.140625" style="11" customWidth="1"/>
    <col min="12803" max="12803" width="12.85546875" style="11" bestFit="1" customWidth="1"/>
    <col min="12804" max="12804" width="9.42578125" style="11" customWidth="1"/>
    <col min="12805" max="13055" width="9.140625" style="11"/>
    <col min="13056" max="13056" width="35" style="11" customWidth="1"/>
    <col min="13057" max="13057" width="16" style="11" customWidth="1"/>
    <col min="13058" max="13058" width="29.140625" style="11" customWidth="1"/>
    <col min="13059" max="13059" width="12.85546875" style="11" bestFit="1" customWidth="1"/>
    <col min="13060" max="13060" width="9.42578125" style="11" customWidth="1"/>
    <col min="13061" max="13311" width="9.140625" style="11"/>
    <col min="13312" max="13312" width="35" style="11" customWidth="1"/>
    <col min="13313" max="13313" width="16" style="11" customWidth="1"/>
    <col min="13314" max="13314" width="29.140625" style="11" customWidth="1"/>
    <col min="13315" max="13315" width="12.85546875" style="11" bestFit="1" customWidth="1"/>
    <col min="13316" max="13316" width="9.42578125" style="11" customWidth="1"/>
    <col min="13317" max="13567" width="9.140625" style="11"/>
    <col min="13568" max="13568" width="35" style="11" customWidth="1"/>
    <col min="13569" max="13569" width="16" style="11" customWidth="1"/>
    <col min="13570" max="13570" width="29.140625" style="11" customWidth="1"/>
    <col min="13571" max="13571" width="12.85546875" style="11" bestFit="1" customWidth="1"/>
    <col min="13572" max="13572" width="9.42578125" style="11" customWidth="1"/>
    <col min="13573" max="13823" width="9.140625" style="11"/>
    <col min="13824" max="13824" width="35" style="11" customWidth="1"/>
    <col min="13825" max="13825" width="16" style="11" customWidth="1"/>
    <col min="13826" max="13826" width="29.140625" style="11" customWidth="1"/>
    <col min="13827" max="13827" width="12.85546875" style="11" bestFit="1" customWidth="1"/>
    <col min="13828" max="13828" width="9.42578125" style="11" customWidth="1"/>
    <col min="13829" max="14079" width="9.140625" style="11"/>
    <col min="14080" max="14080" width="35" style="11" customWidth="1"/>
    <col min="14081" max="14081" width="16" style="11" customWidth="1"/>
    <col min="14082" max="14082" width="29.140625" style="11" customWidth="1"/>
    <col min="14083" max="14083" width="12.85546875" style="11" bestFit="1" customWidth="1"/>
    <col min="14084" max="14084" width="9.42578125" style="11" customWidth="1"/>
    <col min="14085" max="14335" width="9.140625" style="11"/>
    <col min="14336" max="14336" width="35" style="11" customWidth="1"/>
    <col min="14337" max="14337" width="16" style="11" customWidth="1"/>
    <col min="14338" max="14338" width="29.140625" style="11" customWidth="1"/>
    <col min="14339" max="14339" width="12.85546875" style="11" bestFit="1" customWidth="1"/>
    <col min="14340" max="14340" width="9.42578125" style="11" customWidth="1"/>
    <col min="14341" max="14591" width="9.140625" style="11"/>
    <col min="14592" max="14592" width="35" style="11" customWidth="1"/>
    <col min="14593" max="14593" width="16" style="11" customWidth="1"/>
    <col min="14594" max="14594" width="29.140625" style="11" customWidth="1"/>
    <col min="14595" max="14595" width="12.85546875" style="11" bestFit="1" customWidth="1"/>
    <col min="14596" max="14596" width="9.42578125" style="11" customWidth="1"/>
    <col min="14597" max="14847" width="9.140625" style="11"/>
    <col min="14848" max="14848" width="35" style="11" customWidth="1"/>
    <col min="14849" max="14849" width="16" style="11" customWidth="1"/>
    <col min="14850" max="14850" width="29.140625" style="11" customWidth="1"/>
    <col min="14851" max="14851" width="12.85546875" style="11" bestFit="1" customWidth="1"/>
    <col min="14852" max="14852" width="9.42578125" style="11" customWidth="1"/>
    <col min="14853" max="15103" width="9.140625" style="11"/>
    <col min="15104" max="15104" width="35" style="11" customWidth="1"/>
    <col min="15105" max="15105" width="16" style="11" customWidth="1"/>
    <col min="15106" max="15106" width="29.140625" style="11" customWidth="1"/>
    <col min="15107" max="15107" width="12.85546875" style="11" bestFit="1" customWidth="1"/>
    <col min="15108" max="15108" width="9.42578125" style="11" customWidth="1"/>
    <col min="15109" max="15359" width="9.140625" style="11"/>
    <col min="15360" max="15360" width="35" style="11" customWidth="1"/>
    <col min="15361" max="15361" width="16" style="11" customWidth="1"/>
    <col min="15362" max="15362" width="29.140625" style="11" customWidth="1"/>
    <col min="15363" max="15363" width="12.85546875" style="11" bestFit="1" customWidth="1"/>
    <col min="15364" max="15364" width="9.42578125" style="11" customWidth="1"/>
    <col min="15365" max="15615" width="9.140625" style="11"/>
    <col min="15616" max="15616" width="35" style="11" customWidth="1"/>
    <col min="15617" max="15617" width="16" style="11" customWidth="1"/>
    <col min="15618" max="15618" width="29.140625" style="11" customWidth="1"/>
    <col min="15619" max="15619" width="12.85546875" style="11" bestFit="1" customWidth="1"/>
    <col min="15620" max="15620" width="9.42578125" style="11" customWidth="1"/>
    <col min="15621" max="15871" width="9.140625" style="11"/>
    <col min="15872" max="15872" width="35" style="11" customWidth="1"/>
    <col min="15873" max="15873" width="16" style="11" customWidth="1"/>
    <col min="15874" max="15874" width="29.140625" style="11" customWidth="1"/>
    <col min="15875" max="15875" width="12.85546875" style="11" bestFit="1" customWidth="1"/>
    <col min="15876" max="15876" width="9.42578125" style="11" customWidth="1"/>
    <col min="15877" max="16127" width="9.140625" style="11"/>
    <col min="16128" max="16128" width="35" style="11" customWidth="1"/>
    <col min="16129" max="16129" width="16" style="11" customWidth="1"/>
    <col min="16130" max="16130" width="29.140625" style="11" customWidth="1"/>
    <col min="16131" max="16131" width="12.85546875" style="11" bestFit="1" customWidth="1"/>
    <col min="16132" max="16132" width="9.42578125" style="11" customWidth="1"/>
    <col min="16133" max="16384" width="9.140625" style="11"/>
  </cols>
  <sheetData>
    <row r="1" spans="1:25" ht="12.75" customHeight="1">
      <c r="A1" s="250" t="s">
        <v>675</v>
      </c>
      <c r="B1" s="461" t="s">
        <v>997</v>
      </c>
      <c r="C1" s="462"/>
      <c r="D1" s="462"/>
      <c r="E1" s="462"/>
      <c r="F1" s="462"/>
      <c r="G1" s="462"/>
      <c r="H1" s="462"/>
      <c r="I1" s="462"/>
      <c r="J1" s="462"/>
      <c r="K1" s="462"/>
      <c r="L1" s="462"/>
      <c r="M1" s="462"/>
      <c r="N1" s="462"/>
      <c r="O1" s="462"/>
      <c r="P1" s="462"/>
      <c r="Q1" s="462"/>
      <c r="R1" s="462"/>
      <c r="S1" s="463"/>
      <c r="T1" s="243"/>
      <c r="U1" s="243"/>
      <c r="V1" s="243"/>
      <c r="W1" s="243"/>
    </row>
    <row r="2" spans="1:25" ht="12.75" customHeight="1">
      <c r="A2" s="251"/>
      <c r="B2" s="464"/>
      <c r="C2" s="465"/>
      <c r="D2" s="465"/>
      <c r="E2" s="465"/>
      <c r="F2" s="465"/>
      <c r="G2" s="465"/>
      <c r="H2" s="465"/>
      <c r="I2" s="465"/>
      <c r="J2" s="465"/>
      <c r="K2" s="465"/>
      <c r="L2" s="465"/>
      <c r="M2" s="465"/>
      <c r="N2" s="465"/>
      <c r="O2" s="465"/>
      <c r="P2" s="465"/>
      <c r="Q2" s="465"/>
      <c r="R2" s="465"/>
      <c r="S2" s="466"/>
      <c r="T2" s="244"/>
      <c r="U2" s="244"/>
      <c r="V2" s="244"/>
      <c r="W2" s="244"/>
    </row>
    <row r="3" spans="1:25">
      <c r="A3" s="251" t="s">
        <v>1022</v>
      </c>
      <c r="B3" s="464"/>
      <c r="C3" s="465"/>
      <c r="D3" s="465"/>
      <c r="E3" s="465"/>
      <c r="F3" s="465"/>
      <c r="G3" s="465"/>
      <c r="H3" s="465"/>
      <c r="I3" s="465"/>
      <c r="J3" s="465"/>
      <c r="K3" s="465"/>
      <c r="L3" s="465"/>
      <c r="M3" s="465"/>
      <c r="N3" s="465"/>
      <c r="O3" s="465"/>
      <c r="P3" s="465"/>
      <c r="Q3" s="465"/>
      <c r="R3" s="465"/>
      <c r="S3" s="466"/>
      <c r="T3" s="244"/>
      <c r="U3" s="244"/>
      <c r="V3" s="244"/>
      <c r="W3" s="244"/>
    </row>
    <row r="4" spans="1:25">
      <c r="A4" s="251"/>
      <c r="B4" s="464"/>
      <c r="C4" s="465"/>
      <c r="D4" s="465"/>
      <c r="E4" s="465"/>
      <c r="F4" s="465"/>
      <c r="G4" s="465"/>
      <c r="H4" s="465"/>
      <c r="I4" s="465"/>
      <c r="J4" s="465"/>
      <c r="K4" s="465"/>
      <c r="L4" s="465"/>
      <c r="M4" s="465"/>
      <c r="N4" s="465"/>
      <c r="O4" s="465"/>
      <c r="P4" s="465"/>
      <c r="Q4" s="465"/>
      <c r="R4" s="465"/>
      <c r="S4" s="466"/>
      <c r="T4" s="244"/>
      <c r="U4" s="244"/>
      <c r="V4" s="244"/>
      <c r="W4" s="244"/>
    </row>
    <row r="5" spans="1:25">
      <c r="A5" s="252" t="s">
        <v>676</v>
      </c>
      <c r="B5" s="464"/>
      <c r="C5" s="465"/>
      <c r="D5" s="467"/>
      <c r="E5" s="467"/>
      <c r="F5" s="467"/>
      <c r="G5" s="467"/>
      <c r="H5" s="467"/>
      <c r="I5" s="467"/>
      <c r="J5" s="467"/>
      <c r="K5" s="467"/>
      <c r="L5" s="467"/>
      <c r="M5" s="467"/>
      <c r="N5" s="467"/>
      <c r="O5" s="467"/>
      <c r="P5" s="467"/>
      <c r="Q5" s="467"/>
      <c r="R5" s="467"/>
      <c r="S5" s="468"/>
      <c r="T5" s="244"/>
      <c r="U5" s="244"/>
      <c r="V5" s="244"/>
      <c r="W5" s="244"/>
    </row>
    <row r="6" spans="1:25">
      <c r="A6" s="253"/>
      <c r="B6" s="254"/>
      <c r="C6" s="254"/>
      <c r="D6" s="255"/>
      <c r="E6" s="256"/>
      <c r="F6" s="256"/>
      <c r="G6" s="256"/>
      <c r="H6" s="256"/>
      <c r="I6" s="256"/>
      <c r="J6" s="256"/>
      <c r="K6" s="256"/>
      <c r="L6" s="256"/>
      <c r="M6" s="256"/>
      <c r="N6" s="256"/>
      <c r="O6" s="256"/>
      <c r="P6" s="256"/>
      <c r="Q6" s="256"/>
      <c r="R6" s="256"/>
      <c r="S6" s="257"/>
      <c r="T6" s="244"/>
      <c r="U6" s="244"/>
      <c r="V6" s="244"/>
      <c r="W6" s="244"/>
    </row>
    <row r="7" spans="1:25">
      <c r="A7" s="512"/>
      <c r="B7" s="258" t="s">
        <v>730</v>
      </c>
      <c r="C7" s="259" t="s">
        <v>37</v>
      </c>
      <c r="D7" s="515" t="s">
        <v>1069</v>
      </c>
    </row>
    <row r="8" spans="1:25">
      <c r="A8" s="513" t="s">
        <v>1067</v>
      </c>
      <c r="B8" s="258" t="s">
        <v>677</v>
      </c>
      <c r="C8" s="259" t="str">
        <f>CONCATENATE([1]MLIST!$B$68,"-",C7)</f>
        <v>Street and Roadway Lighting-New</v>
      </c>
      <c r="D8" s="516" t="str">
        <f>[3]!switch_ForecastState</f>
        <v>Region</v>
      </c>
      <c r="E8" s="260"/>
    </row>
    <row r="9" spans="1:25">
      <c r="A9" s="513" t="str">
        <f>INDEX([1]ACHIEV!$A$19:$B$120,MATCH(C8,[1]ACHIEV!$B$19:$B$120,0),1)</f>
        <v>Lighting</v>
      </c>
      <c r="B9" s="261" t="s">
        <v>678</v>
      </c>
      <c r="C9" s="259">
        <f>[1]FILES!$H$4</f>
        <v>2035</v>
      </c>
      <c r="D9" s="516" t="str">
        <f>[3]!switch_ForecastScenario</f>
        <v>Base</v>
      </c>
      <c r="E9" s="262"/>
    </row>
    <row r="10" spans="1:25">
      <c r="A10" s="514"/>
      <c r="B10" s="520" t="s">
        <v>1012</v>
      </c>
      <c r="C10" s="517">
        <f ca="1">MIN(SUM(E48:X52),SUM(Y48:Y52))</f>
        <v>6.6186035002887733</v>
      </c>
      <c r="E10" s="11">
        <v>1</v>
      </c>
      <c r="F10" s="11">
        <f>E10+1</f>
        <v>2</v>
      </c>
      <c r="G10" s="11">
        <f>F10+1</f>
        <v>3</v>
      </c>
      <c r="H10" s="11">
        <f>G10+1</f>
        <v>4</v>
      </c>
      <c r="I10" s="11">
        <f>H10+1</f>
        <v>5</v>
      </c>
      <c r="J10" s="11">
        <f>I10+1</f>
        <v>6</v>
      </c>
      <c r="K10" s="11">
        <f>J10+1</f>
        <v>7</v>
      </c>
      <c r="L10" s="11">
        <f>K10+1</f>
        <v>8</v>
      </c>
      <c r="M10" s="11">
        <f>L10+1</f>
        <v>9</v>
      </c>
      <c r="N10" s="11">
        <f>M10+1</f>
        <v>10</v>
      </c>
      <c r="O10" s="11">
        <f>N10+1</f>
        <v>11</v>
      </c>
      <c r="P10" s="11">
        <f>O10+1</f>
        <v>12</v>
      </c>
      <c r="Q10" s="11">
        <f>P10+1</f>
        <v>13</v>
      </c>
      <c r="R10" s="11">
        <f>Q10+1</f>
        <v>14</v>
      </c>
      <c r="S10" s="11">
        <f>R10+1</f>
        <v>15</v>
      </c>
      <c r="T10" s="11">
        <f>S10+1</f>
        <v>16</v>
      </c>
      <c r="U10" s="11">
        <f>T10+1</f>
        <v>17</v>
      </c>
      <c r="V10" s="11">
        <f>U10+1</f>
        <v>18</v>
      </c>
      <c r="W10" s="11">
        <f>V10+1</f>
        <v>19</v>
      </c>
      <c r="X10" s="11">
        <f>W10+1</f>
        <v>20</v>
      </c>
    </row>
    <row r="11" spans="1:25" customFormat="1"/>
    <row r="12" spans="1:25" customFormat="1"/>
    <row r="13" spans="1:25" customFormat="1"/>
    <row r="14" spans="1:25" ht="15">
      <c r="A14" s="333" t="s">
        <v>731</v>
      </c>
      <c r="B14" s="334"/>
      <c r="C14" s="258" t="str">
        <f>$C$8</f>
        <v>Street and Roadway Lighting-New</v>
      </c>
      <c r="D14" s="258">
        <v>2015</v>
      </c>
      <c r="E14" s="258">
        <f>C9-20+1</f>
        <v>2016</v>
      </c>
      <c r="F14" s="258">
        <f>E14+1</f>
        <v>2017</v>
      </c>
      <c r="G14" s="258">
        <f t="shared" ref="G14:X14" si="0">F14+1</f>
        <v>2018</v>
      </c>
      <c r="H14" s="258">
        <f t="shared" si="0"/>
        <v>2019</v>
      </c>
      <c r="I14" s="258">
        <f t="shared" si="0"/>
        <v>2020</v>
      </c>
      <c r="J14" s="258">
        <f t="shared" si="0"/>
        <v>2021</v>
      </c>
      <c r="K14" s="258">
        <f t="shared" si="0"/>
        <v>2022</v>
      </c>
      <c r="L14" s="258">
        <f t="shared" si="0"/>
        <v>2023</v>
      </c>
      <c r="M14" s="258">
        <f t="shared" si="0"/>
        <v>2024</v>
      </c>
      <c r="N14" s="258">
        <f t="shared" si="0"/>
        <v>2025</v>
      </c>
      <c r="O14" s="258">
        <f t="shared" si="0"/>
        <v>2026</v>
      </c>
      <c r="P14" s="258">
        <f t="shared" si="0"/>
        <v>2027</v>
      </c>
      <c r="Q14" s="258">
        <f t="shared" si="0"/>
        <v>2028</v>
      </c>
      <c r="R14" s="258">
        <f t="shared" si="0"/>
        <v>2029</v>
      </c>
      <c r="S14" s="258">
        <f t="shared" si="0"/>
        <v>2030</v>
      </c>
      <c r="T14" s="258">
        <f t="shared" si="0"/>
        <v>2031</v>
      </c>
      <c r="U14" s="258">
        <f t="shared" si="0"/>
        <v>2032</v>
      </c>
      <c r="V14" s="258">
        <f t="shared" si="0"/>
        <v>2033</v>
      </c>
      <c r="W14" s="258">
        <f t="shared" si="0"/>
        <v>2034</v>
      </c>
      <c r="X14" s="258">
        <f t="shared" si="0"/>
        <v>2035</v>
      </c>
      <c r="Y14" s="409" t="s">
        <v>772</v>
      </c>
    </row>
    <row r="15" spans="1:25">
      <c r="A15" s="258"/>
      <c r="B15" s="258"/>
      <c r="C15" s="270" t="s">
        <v>679</v>
      </c>
      <c r="D15" s="258"/>
      <c r="E15" s="258" t="str">
        <f>CONCATENATE("POP_",E14)</f>
        <v>POP_2016</v>
      </c>
      <c r="F15" s="258" t="str">
        <f t="shared" ref="F15:X15" si="1">CONCATENATE("POP_",F14)</f>
        <v>POP_2017</v>
      </c>
      <c r="G15" s="258" t="str">
        <f t="shared" si="1"/>
        <v>POP_2018</v>
      </c>
      <c r="H15" s="258" t="str">
        <f t="shared" si="1"/>
        <v>POP_2019</v>
      </c>
      <c r="I15" s="258" t="str">
        <f t="shared" si="1"/>
        <v>POP_2020</v>
      </c>
      <c r="J15" s="258" t="str">
        <f t="shared" si="1"/>
        <v>POP_2021</v>
      </c>
      <c r="K15" s="258" t="str">
        <f t="shared" si="1"/>
        <v>POP_2022</v>
      </c>
      <c r="L15" s="258" t="str">
        <f t="shared" si="1"/>
        <v>POP_2023</v>
      </c>
      <c r="M15" s="258" t="str">
        <f t="shared" si="1"/>
        <v>POP_2024</v>
      </c>
      <c r="N15" s="258" t="str">
        <f t="shared" si="1"/>
        <v>POP_2025</v>
      </c>
      <c r="O15" s="258" t="str">
        <f t="shared" si="1"/>
        <v>POP_2026</v>
      </c>
      <c r="P15" s="258" t="str">
        <f t="shared" si="1"/>
        <v>POP_2027</v>
      </c>
      <c r="Q15" s="258" t="str">
        <f t="shared" si="1"/>
        <v>POP_2028</v>
      </c>
      <c r="R15" s="258" t="str">
        <f t="shared" si="1"/>
        <v>POP_2029</v>
      </c>
      <c r="S15" s="258" t="str">
        <f t="shared" si="1"/>
        <v>POP_2030</v>
      </c>
      <c r="T15" s="258" t="str">
        <f t="shared" si="1"/>
        <v>POP_2031</v>
      </c>
      <c r="U15" s="258" t="str">
        <f t="shared" si="1"/>
        <v>POP_2032</v>
      </c>
      <c r="V15" s="258" t="str">
        <f t="shared" si="1"/>
        <v>POP_2033</v>
      </c>
      <c r="W15" s="258" t="str">
        <f t="shared" si="1"/>
        <v>POP_2034</v>
      </c>
      <c r="X15" s="258" t="str">
        <f t="shared" si="1"/>
        <v>POP_2035</v>
      </c>
      <c r="Y15" s="410">
        <v>0.85</v>
      </c>
    </row>
    <row r="16" spans="1:25">
      <c r="C16" s="11" t="s">
        <v>1070</v>
      </c>
      <c r="D16" s="260">
        <f>'[3]Pop Forecast (Base Case)'!$AJ$10</f>
        <v>13381.124030000001</v>
      </c>
      <c r="E16" s="260">
        <f ca="1">INDEX([3]!tbl_Forecast,MATCH($D$8&amp;$C16&amp;$D$7,[3]!rng_ForecastRowLookup,0),MATCH(E$14,[3]!rng_ForecastColumnLookup,0))</f>
        <v>13520.68111</v>
      </c>
      <c r="F16" s="260">
        <f ca="1">INDEX([3]!tbl_Forecast,MATCH($D$8&amp;$C16&amp;$D$7,[3]!rng_ForecastRowLookup,0),MATCH(F$14,[3]!rng_ForecastColumnLookup,0))</f>
        <v>13661.840299999998</v>
      </c>
      <c r="G16" s="260">
        <f ca="1">INDEX([3]!tbl_Forecast,MATCH($D$8&amp;$C16&amp;$D$7,[3]!rng_ForecastRowLookup,0),MATCH(G$14,[3]!rng_ForecastColumnLookup,0))</f>
        <v>13803.691440000001</v>
      </c>
      <c r="H16" s="260">
        <f ca="1">INDEX([3]!tbl_Forecast,MATCH($D$8&amp;$C16&amp;$D$7,[3]!rng_ForecastRowLookup,0),MATCH(H$14,[3]!rng_ForecastColumnLookup,0))</f>
        <v>13944.276469999999</v>
      </c>
      <c r="I16" s="260">
        <f ca="1">INDEX([3]!tbl_Forecast,MATCH($D$8&amp;$C16&amp;$D$7,[3]!rng_ForecastRowLookup,0),MATCH(I$14,[3]!rng_ForecastColumnLookup,0))</f>
        <v>14082.801340000002</v>
      </c>
      <c r="J16" s="260">
        <f ca="1">INDEX([3]!tbl_Forecast,MATCH($D$8&amp;$C16&amp;$D$7,[3]!rng_ForecastRowLookup,0),MATCH(J$14,[3]!rng_ForecastColumnLookup,0))</f>
        <v>14218.715590000002</v>
      </c>
      <c r="K16" s="260">
        <f ca="1">INDEX([3]!tbl_Forecast,MATCH($D$8&amp;$C16&amp;$D$7,[3]!rng_ForecastRowLookup,0),MATCH(K$14,[3]!rng_ForecastColumnLookup,0))</f>
        <v>14351.918940000001</v>
      </c>
      <c r="L16" s="260">
        <f ca="1">INDEX([3]!tbl_Forecast,MATCH($D$8&amp;$C16&amp;$D$7,[3]!rng_ForecastRowLookup,0),MATCH(L$14,[3]!rng_ForecastColumnLookup,0))</f>
        <v>14482.437540000003</v>
      </c>
      <c r="M16" s="260">
        <f ca="1">INDEX([3]!tbl_Forecast,MATCH($D$8&amp;$C16&amp;$D$7,[3]!rng_ForecastRowLookup,0),MATCH(M$14,[3]!rng_ForecastColumnLookup,0))</f>
        <v>14610.4211</v>
      </c>
      <c r="N16" s="260">
        <f ca="1">INDEX([3]!tbl_Forecast,MATCH($D$8&amp;$C16&amp;$D$7,[3]!rng_ForecastRowLookup,0),MATCH(N$14,[3]!rng_ForecastColumnLookup,0))</f>
        <v>14736.24631</v>
      </c>
      <c r="O16" s="260">
        <f ca="1">INDEX([3]!tbl_Forecast,MATCH($D$8&amp;$C16&amp;$D$7,[3]!rng_ForecastRowLookup,0),MATCH(O$14,[3]!rng_ForecastColumnLookup,0))</f>
        <v>14860.320880000001</v>
      </c>
      <c r="P16" s="260">
        <f ca="1">INDEX([3]!tbl_Forecast,MATCH($D$8&amp;$C16&amp;$D$7,[3]!rng_ForecastRowLookup,0),MATCH(P$14,[3]!rng_ForecastColumnLookup,0))</f>
        <v>14983.078860000001</v>
      </c>
      <c r="Q16" s="260">
        <f ca="1">INDEX([3]!tbl_Forecast,MATCH($D$8&amp;$C16&amp;$D$7,[3]!rng_ForecastRowLookup,0),MATCH(Q$14,[3]!rng_ForecastColumnLookup,0))</f>
        <v>15104.70127</v>
      </c>
      <c r="R16" s="260">
        <f ca="1">INDEX([3]!tbl_Forecast,MATCH($D$8&amp;$C16&amp;$D$7,[3]!rng_ForecastRowLookup,0),MATCH(R$14,[3]!rng_ForecastColumnLookup,0))</f>
        <v>15225.195700000002</v>
      </c>
      <c r="S16" s="260">
        <f ca="1">INDEX([3]!tbl_Forecast,MATCH($D$8&amp;$C16&amp;$D$7,[3]!rng_ForecastRowLookup,0),MATCH(S$14,[3]!rng_ForecastColumnLookup,0))</f>
        <v>15344.62486</v>
      </c>
      <c r="T16" s="260">
        <f ca="1">INDEX([3]!tbl_Forecast,MATCH($D$8&amp;$C16&amp;$D$7,[3]!rng_ForecastRowLookup,0),MATCH(T$14,[3]!rng_ForecastColumnLookup,0))</f>
        <v>15463.089019999998</v>
      </c>
      <c r="U16" s="260">
        <f ca="1">INDEX([3]!tbl_Forecast,MATCH($D$8&amp;$C16&amp;$D$7,[3]!rng_ForecastRowLookup,0),MATCH(U$14,[3]!rng_ForecastColumnLookup,0))</f>
        <v>15580.68845</v>
      </c>
      <c r="V16" s="260">
        <f ca="1">INDEX([3]!tbl_Forecast,MATCH($D$8&amp;$C16&amp;$D$7,[3]!rng_ForecastRowLookup,0),MATCH(V$14,[3]!rng_ForecastColumnLookup,0))</f>
        <v>15697.50913</v>
      </c>
      <c r="W16" s="260">
        <f ca="1">INDEX([3]!tbl_Forecast,MATCH($D$8&amp;$C16&amp;$D$7,[3]!rng_ForecastRowLookup,0),MATCH(W$14,[3]!rng_ForecastColumnLookup,0))</f>
        <v>15813.626329999999</v>
      </c>
      <c r="X16" s="260">
        <f ca="1">INDEX([3]!tbl_Forecast,MATCH($D$8&amp;$C16&amp;$D$7,[3]!rng_ForecastRowLookup,0),MATCH(X$14,[3]!rng_ForecastColumnLookup,0))</f>
        <v>15929.254489999999</v>
      </c>
      <c r="Y16" s="166"/>
    </row>
    <row r="17" spans="1:27">
      <c r="C17" s="11" t="s">
        <v>732</v>
      </c>
      <c r="E17" s="266">
        <f ca="1">E16-D16</f>
        <v>139.55707999999868</v>
      </c>
      <c r="F17" s="266">
        <f t="shared" ref="F17:X17" ca="1" si="2">F16-E16</f>
        <v>141.15918999999849</v>
      </c>
      <c r="G17" s="266">
        <f t="shared" ca="1" si="2"/>
        <v>141.85114000000249</v>
      </c>
      <c r="H17" s="266">
        <f t="shared" ca="1" si="2"/>
        <v>140.58502999999837</v>
      </c>
      <c r="I17" s="266">
        <f t="shared" ca="1" si="2"/>
        <v>138.52487000000292</v>
      </c>
      <c r="J17" s="266">
        <f t="shared" ca="1" si="2"/>
        <v>135.91424999999981</v>
      </c>
      <c r="K17" s="266">
        <f t="shared" ca="1" si="2"/>
        <v>133.20334999999977</v>
      </c>
      <c r="L17" s="266">
        <f t="shared" ca="1" si="2"/>
        <v>130.51860000000124</v>
      </c>
      <c r="M17" s="266">
        <f t="shared" ca="1" si="2"/>
        <v>127.98355999999694</v>
      </c>
      <c r="N17" s="266">
        <f t="shared" ca="1" si="2"/>
        <v>125.82521000000088</v>
      </c>
      <c r="O17" s="266">
        <f t="shared" ca="1" si="2"/>
        <v>124.07457000000068</v>
      </c>
      <c r="P17" s="266">
        <f t="shared" ca="1" si="2"/>
        <v>122.75798000000032</v>
      </c>
      <c r="Q17" s="266">
        <f t="shared" ca="1" si="2"/>
        <v>121.62240999999813</v>
      </c>
      <c r="R17" s="266">
        <f t="shared" ca="1" si="2"/>
        <v>120.49443000000247</v>
      </c>
      <c r="S17" s="266">
        <f t="shared" ca="1" si="2"/>
        <v>119.42915999999786</v>
      </c>
      <c r="T17" s="266">
        <f t="shared" ca="1" si="2"/>
        <v>118.46415999999772</v>
      </c>
      <c r="U17" s="266">
        <f t="shared" ca="1" si="2"/>
        <v>117.59943000000203</v>
      </c>
      <c r="V17" s="266">
        <f t="shared" ca="1" si="2"/>
        <v>116.82068000000072</v>
      </c>
      <c r="W17" s="266">
        <f t="shared" ca="1" si="2"/>
        <v>116.11719999999877</v>
      </c>
      <c r="X17" s="266">
        <f t="shared" ca="1" si="2"/>
        <v>115.62816000000021</v>
      </c>
      <c r="Y17" s="166"/>
    </row>
    <row r="18" spans="1:27">
      <c r="A18" s="11" t="s">
        <v>733</v>
      </c>
      <c r="B18" s="316">
        <f>'Outdoor Stock'!G6</f>
        <v>81</v>
      </c>
      <c r="C18" s="11" t="s">
        <v>734</v>
      </c>
      <c r="E18" s="266">
        <f ca="1">E17*$B$18</f>
        <v>11304.123479999893</v>
      </c>
      <c r="F18" s="266">
        <f t="shared" ref="F18:X18" ca="1" si="3">F17*$B$18</f>
        <v>11433.894389999878</v>
      </c>
      <c r="G18" s="266">
        <f t="shared" ca="1" si="3"/>
        <v>11489.942340000202</v>
      </c>
      <c r="H18" s="266">
        <f t="shared" ca="1" si="3"/>
        <v>11387.387429999868</v>
      </c>
      <c r="I18" s="266">
        <f t="shared" ca="1" si="3"/>
        <v>11220.514470000237</v>
      </c>
      <c r="J18" s="266">
        <f t="shared" ca="1" si="3"/>
        <v>11009.054249999985</v>
      </c>
      <c r="K18" s="266">
        <f t="shared" ca="1" si="3"/>
        <v>10789.471349999982</v>
      </c>
      <c r="L18" s="266">
        <f t="shared" ca="1" si="3"/>
        <v>10572.006600000101</v>
      </c>
      <c r="M18" s="266">
        <f t="shared" ca="1" si="3"/>
        <v>10366.668359999752</v>
      </c>
      <c r="N18" s="266">
        <f t="shared" ca="1" si="3"/>
        <v>10191.842010000071</v>
      </c>
      <c r="O18" s="266">
        <f t="shared" ca="1" si="3"/>
        <v>10050.040170000055</v>
      </c>
      <c r="P18" s="266">
        <f t="shared" ca="1" si="3"/>
        <v>9943.3963800000256</v>
      </c>
      <c r="Q18" s="266">
        <f t="shared" ca="1" si="3"/>
        <v>9851.4152099998482</v>
      </c>
      <c r="R18" s="266">
        <f t="shared" ca="1" si="3"/>
        <v>9760.0488300001998</v>
      </c>
      <c r="S18" s="266">
        <f t="shared" ca="1" si="3"/>
        <v>9673.761959999827</v>
      </c>
      <c r="T18" s="266">
        <f t="shared" ca="1" si="3"/>
        <v>9595.5969599998152</v>
      </c>
      <c r="U18" s="266">
        <f t="shared" ca="1" si="3"/>
        <v>9525.5538300001645</v>
      </c>
      <c r="V18" s="266">
        <f t="shared" ca="1" si="3"/>
        <v>9462.4750800000584</v>
      </c>
      <c r="W18" s="266">
        <f t="shared" ca="1" si="3"/>
        <v>9405.4931999999008</v>
      </c>
      <c r="X18" s="266">
        <f t="shared" ca="1" si="3"/>
        <v>9365.8809600000168</v>
      </c>
      <c r="Y18" s="411">
        <f ca="1">SUM(E18:X18)</f>
        <v>206398.56725999987</v>
      </c>
    </row>
    <row r="20" spans="1:27">
      <c r="C20" s="11" t="s">
        <v>770</v>
      </c>
      <c r="E20" s="245">
        <f ca="1">E18</f>
        <v>11304.123479999893</v>
      </c>
      <c r="F20" s="245">
        <f ca="1">F18</f>
        <v>11433.894389999878</v>
      </c>
      <c r="G20" s="245">
        <f t="shared" ref="G20:X20" ca="1" si="4">G18</f>
        <v>11489.942340000202</v>
      </c>
      <c r="H20" s="245">
        <f t="shared" ca="1" si="4"/>
        <v>11387.387429999868</v>
      </c>
      <c r="I20" s="245">
        <f t="shared" ca="1" si="4"/>
        <v>11220.514470000237</v>
      </c>
      <c r="J20" s="245">
        <f t="shared" ca="1" si="4"/>
        <v>11009.054249999985</v>
      </c>
      <c r="K20" s="245">
        <f t="shared" ca="1" si="4"/>
        <v>10789.471349999982</v>
      </c>
      <c r="L20" s="245">
        <f t="shared" ca="1" si="4"/>
        <v>10572.006600000101</v>
      </c>
      <c r="M20" s="245">
        <f t="shared" ca="1" si="4"/>
        <v>10366.668359999752</v>
      </c>
      <c r="N20" s="245">
        <f t="shared" ca="1" si="4"/>
        <v>10191.842010000071</v>
      </c>
      <c r="O20" s="245">
        <f t="shared" ca="1" si="4"/>
        <v>10050.040170000055</v>
      </c>
      <c r="P20" s="245">
        <f t="shared" ca="1" si="4"/>
        <v>9943.3963800000256</v>
      </c>
      <c r="Q20" s="245">
        <f t="shared" ca="1" si="4"/>
        <v>9851.4152099998482</v>
      </c>
      <c r="R20" s="245">
        <f t="shared" ca="1" si="4"/>
        <v>9760.0488300001998</v>
      </c>
      <c r="S20" s="245">
        <f t="shared" ca="1" si="4"/>
        <v>9673.761959999827</v>
      </c>
      <c r="T20" s="245">
        <f t="shared" ca="1" si="4"/>
        <v>9595.5969599998152</v>
      </c>
      <c r="U20" s="245">
        <f t="shared" ca="1" si="4"/>
        <v>9525.5538300001645</v>
      </c>
      <c r="V20" s="245">
        <f t="shared" ca="1" si="4"/>
        <v>9462.4750800000584</v>
      </c>
      <c r="W20" s="245">
        <f t="shared" ca="1" si="4"/>
        <v>9405.4931999999008</v>
      </c>
      <c r="X20" s="245">
        <f t="shared" ca="1" si="4"/>
        <v>9365.8809600000168</v>
      </c>
    </row>
    <row r="21" spans="1:27">
      <c r="C21" s="11" t="s">
        <v>771</v>
      </c>
      <c r="E21" s="266">
        <f ca="1">E20</f>
        <v>11304.123479999893</v>
      </c>
      <c r="F21" s="266">
        <f ca="1">E21+F20</f>
        <v>22738.01786999977</v>
      </c>
      <c r="G21" s="266">
        <f t="shared" ref="G21:X21" ca="1" si="5">F21+G20</f>
        <v>34227.960209999976</v>
      </c>
      <c r="H21" s="266">
        <f t="shared" ca="1" si="5"/>
        <v>45615.347639999847</v>
      </c>
      <c r="I21" s="266">
        <f t="shared" ca="1" si="5"/>
        <v>56835.862110000082</v>
      </c>
      <c r="J21" s="266">
        <f t="shared" ca="1" si="5"/>
        <v>67844.916360000061</v>
      </c>
      <c r="K21" s="266">
        <f t="shared" ca="1" si="5"/>
        <v>78634.387710000039</v>
      </c>
      <c r="L21" s="266">
        <f t="shared" ca="1" si="5"/>
        <v>89206.394310000134</v>
      </c>
      <c r="M21" s="266">
        <f t="shared" ca="1" si="5"/>
        <v>99573.062669999883</v>
      </c>
      <c r="N21" s="266">
        <f t="shared" ca="1" si="5"/>
        <v>109764.90467999995</v>
      </c>
      <c r="O21" s="266">
        <f t="shared" ca="1" si="5"/>
        <v>119814.94485</v>
      </c>
      <c r="P21" s="266">
        <f t="shared" ca="1" si="5"/>
        <v>129758.34123000002</v>
      </c>
      <c r="Q21" s="266">
        <f t="shared" ca="1" si="5"/>
        <v>139609.75643999988</v>
      </c>
      <c r="R21" s="266">
        <f t="shared" ca="1" si="5"/>
        <v>149369.80527000007</v>
      </c>
      <c r="S21" s="266">
        <f t="shared" ca="1" si="5"/>
        <v>159043.5672299999</v>
      </c>
      <c r="T21" s="266">
        <f t="shared" ca="1" si="5"/>
        <v>168639.16418999972</v>
      </c>
      <c r="U21" s="266">
        <f t="shared" ca="1" si="5"/>
        <v>178164.71801999988</v>
      </c>
      <c r="V21" s="266">
        <f t="shared" ca="1" si="5"/>
        <v>187627.19309999995</v>
      </c>
      <c r="W21" s="266">
        <f t="shared" ca="1" si="5"/>
        <v>197032.68629999986</v>
      </c>
      <c r="X21" s="266">
        <f t="shared" ca="1" si="5"/>
        <v>206398.56725999987</v>
      </c>
      <c r="Y21" s="265"/>
    </row>
    <row r="22" spans="1:27">
      <c r="E22" s="263"/>
      <c r="F22" s="263"/>
      <c r="G22" s="263"/>
      <c r="H22" s="263"/>
      <c r="I22" s="263"/>
      <c r="J22" s="263"/>
      <c r="K22" s="263"/>
      <c r="L22" s="263"/>
      <c r="M22" s="263"/>
      <c r="N22" s="263"/>
      <c r="O22" s="263"/>
      <c r="P22" s="263"/>
      <c r="Q22" s="263"/>
      <c r="R22" s="263"/>
      <c r="S22" s="263"/>
      <c r="T22" s="263"/>
      <c r="U22" s="263"/>
      <c r="V22" s="263"/>
      <c r="W22" s="263"/>
      <c r="X22" s="263"/>
    </row>
    <row r="23" spans="1:27">
      <c r="A23" s="258" t="s">
        <v>962</v>
      </c>
      <c r="B23" s="258"/>
      <c r="C23" s="258"/>
      <c r="D23" s="258"/>
      <c r="E23" s="401">
        <f>E14</f>
        <v>2016</v>
      </c>
      <c r="F23" s="401">
        <f t="shared" ref="F23:X23" si="6">F14</f>
        <v>2017</v>
      </c>
      <c r="G23" s="401">
        <f t="shared" si="6"/>
        <v>2018</v>
      </c>
      <c r="H23" s="401">
        <f t="shared" si="6"/>
        <v>2019</v>
      </c>
      <c r="I23" s="401">
        <f t="shared" si="6"/>
        <v>2020</v>
      </c>
      <c r="J23" s="401">
        <f t="shared" si="6"/>
        <v>2021</v>
      </c>
      <c r="K23" s="401">
        <f t="shared" si="6"/>
        <v>2022</v>
      </c>
      <c r="L23" s="401">
        <f t="shared" si="6"/>
        <v>2023</v>
      </c>
      <c r="M23" s="401">
        <f t="shared" si="6"/>
        <v>2024</v>
      </c>
      <c r="N23" s="401">
        <f t="shared" si="6"/>
        <v>2025</v>
      </c>
      <c r="O23" s="401">
        <f t="shared" si="6"/>
        <v>2026</v>
      </c>
      <c r="P23" s="401">
        <f t="shared" si="6"/>
        <v>2027</v>
      </c>
      <c r="Q23" s="401">
        <f t="shared" si="6"/>
        <v>2028</v>
      </c>
      <c r="R23" s="401">
        <f t="shared" si="6"/>
        <v>2029</v>
      </c>
      <c r="S23" s="401">
        <f t="shared" si="6"/>
        <v>2030</v>
      </c>
      <c r="T23" s="401">
        <f t="shared" si="6"/>
        <v>2031</v>
      </c>
      <c r="U23" s="401">
        <f t="shared" si="6"/>
        <v>2032</v>
      </c>
      <c r="V23" s="401">
        <f t="shared" si="6"/>
        <v>2033</v>
      </c>
      <c r="W23" s="401">
        <f t="shared" si="6"/>
        <v>2034</v>
      </c>
      <c r="X23" s="401">
        <f t="shared" si="6"/>
        <v>2035</v>
      </c>
      <c r="Y23" s="409" t="s">
        <v>898</v>
      </c>
    </row>
    <row r="24" spans="1:27">
      <c r="A24" s="258" t="s">
        <v>963</v>
      </c>
      <c r="B24" s="258" t="s">
        <v>964</v>
      </c>
      <c r="C24" s="258" t="str">
        <f>C8</f>
        <v>Street and Roadway Lighting-New</v>
      </c>
      <c r="D24" s="258"/>
      <c r="E24" s="402"/>
      <c r="F24" s="402"/>
      <c r="G24" s="402"/>
      <c r="H24" s="402"/>
      <c r="I24" s="402"/>
      <c r="J24" s="402"/>
      <c r="K24" s="402"/>
      <c r="L24" s="402"/>
      <c r="M24" s="402"/>
      <c r="N24" s="402"/>
      <c r="O24" s="402"/>
      <c r="P24" s="402"/>
      <c r="Q24" s="402"/>
      <c r="R24" s="402"/>
      <c r="S24" s="402"/>
      <c r="T24" s="402"/>
      <c r="U24" s="402"/>
      <c r="V24" s="402"/>
      <c r="W24" s="402"/>
      <c r="X24" s="402"/>
      <c r="Y24" s="410"/>
    </row>
    <row r="25" spans="1:27">
      <c r="A25" s="403">
        <f>1-VLOOKUP("Street",'[5]DOE2014 Sales Pen'!$AA$3:$AH$38,7,FALSE)</f>
        <v>0.6</v>
      </c>
      <c r="B25" s="246">
        <f>VLOOKUP(C25,WattClass,2,FALSE)</f>
        <v>0.54</v>
      </c>
      <c r="C25" s="34" t="s">
        <v>663</v>
      </c>
      <c r="E25" s="263">
        <f ca="1">E$18*$A25*$B25</f>
        <v>3662.5360075199656</v>
      </c>
      <c r="F25" s="263">
        <f t="shared" ref="F25:X29" ca="1" si="7">F$18*$A25*$B25</f>
        <v>3704.5817823599605</v>
      </c>
      <c r="G25" s="263">
        <f t="shared" ca="1" si="7"/>
        <v>3722.7413181600655</v>
      </c>
      <c r="H25" s="263">
        <f t="shared" ca="1" si="7"/>
        <v>3689.5135273199571</v>
      </c>
      <c r="I25" s="263">
        <f t="shared" ca="1" si="7"/>
        <v>3635.4466882800766</v>
      </c>
      <c r="J25" s="263">
        <f t="shared" ca="1" si="7"/>
        <v>3566.9335769999952</v>
      </c>
      <c r="K25" s="263">
        <f t="shared" ca="1" si="7"/>
        <v>3495.7887173999939</v>
      </c>
      <c r="L25" s="263">
        <f t="shared" ca="1" si="7"/>
        <v>3425.3301384000324</v>
      </c>
      <c r="M25" s="263">
        <f t="shared" ca="1" si="7"/>
        <v>3358.8005486399197</v>
      </c>
      <c r="N25" s="263">
        <f t="shared" ca="1" si="7"/>
        <v>3302.1568112400232</v>
      </c>
      <c r="O25" s="263">
        <f t="shared" ca="1" si="7"/>
        <v>3256.2130150800181</v>
      </c>
      <c r="P25" s="263">
        <f t="shared" ca="1" si="7"/>
        <v>3221.6604271200085</v>
      </c>
      <c r="Q25" s="263">
        <f t="shared" ca="1" si="7"/>
        <v>3191.8585280399511</v>
      </c>
      <c r="R25" s="263">
        <f t="shared" ca="1" si="7"/>
        <v>3162.2558209200647</v>
      </c>
      <c r="S25" s="263">
        <f t="shared" ca="1" si="7"/>
        <v>3134.2988750399441</v>
      </c>
      <c r="T25" s="263">
        <f t="shared" ca="1" si="7"/>
        <v>3108.9734150399399</v>
      </c>
      <c r="U25" s="263">
        <f t="shared" ca="1" si="7"/>
        <v>3086.2794409200533</v>
      </c>
      <c r="V25" s="263">
        <f t="shared" ca="1" si="7"/>
        <v>3065.8419259200191</v>
      </c>
      <c r="W25" s="263">
        <f t="shared" ca="1" si="7"/>
        <v>3047.3797967999681</v>
      </c>
      <c r="X25" s="263">
        <f t="shared" ca="1" si="7"/>
        <v>3034.5454310400055</v>
      </c>
      <c r="Y25" s="411">
        <f ca="1">SUM(E25:X25)</f>
        <v>66873.135792239962</v>
      </c>
    </row>
    <row r="26" spans="1:27">
      <c r="A26" s="403">
        <f>1-VLOOKUP("Street",'[5]DOE2014 Sales Pen'!$AA$3:$AH$38,7,FALSE)</f>
        <v>0.6</v>
      </c>
      <c r="B26" s="246">
        <f>VLOOKUP(C26,WattClass,2,FALSE)</f>
        <v>0.14000000000000001</v>
      </c>
      <c r="C26" s="34" t="s">
        <v>665</v>
      </c>
      <c r="E26" s="263">
        <f t="shared" ref="E26:T29" ca="1" si="8">E$18*$A26*$B26</f>
        <v>949.54637231999106</v>
      </c>
      <c r="F26" s="263">
        <f t="shared" ca="1" si="8"/>
        <v>960.44712875998982</v>
      </c>
      <c r="G26" s="263">
        <f t="shared" ca="1" si="8"/>
        <v>965.15515656001696</v>
      </c>
      <c r="H26" s="263">
        <f t="shared" ca="1" si="8"/>
        <v>956.54054411998891</v>
      </c>
      <c r="I26" s="263">
        <f t="shared" ca="1" si="8"/>
        <v>942.52321548001999</v>
      </c>
      <c r="J26" s="263">
        <f t="shared" ca="1" si="8"/>
        <v>924.7605569999987</v>
      </c>
      <c r="K26" s="263">
        <f t="shared" ca="1" si="8"/>
        <v>906.31559339999842</v>
      </c>
      <c r="L26" s="263">
        <f t="shared" ca="1" si="8"/>
        <v>888.04855440000847</v>
      </c>
      <c r="M26" s="263">
        <f t="shared" ca="1" si="8"/>
        <v>870.80014223997921</v>
      </c>
      <c r="N26" s="263">
        <f t="shared" ca="1" si="8"/>
        <v>856.11472884000614</v>
      </c>
      <c r="O26" s="263">
        <f t="shared" ca="1" si="8"/>
        <v>844.20337428000471</v>
      </c>
      <c r="P26" s="263">
        <f t="shared" ca="1" si="8"/>
        <v>835.24529592000215</v>
      </c>
      <c r="Q26" s="263">
        <f t="shared" ca="1" si="8"/>
        <v>827.51887763998741</v>
      </c>
      <c r="R26" s="263">
        <f t="shared" ca="1" si="8"/>
        <v>819.84410172001685</v>
      </c>
      <c r="S26" s="263">
        <f t="shared" ca="1" si="8"/>
        <v>812.59600463998561</v>
      </c>
      <c r="T26" s="263">
        <f t="shared" ca="1" si="8"/>
        <v>806.03014463998454</v>
      </c>
      <c r="U26" s="263">
        <f t="shared" ca="1" si="7"/>
        <v>800.14652172001388</v>
      </c>
      <c r="V26" s="263">
        <f t="shared" ca="1" si="7"/>
        <v>794.84790672000497</v>
      </c>
      <c r="W26" s="263">
        <f t="shared" ca="1" si="7"/>
        <v>790.06142879999175</v>
      </c>
      <c r="X26" s="263">
        <f t="shared" ca="1" si="7"/>
        <v>786.73400064000145</v>
      </c>
      <c r="Y26" s="411">
        <f t="shared" ref="Y26:Y31" ca="1" si="9">SUM(E26:X26)</f>
        <v>17337.479649839988</v>
      </c>
    </row>
    <row r="27" spans="1:27">
      <c r="A27" s="403">
        <f>1-VLOOKUP("Street",'[5]DOE2014 Sales Pen'!$AA$3:$AH$38,7,FALSE)</f>
        <v>0.6</v>
      </c>
      <c r="B27" s="246">
        <f>VLOOKUP(C27,WattClass,2,FALSE)</f>
        <v>0.13100000000000001</v>
      </c>
      <c r="C27" s="34" t="s">
        <v>664</v>
      </c>
      <c r="E27" s="263">
        <f t="shared" ca="1" si="8"/>
        <v>888.50410552799156</v>
      </c>
      <c r="F27" s="263">
        <f t="shared" ca="1" si="7"/>
        <v>898.70409905399038</v>
      </c>
      <c r="G27" s="263">
        <f t="shared" ca="1" si="7"/>
        <v>903.1094679240158</v>
      </c>
      <c r="H27" s="263">
        <f t="shared" ca="1" si="7"/>
        <v>895.04865199798962</v>
      </c>
      <c r="I27" s="263">
        <f t="shared" ca="1" si="7"/>
        <v>881.9324373420186</v>
      </c>
      <c r="J27" s="263">
        <f t="shared" ca="1" si="7"/>
        <v>865.31166404999874</v>
      </c>
      <c r="K27" s="263">
        <f t="shared" ca="1" si="7"/>
        <v>848.05244810999852</v>
      </c>
      <c r="L27" s="263">
        <f t="shared" ca="1" si="7"/>
        <v>830.95971876000783</v>
      </c>
      <c r="M27" s="263">
        <f t="shared" ca="1" si="7"/>
        <v>814.82013309598051</v>
      </c>
      <c r="N27" s="263">
        <f t="shared" ca="1" si="7"/>
        <v>801.07878198600565</v>
      </c>
      <c r="O27" s="263">
        <f t="shared" ca="1" si="7"/>
        <v>789.93315736200441</v>
      </c>
      <c r="P27" s="263">
        <f t="shared" ca="1" si="7"/>
        <v>781.55095546800203</v>
      </c>
      <c r="Q27" s="263">
        <f t="shared" ca="1" si="7"/>
        <v>774.32123550598817</v>
      </c>
      <c r="R27" s="263">
        <f t="shared" ca="1" si="7"/>
        <v>767.13983803801568</v>
      </c>
      <c r="S27" s="263">
        <f t="shared" ca="1" si="7"/>
        <v>760.3576900559865</v>
      </c>
      <c r="T27" s="263">
        <f t="shared" ca="1" si="7"/>
        <v>754.21392105598545</v>
      </c>
      <c r="U27" s="263">
        <f t="shared" ca="1" si="7"/>
        <v>748.70853103801289</v>
      </c>
      <c r="V27" s="263">
        <f t="shared" ca="1" si="7"/>
        <v>743.75054128800457</v>
      </c>
      <c r="W27" s="263">
        <f t="shared" ca="1" si="7"/>
        <v>739.27176551999219</v>
      </c>
      <c r="X27" s="263">
        <f t="shared" ca="1" si="7"/>
        <v>736.15824345600129</v>
      </c>
      <c r="Y27" s="411">
        <f t="shared" ca="1" si="9"/>
        <v>16222.927386635987</v>
      </c>
    </row>
    <row r="28" spans="1:27">
      <c r="A28" s="403">
        <f>1-VLOOKUP("Street",'[5]DOE2014 Sales Pen'!$AA$3:$AH$38,7,FALSE)</f>
        <v>0.6</v>
      </c>
      <c r="B28" s="246">
        <f>VLOOKUP(C28,WattClass,2,FALSE)</f>
        <v>0.17499999999999999</v>
      </c>
      <c r="C28" s="34" t="s">
        <v>666</v>
      </c>
      <c r="E28" s="263">
        <f t="shared" ca="1" si="8"/>
        <v>1186.9329653999887</v>
      </c>
      <c r="F28" s="263">
        <f t="shared" ca="1" si="7"/>
        <v>1200.558910949987</v>
      </c>
      <c r="G28" s="263">
        <f t="shared" ca="1" si="7"/>
        <v>1206.443945700021</v>
      </c>
      <c r="H28" s="263">
        <f t="shared" ca="1" si="7"/>
        <v>1195.675680149986</v>
      </c>
      <c r="I28" s="263">
        <f t="shared" ca="1" si="7"/>
        <v>1178.1540193500248</v>
      </c>
      <c r="J28" s="263">
        <f t="shared" ca="1" si="7"/>
        <v>1155.9506962499981</v>
      </c>
      <c r="K28" s="263">
        <f t="shared" ca="1" si="7"/>
        <v>1132.894491749998</v>
      </c>
      <c r="L28" s="263">
        <f t="shared" ca="1" si="7"/>
        <v>1110.0606930000104</v>
      </c>
      <c r="M28" s="263">
        <f t="shared" ca="1" si="7"/>
        <v>1088.5001777999739</v>
      </c>
      <c r="N28" s="263">
        <f t="shared" ca="1" si="7"/>
        <v>1070.1434110500074</v>
      </c>
      <c r="O28" s="263">
        <f t="shared" ca="1" si="7"/>
        <v>1055.2542178500057</v>
      </c>
      <c r="P28" s="263">
        <f t="shared" ca="1" si="7"/>
        <v>1044.0566199000025</v>
      </c>
      <c r="Q28" s="263">
        <f t="shared" ca="1" si="7"/>
        <v>1034.3985970499841</v>
      </c>
      <c r="R28" s="263">
        <f t="shared" ca="1" si="7"/>
        <v>1024.8051271500208</v>
      </c>
      <c r="S28" s="263">
        <f t="shared" ca="1" si="7"/>
        <v>1015.7450057999818</v>
      </c>
      <c r="T28" s="263">
        <f t="shared" ca="1" si="7"/>
        <v>1007.5376807999804</v>
      </c>
      <c r="U28" s="263">
        <f t="shared" ca="1" si="7"/>
        <v>1000.1831521500171</v>
      </c>
      <c r="V28" s="263">
        <f t="shared" ca="1" si="7"/>
        <v>993.55988340000602</v>
      </c>
      <c r="W28" s="263">
        <f t="shared" ca="1" si="7"/>
        <v>987.57678599998951</v>
      </c>
      <c r="X28" s="263">
        <f t="shared" ca="1" si="7"/>
        <v>983.41750080000168</v>
      </c>
      <c r="Y28" s="411">
        <f t="shared" ca="1" si="9"/>
        <v>21671.849562299984</v>
      </c>
    </row>
    <row r="29" spans="1:27">
      <c r="A29" s="403">
        <f>1-VLOOKUP("Street",'[5]DOE2014 Sales Pen'!$AA$3:$AH$38,7,FALSE)</f>
        <v>0.6</v>
      </c>
      <c r="B29" s="246">
        <f>VLOOKUP(C29,WattClass,2,FALSE)</f>
        <v>1.4E-2</v>
      </c>
      <c r="C29" s="34" t="s">
        <v>667</v>
      </c>
      <c r="E29" s="263">
        <f t="shared" ca="1" si="8"/>
        <v>94.954637231999101</v>
      </c>
      <c r="F29" s="263">
        <f t="shared" ca="1" si="7"/>
        <v>96.044712875998968</v>
      </c>
      <c r="G29" s="263">
        <f t="shared" ca="1" si="7"/>
        <v>96.515515656001696</v>
      </c>
      <c r="H29" s="263">
        <f t="shared" ca="1" si="7"/>
        <v>95.654054411998885</v>
      </c>
      <c r="I29" s="263">
        <f t="shared" ca="1" si="7"/>
        <v>94.252321548001987</v>
      </c>
      <c r="J29" s="263">
        <f t="shared" ca="1" si="7"/>
        <v>92.476055699999861</v>
      </c>
      <c r="K29" s="263">
        <f t="shared" ca="1" si="7"/>
        <v>90.631559339999839</v>
      </c>
      <c r="L29" s="263">
        <f t="shared" ca="1" si="7"/>
        <v>88.804855440000836</v>
      </c>
      <c r="M29" s="263">
        <f t="shared" ca="1" si="7"/>
        <v>87.080014223997921</v>
      </c>
      <c r="N29" s="263">
        <f t="shared" ca="1" si="7"/>
        <v>85.611472884000605</v>
      </c>
      <c r="O29" s="263">
        <f t="shared" ca="1" si="7"/>
        <v>84.420337428000465</v>
      </c>
      <c r="P29" s="263">
        <f t="shared" ca="1" si="7"/>
        <v>83.524529592000206</v>
      </c>
      <c r="Q29" s="263">
        <f t="shared" ca="1" si="7"/>
        <v>82.751887763998724</v>
      </c>
      <c r="R29" s="263">
        <f t="shared" ca="1" si="7"/>
        <v>81.984410172001674</v>
      </c>
      <c r="S29" s="263">
        <f t="shared" ca="1" si="7"/>
        <v>81.259600463998552</v>
      </c>
      <c r="T29" s="263">
        <f t="shared" ca="1" si="7"/>
        <v>80.603014463998448</v>
      </c>
      <c r="U29" s="263">
        <f t="shared" ca="1" si="7"/>
        <v>80.014652172001377</v>
      </c>
      <c r="V29" s="263">
        <f t="shared" ca="1" si="7"/>
        <v>79.484790672000486</v>
      </c>
      <c r="W29" s="263">
        <f t="shared" ca="1" si="7"/>
        <v>79.006142879999175</v>
      </c>
      <c r="X29" s="263">
        <f t="shared" ca="1" si="7"/>
        <v>78.673400064000134</v>
      </c>
      <c r="Y29" s="411">
        <f t="shared" ca="1" si="9"/>
        <v>1733.7479649839991</v>
      </c>
    </row>
    <row r="30" spans="1:27">
      <c r="E30" s="263"/>
      <c r="F30" s="263"/>
      <c r="G30" s="263"/>
      <c r="H30" s="263"/>
      <c r="I30" s="263"/>
      <c r="J30" s="263"/>
      <c r="K30" s="263"/>
      <c r="L30" s="263"/>
      <c r="M30" s="263"/>
      <c r="N30" s="263"/>
      <c r="O30" s="263"/>
      <c r="P30" s="263"/>
      <c r="Q30" s="263"/>
      <c r="R30" s="263"/>
      <c r="S30" s="263"/>
      <c r="T30" s="263"/>
      <c r="U30" s="263"/>
      <c r="V30" s="263"/>
      <c r="W30" s="263"/>
      <c r="X30" s="263"/>
    </row>
    <row r="31" spans="1:27">
      <c r="B31" s="404">
        <f>SUM(B25:B29)</f>
        <v>1</v>
      </c>
      <c r="E31" s="263">
        <f ca="1">SUM(E25:E29)</f>
        <v>6782.4740879999363</v>
      </c>
      <c r="F31" s="263">
        <f t="shared" ref="F31:X31" ca="1" si="10">SUM(F25:F29)</f>
        <v>6860.3366339999266</v>
      </c>
      <c r="G31" s="263">
        <f t="shared" ca="1" si="10"/>
        <v>6893.9654040001205</v>
      </c>
      <c r="H31" s="263">
        <f t="shared" ca="1" si="10"/>
        <v>6832.4324579999202</v>
      </c>
      <c r="I31" s="263">
        <f t="shared" ca="1" si="10"/>
        <v>6732.3086820001427</v>
      </c>
      <c r="J31" s="263">
        <f t="shared" ca="1" si="10"/>
        <v>6605.4325499999904</v>
      </c>
      <c r="K31" s="263">
        <f t="shared" ca="1" si="10"/>
        <v>6473.6828099999875</v>
      </c>
      <c r="L31" s="263">
        <f t="shared" ca="1" si="10"/>
        <v>6343.2039600000599</v>
      </c>
      <c r="M31" s="263">
        <f t="shared" ca="1" si="10"/>
        <v>6220.001015999851</v>
      </c>
      <c r="N31" s="263">
        <f t="shared" ca="1" si="10"/>
        <v>6115.1052060000429</v>
      </c>
      <c r="O31" s="263">
        <f t="shared" ca="1" si="10"/>
        <v>6030.024102000034</v>
      </c>
      <c r="P31" s="263">
        <f t="shared" ca="1" si="10"/>
        <v>5966.0378280000159</v>
      </c>
      <c r="Q31" s="263">
        <f t="shared" ca="1" si="10"/>
        <v>5910.84912599991</v>
      </c>
      <c r="R31" s="263">
        <f t="shared" ca="1" si="10"/>
        <v>5856.0292980001204</v>
      </c>
      <c r="S31" s="263">
        <f t="shared" ca="1" si="10"/>
        <v>5804.2571759998955</v>
      </c>
      <c r="T31" s="263">
        <f t="shared" ca="1" si="10"/>
        <v>5757.3581759998879</v>
      </c>
      <c r="U31" s="263">
        <f t="shared" ca="1" si="10"/>
        <v>5715.3322980000985</v>
      </c>
      <c r="V31" s="263">
        <f t="shared" ca="1" si="10"/>
        <v>5677.485048000035</v>
      </c>
      <c r="W31" s="263">
        <f t="shared" ca="1" si="10"/>
        <v>5643.2959199999405</v>
      </c>
      <c r="X31" s="263">
        <f t="shared" ca="1" si="10"/>
        <v>5619.5285760000097</v>
      </c>
      <c r="Y31" s="411">
        <f t="shared" ca="1" si="9"/>
        <v>123839.14035599993</v>
      </c>
      <c r="AA31" s="11" t="s">
        <v>906</v>
      </c>
    </row>
    <row r="32" spans="1:27">
      <c r="E32" s="263"/>
      <c r="F32" s="263"/>
      <c r="G32" s="263"/>
      <c r="H32" s="263"/>
      <c r="I32" s="263"/>
      <c r="J32" s="263"/>
      <c r="K32" s="263"/>
      <c r="L32" s="263"/>
      <c r="M32" s="263"/>
      <c r="N32" s="263"/>
      <c r="O32" s="263"/>
      <c r="P32" s="263"/>
      <c r="Q32" s="263"/>
      <c r="R32" s="263"/>
      <c r="S32" s="263"/>
      <c r="T32" s="263"/>
      <c r="U32" s="263"/>
      <c r="V32" s="263"/>
      <c r="W32" s="263"/>
      <c r="X32" s="263"/>
    </row>
    <row r="33" spans="1:27">
      <c r="E33" s="263"/>
      <c r="F33" s="263"/>
      <c r="G33" s="263"/>
      <c r="H33" s="263"/>
      <c r="I33" s="263"/>
      <c r="J33" s="263"/>
      <c r="K33" s="263"/>
      <c r="L33" s="263"/>
      <c r="M33" s="263"/>
      <c r="N33" s="263"/>
      <c r="O33" s="263"/>
      <c r="P33" s="263"/>
      <c r="Q33" s="263"/>
      <c r="R33" s="263"/>
      <c r="S33" s="263"/>
      <c r="T33" s="263"/>
      <c r="U33" s="263"/>
      <c r="V33" s="263"/>
      <c r="W33" s="263"/>
      <c r="X33" s="263"/>
    </row>
    <row r="34" spans="1:27">
      <c r="E34" s="263"/>
      <c r="F34" s="263"/>
      <c r="G34" s="263"/>
      <c r="H34" s="263"/>
      <c r="I34" s="263"/>
      <c r="J34" s="263"/>
      <c r="K34" s="263"/>
      <c r="L34" s="263"/>
      <c r="M34" s="263"/>
      <c r="N34" s="263"/>
      <c r="O34" s="263"/>
      <c r="P34" s="263"/>
      <c r="Q34" s="263"/>
      <c r="R34" s="263"/>
      <c r="S34" s="263"/>
      <c r="T34" s="263"/>
      <c r="U34" s="263"/>
      <c r="V34" s="263"/>
      <c r="W34" s="263"/>
      <c r="X34" s="263"/>
    </row>
    <row r="35" spans="1:27" ht="15">
      <c r="A35" s="333" t="s">
        <v>728</v>
      </c>
      <c r="B35" s="334"/>
      <c r="C35" s="405" t="s">
        <v>967</v>
      </c>
      <c r="E35" s="11">
        <v>3</v>
      </c>
      <c r="F35" s="11">
        <v>4</v>
      </c>
      <c r="G35" s="11">
        <v>5</v>
      </c>
      <c r="H35" s="11">
        <v>6</v>
      </c>
      <c r="I35" s="11">
        <v>7</v>
      </c>
      <c r="J35" s="11">
        <v>8</v>
      </c>
      <c r="K35" s="11">
        <v>9</v>
      </c>
      <c r="L35" s="11">
        <v>10</v>
      </c>
      <c r="M35" s="11">
        <v>11</v>
      </c>
      <c r="N35" s="11">
        <v>12</v>
      </c>
      <c r="O35" s="11">
        <v>13</v>
      </c>
      <c r="P35" s="11">
        <v>14</v>
      </c>
      <c r="Q35" s="11">
        <v>15</v>
      </c>
      <c r="R35" s="11">
        <v>16</v>
      </c>
      <c r="S35" s="11">
        <v>17</v>
      </c>
      <c r="T35" s="11">
        <v>18</v>
      </c>
      <c r="U35" s="11">
        <v>19</v>
      </c>
      <c r="V35" s="11">
        <v>20</v>
      </c>
      <c r="W35" s="11">
        <v>21</v>
      </c>
      <c r="X35" s="11">
        <v>22</v>
      </c>
      <c r="Y35" s="166"/>
    </row>
    <row r="36" spans="1:27" ht="15">
      <c r="A36" s="258" t="s">
        <v>966</v>
      </c>
      <c r="B36" s="258" t="s">
        <v>66</v>
      </c>
      <c r="C36" s="405" t="str">
        <f>$C$8</f>
        <v>Street and Roadway Lighting-New</v>
      </c>
      <c r="D36" s="405" t="s">
        <v>965</v>
      </c>
      <c r="E36" s="408">
        <f>VLOOKUP($C$36,[1]!ACHIEV,MATCH(E$14,$E$14:$Y$14,0)+2,FALSE)</f>
        <v>0.45</v>
      </c>
      <c r="F36" s="408">
        <f>VLOOKUP($C$36,[1]!ACHIEV,MATCH(F$14,$E$14:$Y$14,0)+2,FALSE)</f>
        <v>0.66</v>
      </c>
      <c r="G36" s="408">
        <f>VLOOKUP($C$36,[1]!ACHIEV,MATCH(G$14,$E$14:$Y$14,0)+2,FALSE)</f>
        <v>0.8</v>
      </c>
      <c r="H36" s="408">
        <f>VLOOKUP($C$36,[1]!ACHIEV,MATCH(H$14,$E$14:$Y$14,0)+2,FALSE)</f>
        <v>0.89</v>
      </c>
      <c r="I36" s="408">
        <f>VLOOKUP($C$36,[1]!ACHIEV,MATCH(I$14,$E$14:$Y$14,0)+2,FALSE)</f>
        <v>0.94954036260972652</v>
      </c>
      <c r="J36" s="408">
        <f>VLOOKUP($C$36,[1]!ACHIEV,MATCH(J$14,$E$14:$Y$14,0)+2,FALSE)</f>
        <v>0.97931054391458994</v>
      </c>
      <c r="K36" s="408">
        <f>VLOOKUP($C$36,[1]!ACHIEV,MATCH(K$14,$E$14:$Y$14,0)+2,FALSE)</f>
        <v>0.99254173560564019</v>
      </c>
      <c r="L36" s="408">
        <f>VLOOKUP($C$36,[1]!ACHIEV,MATCH(L$14,$E$14:$Y$14,0)+2,FALSE)</f>
        <v>0.99783421228206048</v>
      </c>
      <c r="M36" s="408">
        <f>VLOOKUP($C$36,[1]!ACHIEV,MATCH(M$14,$E$14:$Y$14,0)+2,FALSE)</f>
        <v>0.99975874925530417</v>
      </c>
      <c r="N36" s="408">
        <f>VLOOKUP($C$36,[1]!ACHIEV,MATCH(N$14,$E$14:$Y$14,0)+2,FALSE)</f>
        <v>1.0004002615797187</v>
      </c>
      <c r="O36" s="408">
        <f>VLOOKUP($C$36,[1]!ACHIEV,MATCH(O$14,$E$14:$Y$14,0)+2,FALSE)</f>
        <v>1.0005976499872309</v>
      </c>
      <c r="P36" s="408">
        <f>VLOOKUP($C$36,[1]!ACHIEV,MATCH(P$14,$E$14:$Y$14,0)+2,FALSE)</f>
        <v>1.0006540466750915</v>
      </c>
      <c r="Q36" s="408">
        <f>VLOOKUP($C$36,[1]!ACHIEV,MATCH(Q$14,$E$14:$Y$14,0)+2,FALSE)</f>
        <v>1.0006690857918545</v>
      </c>
      <c r="R36" s="408">
        <f>VLOOKUP($C$36,[1]!ACHIEV,MATCH(R$14,$E$14:$Y$14,0)+2,FALSE)</f>
        <v>1.000672845571045</v>
      </c>
      <c r="S36" s="408">
        <f>VLOOKUP($C$36,[1]!ACHIEV,MATCH(S$14,$E$14:$Y$14,0)+2,FALSE)</f>
        <v>1.0006737302249724</v>
      </c>
      <c r="T36" s="408">
        <f>VLOOKUP($C$36,[1]!ACHIEV,MATCH(T$14,$E$14:$Y$14,0)+2,FALSE)</f>
        <v>1.0006739268147338</v>
      </c>
      <c r="U36" s="408">
        <f>VLOOKUP($C$36,[1]!ACHIEV,MATCH(U$14,$E$14:$Y$14,0)+2,FALSE)</f>
        <v>1.0006739682020522</v>
      </c>
      <c r="V36" s="408">
        <f>VLOOKUP($C$36,[1]!ACHIEV,MATCH(V$14,$E$14:$Y$14,0)+2,FALSE)</f>
        <v>1.0006739764795158</v>
      </c>
      <c r="W36" s="408">
        <f>VLOOKUP($C$36,[1]!ACHIEV,MATCH(W$14,$E$14:$Y$14,0)+2,FALSE)</f>
        <v>1.0006739780561755</v>
      </c>
      <c r="X36" s="408">
        <f>VLOOKUP($C$36,[1]!ACHIEV,MATCH(X$14,$E$14:$Y$14,0)+2,FALSE)</f>
        <v>1.0006739783428409</v>
      </c>
      <c r="Y36" s="409" t="s">
        <v>898</v>
      </c>
    </row>
    <row r="37" spans="1:27">
      <c r="A37" s="317"/>
      <c r="B37" s="246">
        <f>VLOOKUP(C37,WattClass,2,FALSE)</f>
        <v>0.54</v>
      </c>
      <c r="C37" s="34" t="s">
        <v>663</v>
      </c>
      <c r="E37" s="166">
        <f t="shared" ref="E37:X37" ca="1" si="11">E25*E$36*$Y$15</f>
        <v>1400.9200228763868</v>
      </c>
      <c r="F37" s="166">
        <f t="shared" ca="1" si="11"/>
        <v>2078.2703799039382</v>
      </c>
      <c r="G37" s="166">
        <f t="shared" ca="1" si="11"/>
        <v>2531.4640963488446</v>
      </c>
      <c r="H37" s="166">
        <f t="shared" ca="1" si="11"/>
        <v>2791.1169834175475</v>
      </c>
      <c r="I37" s="166">
        <f t="shared" ca="1" si="11"/>
        <v>2934.2028616421244</v>
      </c>
      <c r="J37" s="166">
        <f t="shared" ca="1" si="11"/>
        <v>2969.1653121892173</v>
      </c>
      <c r="K37" s="166">
        <f t="shared" ca="1" si="11"/>
        <v>2949.2587707469838</v>
      </c>
      <c r="L37" s="166">
        <f t="shared" ca="1" si="11"/>
        <v>2905.224860387938</v>
      </c>
      <c r="M37" s="166">
        <f t="shared" ca="1" si="11"/>
        <v>2854.2917001803339</v>
      </c>
      <c r="N37" s="166">
        <f t="shared" ca="1" si="11"/>
        <v>2807.9567570805038</v>
      </c>
      <c r="O37" s="166">
        <f t="shared" ca="1" si="11"/>
        <v>2769.4352271348662</v>
      </c>
      <c r="P37" s="166">
        <f t="shared" ca="1" si="11"/>
        <v>2740.2024118990444</v>
      </c>
      <c r="Q37" s="166">
        <f t="shared" ca="1" si="11"/>
        <v>2714.8950319460714</v>
      </c>
      <c r="R37" s="166">
        <f t="shared" ca="1" si="11"/>
        <v>2689.7260011321296</v>
      </c>
      <c r="S37" s="166">
        <f t="shared" ca="1" si="11"/>
        <v>2665.9489648872318</v>
      </c>
      <c r="T37" s="166">
        <f t="shared" ca="1" si="11"/>
        <v>2644.408340252035</v>
      </c>
      <c r="U37" s="166">
        <f t="shared" ca="1" si="11"/>
        <v>2625.1055708569988</v>
      </c>
      <c r="V37" s="166">
        <f t="shared" ca="1" si="11"/>
        <v>2607.7219965778022</v>
      </c>
      <c r="W37" s="166">
        <f t="shared" ca="1" si="11"/>
        <v>2592.0186143250671</v>
      </c>
      <c r="X37" s="166">
        <f t="shared" ca="1" si="11"/>
        <v>2581.1020515997589</v>
      </c>
      <c r="Y37" s="411">
        <f t="shared" ref="Y37:Y41" ca="1" si="12">SUM(E37:X37)</f>
        <v>52852.435955384819</v>
      </c>
    </row>
    <row r="38" spans="1:27">
      <c r="A38" s="317"/>
      <c r="B38" s="246">
        <f>VLOOKUP(C38,WattClass,2,FALSE)</f>
        <v>0.14000000000000001</v>
      </c>
      <c r="C38" s="34" t="s">
        <v>665</v>
      </c>
      <c r="E38" s="166">
        <f t="shared" ref="E38:X38" ca="1" si="13">E26*E$36*$Y$15</f>
        <v>363.2014874123966</v>
      </c>
      <c r="F38" s="166">
        <f t="shared" ca="1" si="13"/>
        <v>538.81083923435438</v>
      </c>
      <c r="G38" s="166">
        <f t="shared" ca="1" si="13"/>
        <v>656.30550646081156</v>
      </c>
      <c r="H38" s="166">
        <f t="shared" ca="1" si="13"/>
        <v>723.6229216267717</v>
      </c>
      <c r="I38" s="166">
        <f t="shared" ca="1" si="13"/>
        <v>760.71926042573602</v>
      </c>
      <c r="J38" s="166">
        <f t="shared" ca="1" si="13"/>
        <v>769.78359945646366</v>
      </c>
      <c r="K38" s="166">
        <f t="shared" ca="1" si="13"/>
        <v>764.62264426773663</v>
      </c>
      <c r="L38" s="166">
        <f t="shared" ca="1" si="13"/>
        <v>753.20644528576179</v>
      </c>
      <c r="M38" s="166">
        <f t="shared" ca="1" si="13"/>
        <v>740.00155189860516</v>
      </c>
      <c r="N38" s="166">
        <f t="shared" ca="1" si="13"/>
        <v>727.98878887272326</v>
      </c>
      <c r="O38" s="166">
        <f t="shared" ca="1" si="13"/>
        <v>718.00172555348388</v>
      </c>
      <c r="P38" s="166">
        <f t="shared" ca="1" si="13"/>
        <v>710.42284752938167</v>
      </c>
      <c r="Q38" s="166">
        <f t="shared" ca="1" si="13"/>
        <v>703.86167494898154</v>
      </c>
      <c r="R38" s="166">
        <f t="shared" ca="1" si="13"/>
        <v>697.33637066388553</v>
      </c>
      <c r="S38" s="166">
        <f t="shared" ca="1" si="13"/>
        <v>691.17195385965283</v>
      </c>
      <c r="T38" s="166">
        <f t="shared" ca="1" si="13"/>
        <v>685.58734747274991</v>
      </c>
      <c r="U38" s="166">
        <f t="shared" ca="1" si="13"/>
        <v>680.58292577774046</v>
      </c>
      <c r="V38" s="166">
        <f t="shared" ca="1" si="13"/>
        <v>676.07607318683768</v>
      </c>
      <c r="W38" s="166">
        <f t="shared" ca="1" si="13"/>
        <v>672.00482593612855</v>
      </c>
      <c r="X38" s="166">
        <f t="shared" ca="1" si="13"/>
        <v>669.17460597030788</v>
      </c>
      <c r="Y38" s="411">
        <f t="shared" ca="1" si="12"/>
        <v>13702.483395840511</v>
      </c>
    </row>
    <row r="39" spans="1:27">
      <c r="A39" s="317"/>
      <c r="B39" s="246">
        <f>VLOOKUP(C39,WattClass,2,FALSE)</f>
        <v>0.13100000000000001</v>
      </c>
      <c r="C39" s="34" t="s">
        <v>664</v>
      </c>
      <c r="E39" s="166">
        <f t="shared" ref="E39:X39" ca="1" si="14">E27*E$36*$Y$15</f>
        <v>339.85282036445676</v>
      </c>
      <c r="F39" s="166">
        <f t="shared" ca="1" si="14"/>
        <v>504.17299956928855</v>
      </c>
      <c r="G39" s="166">
        <f t="shared" ca="1" si="14"/>
        <v>614.11443818833072</v>
      </c>
      <c r="H39" s="166">
        <f t="shared" ca="1" si="14"/>
        <v>677.10430523647915</v>
      </c>
      <c r="I39" s="166">
        <f t="shared" ca="1" si="14"/>
        <v>711.8158793983672</v>
      </c>
      <c r="J39" s="166">
        <f t="shared" ca="1" si="14"/>
        <v>720.29751091997673</v>
      </c>
      <c r="K39" s="166">
        <f t="shared" ca="1" si="14"/>
        <v>715.46833142195351</v>
      </c>
      <c r="L39" s="166">
        <f t="shared" ca="1" si="14"/>
        <v>704.78603094596269</v>
      </c>
      <c r="M39" s="166">
        <f t="shared" ca="1" si="14"/>
        <v>692.43002356226623</v>
      </c>
      <c r="N39" s="166">
        <f t="shared" ca="1" si="14"/>
        <v>681.18950958804817</v>
      </c>
      <c r="O39" s="166">
        <f t="shared" ca="1" si="14"/>
        <v>671.84447176790275</v>
      </c>
      <c r="P39" s="166">
        <f t="shared" ca="1" si="14"/>
        <v>664.75280733106445</v>
      </c>
      <c r="Q39" s="166">
        <f t="shared" ca="1" si="14"/>
        <v>658.61342441654699</v>
      </c>
      <c r="R39" s="166">
        <f t="shared" ca="1" si="14"/>
        <v>652.50760397834995</v>
      </c>
      <c r="S39" s="166">
        <f t="shared" ca="1" si="14"/>
        <v>646.73947111153223</v>
      </c>
      <c r="T39" s="166">
        <f t="shared" ca="1" si="14"/>
        <v>641.51387513521593</v>
      </c>
      <c r="U39" s="166">
        <f t="shared" ca="1" si="14"/>
        <v>636.83116626345702</v>
      </c>
      <c r="V39" s="166">
        <f t="shared" ca="1" si="14"/>
        <v>632.61403991054078</v>
      </c>
      <c r="W39" s="166">
        <f t="shared" ca="1" si="14"/>
        <v>628.80451569737738</v>
      </c>
      <c r="X39" s="166">
        <f t="shared" ca="1" si="14"/>
        <v>626.15623844364529</v>
      </c>
      <c r="Y39" s="411">
        <f t="shared" ca="1" si="12"/>
        <v>12821.609463250761</v>
      </c>
    </row>
    <row r="40" spans="1:27">
      <c r="A40" s="317"/>
      <c r="B40" s="246">
        <f>VLOOKUP(C40,WattClass,2,FALSE)</f>
        <v>0.17499999999999999</v>
      </c>
      <c r="C40" s="34" t="s">
        <v>666</v>
      </c>
      <c r="E40" s="166">
        <f t="shared" ref="E40:X40" ca="1" si="15">E28*E$36*$Y$15</f>
        <v>454.00185926549568</v>
      </c>
      <c r="F40" s="166">
        <f t="shared" ca="1" si="15"/>
        <v>673.51354904294271</v>
      </c>
      <c r="G40" s="166">
        <f t="shared" ca="1" si="15"/>
        <v>820.38188307601433</v>
      </c>
      <c r="H40" s="166">
        <f t="shared" ca="1" si="15"/>
        <v>904.52865203346437</v>
      </c>
      <c r="I40" s="166">
        <f t="shared" ca="1" si="15"/>
        <v>950.89907553216983</v>
      </c>
      <c r="J40" s="166">
        <f t="shared" ca="1" si="15"/>
        <v>962.22949932057941</v>
      </c>
      <c r="K40" s="166">
        <f t="shared" ca="1" si="15"/>
        <v>955.77830533467056</v>
      </c>
      <c r="L40" s="166">
        <f t="shared" ca="1" si="15"/>
        <v>941.50805660720198</v>
      </c>
      <c r="M40" s="166">
        <f t="shared" ca="1" si="15"/>
        <v>925.00193987325645</v>
      </c>
      <c r="N40" s="166">
        <f t="shared" ca="1" si="15"/>
        <v>909.98598609090391</v>
      </c>
      <c r="O40" s="166">
        <f t="shared" ca="1" si="15"/>
        <v>897.50215694185465</v>
      </c>
      <c r="P40" s="166">
        <f t="shared" ca="1" si="15"/>
        <v>888.02855941172697</v>
      </c>
      <c r="Q40" s="166">
        <f t="shared" ca="1" si="15"/>
        <v>879.8270936862267</v>
      </c>
      <c r="R40" s="166">
        <f t="shared" ca="1" si="15"/>
        <v>871.67046332985672</v>
      </c>
      <c r="S40" s="166">
        <f t="shared" ca="1" si="15"/>
        <v>863.96494232456587</v>
      </c>
      <c r="T40" s="166">
        <f t="shared" ca="1" si="15"/>
        <v>856.9841843409373</v>
      </c>
      <c r="U40" s="166">
        <f t="shared" ca="1" si="15"/>
        <v>850.72865722217546</v>
      </c>
      <c r="V40" s="166">
        <f t="shared" ca="1" si="15"/>
        <v>845.09509148354687</v>
      </c>
      <c r="W40" s="166">
        <f t="shared" ca="1" si="15"/>
        <v>840.00603242016052</v>
      </c>
      <c r="X40" s="166">
        <f t="shared" ca="1" si="15"/>
        <v>836.46825746288482</v>
      </c>
      <c r="Y40" s="411">
        <f t="shared" ca="1" si="12"/>
        <v>17128.104244800634</v>
      </c>
    </row>
    <row r="41" spans="1:27">
      <c r="A41" s="317"/>
      <c r="B41" s="246">
        <f>VLOOKUP(C41,WattClass,2,FALSE)</f>
        <v>1.4E-2</v>
      </c>
      <c r="C41" s="34" t="s">
        <v>667</v>
      </c>
      <c r="E41" s="166">
        <f t="shared" ref="E41:X41" ca="1" si="16">E29*E$36*$Y$15</f>
        <v>36.320148741239656</v>
      </c>
      <c r="F41" s="166">
        <f t="shared" ca="1" si="16"/>
        <v>53.881083923435426</v>
      </c>
      <c r="G41" s="166">
        <f t="shared" ca="1" si="16"/>
        <v>65.630550646081161</v>
      </c>
      <c r="H41" s="166">
        <f t="shared" ca="1" si="16"/>
        <v>72.362292162677164</v>
      </c>
      <c r="I41" s="166">
        <f t="shared" ca="1" si="16"/>
        <v>76.071926042573594</v>
      </c>
      <c r="J41" s="166">
        <f t="shared" ca="1" si="16"/>
        <v>76.978359945646361</v>
      </c>
      <c r="K41" s="166">
        <f t="shared" ca="1" si="16"/>
        <v>76.462264426773658</v>
      </c>
      <c r="L41" s="166">
        <f t="shared" ca="1" si="16"/>
        <v>75.320644528576153</v>
      </c>
      <c r="M41" s="166">
        <f t="shared" ca="1" si="16"/>
        <v>74.000155189860507</v>
      </c>
      <c r="N41" s="166">
        <f t="shared" ca="1" si="16"/>
        <v>72.798878887272323</v>
      </c>
      <c r="O41" s="166">
        <f t="shared" ca="1" si="16"/>
        <v>71.800172555348382</v>
      </c>
      <c r="P41" s="166">
        <f t="shared" ca="1" si="16"/>
        <v>71.042284752938173</v>
      </c>
      <c r="Q41" s="166">
        <f t="shared" ca="1" si="16"/>
        <v>70.386167494898132</v>
      </c>
      <c r="R41" s="166">
        <f t="shared" ca="1" si="16"/>
        <v>69.733637066388539</v>
      </c>
      <c r="S41" s="166">
        <f t="shared" ca="1" si="16"/>
        <v>69.117195385965275</v>
      </c>
      <c r="T41" s="166">
        <f t="shared" ca="1" si="16"/>
        <v>68.558734747274983</v>
      </c>
      <c r="U41" s="166">
        <f t="shared" ca="1" si="16"/>
        <v>68.05829257777404</v>
      </c>
      <c r="V41" s="166">
        <f t="shared" ca="1" si="16"/>
        <v>67.607607318683748</v>
      </c>
      <c r="W41" s="166">
        <f t="shared" ca="1" si="16"/>
        <v>67.200482593612847</v>
      </c>
      <c r="X41" s="166">
        <f t="shared" ca="1" si="16"/>
        <v>66.917460597030797</v>
      </c>
      <c r="Y41" s="411">
        <f t="shared" ca="1" si="12"/>
        <v>1370.2483395840507</v>
      </c>
    </row>
    <row r="42" spans="1:27">
      <c r="E42" s="166"/>
      <c r="F42" s="166"/>
      <c r="G42" s="166"/>
      <c r="H42" s="166"/>
      <c r="I42" s="166"/>
      <c r="J42" s="166"/>
      <c r="K42" s="166"/>
      <c r="L42" s="166"/>
      <c r="M42" s="166"/>
      <c r="N42" s="166"/>
      <c r="O42" s="166"/>
      <c r="P42" s="166"/>
      <c r="Q42" s="166"/>
      <c r="R42" s="166"/>
      <c r="S42" s="166"/>
      <c r="T42" s="166"/>
      <c r="U42" s="166"/>
      <c r="V42" s="166"/>
      <c r="W42" s="166"/>
      <c r="X42" s="166"/>
      <c r="Y42" s="166"/>
    </row>
    <row r="43" spans="1:27">
      <c r="C43" s="106" t="s">
        <v>896</v>
      </c>
      <c r="E43" s="166">
        <f ca="1">SUM(E37:E41)</f>
        <v>2594.2963386599754</v>
      </c>
      <c r="F43" s="166">
        <f t="shared" ref="F43:X43" ca="1" si="17">SUM(F37:F41)</f>
        <v>3848.6488516739591</v>
      </c>
      <c r="G43" s="166">
        <f t="shared" ca="1" si="17"/>
        <v>4687.8964747200826</v>
      </c>
      <c r="H43" s="166">
        <f t="shared" ca="1" si="17"/>
        <v>5168.7351544769408</v>
      </c>
      <c r="I43" s="166">
        <f t="shared" ca="1" si="17"/>
        <v>5433.7090030409718</v>
      </c>
      <c r="J43" s="166">
        <f t="shared" ca="1" si="17"/>
        <v>5498.4542818318832</v>
      </c>
      <c r="K43" s="166">
        <f t="shared" ca="1" si="17"/>
        <v>5461.5903161981178</v>
      </c>
      <c r="L43" s="166">
        <f t="shared" ca="1" si="17"/>
        <v>5380.04603775544</v>
      </c>
      <c r="M43" s="166">
        <f t="shared" ca="1" si="17"/>
        <v>5285.7253707043219</v>
      </c>
      <c r="N43" s="166">
        <f t="shared" ca="1" si="17"/>
        <v>5199.9199205194518</v>
      </c>
      <c r="O43" s="166">
        <f t="shared" ca="1" si="17"/>
        <v>5128.5837539534568</v>
      </c>
      <c r="P43" s="166">
        <f t="shared" ca="1" si="17"/>
        <v>5074.4489109241549</v>
      </c>
      <c r="Q43" s="166">
        <f t="shared" ca="1" si="17"/>
        <v>5027.5833924927247</v>
      </c>
      <c r="R43" s="166">
        <f t="shared" ca="1" si="17"/>
        <v>4980.9740761706107</v>
      </c>
      <c r="S43" s="166">
        <f t="shared" ca="1" si="17"/>
        <v>4936.9425275689482</v>
      </c>
      <c r="T43" s="166">
        <f t="shared" ca="1" si="17"/>
        <v>4897.0524819482134</v>
      </c>
      <c r="U43" s="166">
        <f t="shared" ca="1" si="17"/>
        <v>4861.3066126981457</v>
      </c>
      <c r="V43" s="166">
        <f t="shared" ca="1" si="17"/>
        <v>4829.1148084774113</v>
      </c>
      <c r="W43" s="166">
        <f t="shared" ca="1" si="17"/>
        <v>4800.0344709723468</v>
      </c>
      <c r="X43" s="166">
        <f t="shared" ca="1" si="17"/>
        <v>4779.8186140736279</v>
      </c>
      <c r="Y43" s="411">
        <f ca="1">SUM(E43:X43)</f>
        <v>97874.881398860758</v>
      </c>
      <c r="AA43" s="11" t="s">
        <v>973</v>
      </c>
    </row>
    <row r="45" spans="1:27" ht="15">
      <c r="A45" s="333" t="s">
        <v>681</v>
      </c>
      <c r="D45" s="421" t="s">
        <v>37</v>
      </c>
      <c r="E45" s="11" t="s">
        <v>172</v>
      </c>
    </row>
    <row r="46" spans="1:27" ht="15">
      <c r="A46" s="405"/>
      <c r="B46" s="405" t="s">
        <v>372</v>
      </c>
      <c r="C46" s="405"/>
      <c r="D46" s="405">
        <v>1</v>
      </c>
      <c r="E46" s="406">
        <f>E14</f>
        <v>2016</v>
      </c>
      <c r="F46" s="406">
        <f t="shared" ref="F46:X46" si="18">F14</f>
        <v>2017</v>
      </c>
      <c r="G46" s="406">
        <f t="shared" si="18"/>
        <v>2018</v>
      </c>
      <c r="H46" s="406">
        <f t="shared" si="18"/>
        <v>2019</v>
      </c>
      <c r="I46" s="406">
        <f t="shared" si="18"/>
        <v>2020</v>
      </c>
      <c r="J46" s="406">
        <f t="shared" si="18"/>
        <v>2021</v>
      </c>
      <c r="K46" s="406">
        <f t="shared" si="18"/>
        <v>2022</v>
      </c>
      <c r="L46" s="406">
        <f t="shared" si="18"/>
        <v>2023</v>
      </c>
      <c r="M46" s="406">
        <f t="shared" si="18"/>
        <v>2024</v>
      </c>
      <c r="N46" s="406">
        <f t="shared" si="18"/>
        <v>2025</v>
      </c>
      <c r="O46" s="406">
        <f t="shared" si="18"/>
        <v>2026</v>
      </c>
      <c r="P46" s="406">
        <f t="shared" si="18"/>
        <v>2027</v>
      </c>
      <c r="Q46" s="406">
        <f t="shared" si="18"/>
        <v>2028</v>
      </c>
      <c r="R46" s="406">
        <f t="shared" si="18"/>
        <v>2029</v>
      </c>
      <c r="S46" s="406">
        <f t="shared" si="18"/>
        <v>2030</v>
      </c>
      <c r="T46" s="406">
        <f t="shared" si="18"/>
        <v>2031</v>
      </c>
      <c r="U46" s="406">
        <f t="shared" si="18"/>
        <v>2032</v>
      </c>
      <c r="V46" s="406">
        <f t="shared" si="18"/>
        <v>2033</v>
      </c>
      <c r="W46" s="406">
        <f t="shared" si="18"/>
        <v>2034</v>
      </c>
      <c r="X46" s="406">
        <f t="shared" si="18"/>
        <v>2035</v>
      </c>
      <c r="Y46" s="412" t="s">
        <v>968</v>
      </c>
    </row>
    <row r="47" spans="1:27" ht="15">
      <c r="A47" s="405" t="s">
        <v>662</v>
      </c>
      <c r="B47" s="405" t="s">
        <v>682</v>
      </c>
      <c r="C47" s="405" t="s">
        <v>993</v>
      </c>
      <c r="D47" s="405" t="s">
        <v>994</v>
      </c>
      <c r="E47" s="407" t="str">
        <f>CONCATENATE("aMW_",E$14)</f>
        <v>aMW_2016</v>
      </c>
      <c r="F47" s="407" t="str">
        <f t="shared" ref="F47:X47" si="19">CONCATENATE("aMW_",F$14)</f>
        <v>aMW_2017</v>
      </c>
      <c r="G47" s="407" t="str">
        <f t="shared" si="19"/>
        <v>aMW_2018</v>
      </c>
      <c r="H47" s="407" t="str">
        <f t="shared" si="19"/>
        <v>aMW_2019</v>
      </c>
      <c r="I47" s="407" t="str">
        <f t="shared" si="19"/>
        <v>aMW_2020</v>
      </c>
      <c r="J47" s="407" t="str">
        <f t="shared" si="19"/>
        <v>aMW_2021</v>
      </c>
      <c r="K47" s="407" t="str">
        <f t="shared" si="19"/>
        <v>aMW_2022</v>
      </c>
      <c r="L47" s="407" t="str">
        <f t="shared" si="19"/>
        <v>aMW_2023</v>
      </c>
      <c r="M47" s="407" t="str">
        <f t="shared" si="19"/>
        <v>aMW_2024</v>
      </c>
      <c r="N47" s="407" t="str">
        <f t="shared" si="19"/>
        <v>aMW_2025</v>
      </c>
      <c r="O47" s="407" t="str">
        <f t="shared" si="19"/>
        <v>aMW_2026</v>
      </c>
      <c r="P47" s="407" t="str">
        <f t="shared" si="19"/>
        <v>aMW_2027</v>
      </c>
      <c r="Q47" s="407" t="str">
        <f t="shared" si="19"/>
        <v>aMW_2028</v>
      </c>
      <c r="R47" s="407" t="str">
        <f t="shared" si="19"/>
        <v>aMW_2029</v>
      </c>
      <c r="S47" s="407" t="str">
        <f t="shared" si="19"/>
        <v>aMW_2030</v>
      </c>
      <c r="T47" s="407" t="str">
        <f t="shared" si="19"/>
        <v>aMW_2031</v>
      </c>
      <c r="U47" s="407" t="str">
        <f t="shared" si="19"/>
        <v>aMW_2032</v>
      </c>
      <c r="V47" s="407" t="str">
        <f t="shared" si="19"/>
        <v>aMW_2033</v>
      </c>
      <c r="W47" s="407" t="str">
        <f t="shared" si="19"/>
        <v>aMW_2034</v>
      </c>
      <c r="X47" s="407" t="str">
        <f t="shared" si="19"/>
        <v>aMW_2035</v>
      </c>
      <c r="Y47" s="413" t="s">
        <v>968</v>
      </c>
    </row>
    <row r="48" spans="1:27">
      <c r="A48" s="430">
        <f>VLOOKUP(C48,M_Input_Out!$A$1:$AM$3999,3,FALSE)</f>
        <v>327.31145340319665</v>
      </c>
      <c r="B48" s="431">
        <f>VLOOKUP(C48,M_Input_Out!$A$1:$AM$3999,11,FALSE)</f>
        <v>-119.07831740351027</v>
      </c>
      <c r="C48" s="11" t="str">
        <f>C37</f>
        <v>Streetlight - HPS 100W - New</v>
      </c>
      <c r="D48" s="11" t="str">
        <f t="shared" ref="D48:D52" si="20">C25</f>
        <v>Streetlight - HPS 100W - New</v>
      </c>
      <c r="E48" s="170">
        <f t="shared" ref="E48:X48" ca="1" si="21">E37*$D$46*$A48/8760/1000</f>
        <v>5.2344425660880101E-2</v>
      </c>
      <c r="F48" s="170">
        <f t="shared" ca="1" si="21"/>
        <v>7.7653161941914572E-2</v>
      </c>
      <c r="G48" s="170">
        <f t="shared" ca="1" si="21"/>
        <v>9.4586437513008007E-2</v>
      </c>
      <c r="H48" s="170">
        <f t="shared" ca="1" si="21"/>
        <v>0.10428819137679721</v>
      </c>
      <c r="I48" s="170">
        <f t="shared" ca="1" si="21"/>
        <v>0.10963449808492039</v>
      </c>
      <c r="J48" s="170">
        <f t="shared" ca="1" si="21"/>
        <v>0.11094084631586859</v>
      </c>
      <c r="K48" s="170">
        <f t="shared" ca="1" si="21"/>
        <v>0.11019705190814161</v>
      </c>
      <c r="L48" s="170">
        <f t="shared" ca="1" si="21"/>
        <v>0.10855175473934647</v>
      </c>
      <c r="M48" s="170">
        <f t="shared" ca="1" si="21"/>
        <v>0.10664867178341396</v>
      </c>
      <c r="N48" s="170">
        <f t="shared" ca="1" si="21"/>
        <v>0.10491739808828157</v>
      </c>
      <c r="O48" s="170">
        <f t="shared" ca="1" si="21"/>
        <v>0.10347806727163528</v>
      </c>
      <c r="P48" s="170">
        <f t="shared" ca="1" si="21"/>
        <v>0.10238580297461428</v>
      </c>
      <c r="Q48" s="170">
        <f t="shared" ca="1" si="21"/>
        <v>0.10144020990221309</v>
      </c>
      <c r="R48" s="170">
        <f t="shared" ca="1" si="21"/>
        <v>0.10049978615147552</v>
      </c>
      <c r="S48" s="170">
        <f t="shared" ca="1" si="21"/>
        <v>9.9611373332875286E-2</v>
      </c>
      <c r="T48" s="170">
        <f t="shared" ca="1" si="21"/>
        <v>9.8806522515916512E-2</v>
      </c>
      <c r="U48" s="170">
        <f t="shared" ca="1" si="21"/>
        <v>9.8085287640871294E-2</v>
      </c>
      <c r="V48" s="170">
        <f t="shared" ca="1" si="21"/>
        <v>9.7435762188512132E-2</v>
      </c>
      <c r="W48" s="170">
        <f t="shared" ca="1" si="21"/>
        <v>9.6849015970648128E-2</v>
      </c>
      <c r="X48" s="170">
        <f t="shared" ca="1" si="21"/>
        <v>9.6441126014964587E-2</v>
      </c>
      <c r="Y48" s="414">
        <f ca="1">SUM(E48:X48)</f>
        <v>1.9747953913762988</v>
      </c>
      <c r="AA48" s="266"/>
    </row>
    <row r="49" spans="1:27">
      <c r="A49" s="430">
        <f>VLOOKUP(C49,M_Input_Out!$A$1:$AM$3999,3,FALSE)</f>
        <v>714.55317292247162</v>
      </c>
      <c r="B49" s="431">
        <f>VLOOKUP(C49,M_Input_Out!$A$1:$AM$3999,11,FALSE)</f>
        <v>-60.021736881709074</v>
      </c>
      <c r="C49" s="11" t="str">
        <f>C38</f>
        <v>Streetlight - HPS 250W - New</v>
      </c>
      <c r="D49" s="11" t="str">
        <f t="shared" si="20"/>
        <v>Streetlight - HPS 250W - New</v>
      </c>
      <c r="E49" s="170">
        <f t="shared" ref="E49:X49" ca="1" si="22">E38*$D$46*$A49/8760/1000</f>
        <v>2.9626344205558118E-2</v>
      </c>
      <c r="F49" s="170">
        <f t="shared" ca="1" si="22"/>
        <v>4.3950798490859318E-2</v>
      </c>
      <c r="G49" s="170">
        <f t="shared" ca="1" si="22"/>
        <v>5.3534838133340479E-2</v>
      </c>
      <c r="H49" s="170">
        <f t="shared" ca="1" si="22"/>
        <v>5.9025919480346883E-2</v>
      </c>
      <c r="I49" s="170">
        <f t="shared" ca="1" si="22"/>
        <v>6.2051867721512062E-2</v>
      </c>
      <c r="J49" s="170">
        <f t="shared" ca="1" si="22"/>
        <v>6.2791245828230272E-2</v>
      </c>
      <c r="K49" s="170">
        <f t="shared" ca="1" si="22"/>
        <v>6.2370266729438531E-2</v>
      </c>
      <c r="L49" s="170">
        <f t="shared" ca="1" si="22"/>
        <v>6.1439047413766795E-2</v>
      </c>
      <c r="M49" s="170">
        <f t="shared" ca="1" si="22"/>
        <v>6.0361924300993304E-2</v>
      </c>
      <c r="N49" s="170">
        <f t="shared" ca="1" si="22"/>
        <v>5.9382043258104075E-2</v>
      </c>
      <c r="O49" s="170">
        <f t="shared" ca="1" si="22"/>
        <v>5.8567398534024151E-2</v>
      </c>
      <c r="P49" s="170">
        <f t="shared" ca="1" si="22"/>
        <v>5.7949189477024765E-2</v>
      </c>
      <c r="Q49" s="170">
        <f t="shared" ca="1" si="22"/>
        <v>5.741399464992239E-2</v>
      </c>
      <c r="R49" s="170">
        <f t="shared" ca="1" si="22"/>
        <v>5.6881725599557093E-2</v>
      </c>
      <c r="S49" s="170">
        <f t="shared" ca="1" si="22"/>
        <v>5.6378894139890307E-2</v>
      </c>
      <c r="T49" s="170">
        <f t="shared" ca="1" si="22"/>
        <v>5.5923357814172889E-2</v>
      </c>
      <c r="U49" s="170">
        <f t="shared" ca="1" si="22"/>
        <v>5.5515147151979839E-2</v>
      </c>
      <c r="V49" s="170">
        <f t="shared" ca="1" si="22"/>
        <v>5.5147523200070776E-2</v>
      </c>
      <c r="W49" s="170">
        <f t="shared" ca="1" si="22"/>
        <v>5.4815431574414826E-2</v>
      </c>
      <c r="X49" s="170">
        <f t="shared" ca="1" si="22"/>
        <v>5.4584570540551165E-2</v>
      </c>
      <c r="Y49" s="414">
        <f t="shared" ref="Y49:Y52" ca="1" si="23">SUM(E49:X49)</f>
        <v>1.117711528243758</v>
      </c>
      <c r="AA49" s="266"/>
    </row>
    <row r="50" spans="1:27">
      <c r="A50" s="430">
        <f>VLOOKUP(C50,M_Input_Out!$A$1:$AM$3999,3,FALSE)</f>
        <v>424.12188328301545</v>
      </c>
      <c r="B50" s="431">
        <f>VLOOKUP(C50,M_Input_Out!$A$1:$AM$3999,11,FALSE)</f>
        <v>-92.048554693123435</v>
      </c>
      <c r="C50" s="11" t="str">
        <f>C39</f>
        <v>Streetlight - MH 200W  - New</v>
      </c>
      <c r="D50" s="11" t="str">
        <f t="shared" si="20"/>
        <v>Streetlight - MH 200W  - New</v>
      </c>
      <c r="E50" s="170">
        <f t="shared" ref="E50:X50" ca="1" si="24">E39*$D$46*$A50/8760/1000</f>
        <v>1.6454225823289696E-2</v>
      </c>
      <c r="F50" s="170">
        <f t="shared" ca="1" si="24"/>
        <v>2.4409908912987856E-2</v>
      </c>
      <c r="G50" s="170">
        <f t="shared" ca="1" si="24"/>
        <v>2.9732805031475549E-2</v>
      </c>
      <c r="H50" s="170">
        <f t="shared" ca="1" si="24"/>
        <v>3.2782506063462703E-2</v>
      </c>
      <c r="I50" s="170">
        <f t="shared" ca="1" si="24"/>
        <v>3.4463092616574348E-2</v>
      </c>
      <c r="J50" s="170">
        <f t="shared" ca="1" si="24"/>
        <v>3.4873737083955351E-2</v>
      </c>
      <c r="K50" s="170">
        <f t="shared" ca="1" si="24"/>
        <v>3.4639928784478947E-2</v>
      </c>
      <c r="L50" s="170">
        <f t="shared" ca="1" si="24"/>
        <v>3.4122737300954713E-2</v>
      </c>
      <c r="M50" s="170">
        <f t="shared" ca="1" si="24"/>
        <v>3.3524512058782097E-2</v>
      </c>
      <c r="N50" s="170">
        <f t="shared" ca="1" si="24"/>
        <v>3.2980294255606932E-2</v>
      </c>
      <c r="O50" s="170">
        <f t="shared" ca="1" si="24"/>
        <v>3.2527847333274615E-2</v>
      </c>
      <c r="P50" s="170">
        <f t="shared" ca="1" si="24"/>
        <v>3.2184499151018557E-2</v>
      </c>
      <c r="Q50" s="170">
        <f t="shared" ca="1" si="24"/>
        <v>3.188725638344999E-2</v>
      </c>
      <c r="R50" s="170">
        <f t="shared" ca="1" si="24"/>
        <v>3.159163856801208E-2</v>
      </c>
      <c r="S50" s="170">
        <f t="shared" ca="1" si="24"/>
        <v>3.1312370146265346E-2</v>
      </c>
      <c r="T50" s="170">
        <f t="shared" ca="1" si="24"/>
        <v>3.1059369049604223E-2</v>
      </c>
      <c r="U50" s="170">
        <f t="shared" ca="1" si="24"/>
        <v>3.0832652233901428E-2</v>
      </c>
      <c r="V50" s="170">
        <f t="shared" ca="1" si="24"/>
        <v>3.0628476940426398E-2</v>
      </c>
      <c r="W50" s="170">
        <f t="shared" ca="1" si="24"/>
        <v>3.0444036006214172E-2</v>
      </c>
      <c r="X50" s="170">
        <f t="shared" ca="1" si="24"/>
        <v>3.0315817702982622E-2</v>
      </c>
      <c r="Y50" s="414">
        <f t="shared" ca="1" si="23"/>
        <v>0.62076771144671761</v>
      </c>
      <c r="AA50" s="266"/>
    </row>
    <row r="51" spans="1:27">
      <c r="A51" s="430">
        <f>VLOOKUP(C51,M_Input_Out!$A$1:$AM$3999,3,FALSE)</f>
        <v>1235.4854860853059</v>
      </c>
      <c r="B51" s="431">
        <f>VLOOKUP(C51,M_Input_Out!$A$1:$AM$3999,11,FALSE)</f>
        <v>-26.299688202993423</v>
      </c>
      <c r="C51" s="11" t="str">
        <f>C40</f>
        <v>Streetlight - MH 400W  - New</v>
      </c>
      <c r="D51" s="11" t="str">
        <f t="shared" si="20"/>
        <v>Streetlight - MH 400W  - New</v>
      </c>
      <c r="E51" s="170">
        <f t="shared" ref="E51:X51" ca="1" si="25">E40*$D$46*$A51/8760/1000</f>
        <v>6.4031131024915935E-2</v>
      </c>
      <c r="F51" s="170">
        <f t="shared" ca="1" si="25"/>
        <v>9.4990435447986257E-2</v>
      </c>
      <c r="G51" s="170">
        <f t="shared" ca="1" si="25"/>
        <v>0.11570432757851006</v>
      </c>
      <c r="H51" s="170">
        <f t="shared" ca="1" si="25"/>
        <v>0.12757214855429808</v>
      </c>
      <c r="I51" s="170">
        <f t="shared" ca="1" si="25"/>
        <v>0.13411210120455833</v>
      </c>
      <c r="J51" s="170">
        <f t="shared" ca="1" si="25"/>
        <v>0.13571011195133639</v>
      </c>
      <c r="K51" s="170">
        <f t="shared" ca="1" si="25"/>
        <v>0.13480025389910907</v>
      </c>
      <c r="L51" s="170">
        <f t="shared" ca="1" si="25"/>
        <v>0.13278761860394755</v>
      </c>
      <c r="M51" s="170">
        <f t="shared" ca="1" si="25"/>
        <v>0.13045964284408232</v>
      </c>
      <c r="N51" s="170">
        <f t="shared" ca="1" si="25"/>
        <v>0.12834183542880556</v>
      </c>
      <c r="O51" s="170">
        <f t="shared" ca="1" si="25"/>
        <v>0.12658115167031025</v>
      </c>
      <c r="P51" s="170">
        <f t="shared" ca="1" si="25"/>
        <v>0.12524502241808577</v>
      </c>
      <c r="Q51" s="170">
        <f t="shared" ca="1" si="25"/>
        <v>0.12408831101757417</v>
      </c>
      <c r="R51" s="170">
        <f t="shared" ca="1" si="25"/>
        <v>0.12293792307001047</v>
      </c>
      <c r="S51" s="170">
        <f t="shared" ca="1" si="25"/>
        <v>0.12185115830234357</v>
      </c>
      <c r="T51" s="170">
        <f t="shared" ca="1" si="25"/>
        <v>0.12086661204998655</v>
      </c>
      <c r="U51" s="170">
        <f t="shared" ca="1" si="25"/>
        <v>0.1199843502962145</v>
      </c>
      <c r="V51" s="170">
        <f t="shared" ca="1" si="25"/>
        <v>0.11918980820660455</v>
      </c>
      <c r="W51" s="170">
        <f t="shared" ca="1" si="25"/>
        <v>0.1184720617898643</v>
      </c>
      <c r="X51" s="170">
        <f t="shared" ca="1" si="25"/>
        <v>0.11797310407151382</v>
      </c>
      <c r="Y51" s="414">
        <f t="shared" ca="1" si="23"/>
        <v>2.4156991094300579</v>
      </c>
      <c r="AA51" s="266"/>
    </row>
    <row r="52" spans="1:27">
      <c r="A52" s="430">
        <f>VLOOKUP(C52,M_Input_Out!$A$1:$AM$3999,3,FALSE)</f>
        <v>3130.2038994474719</v>
      </c>
      <c r="B52" s="431">
        <f>VLOOKUP(C52,M_Input_Out!$A$1:$AM$3999,11,FALSE)</f>
        <v>-1.273422282914503</v>
      </c>
      <c r="C52" s="11" t="str">
        <f>C41</f>
        <v>Streetlight - MH 1000W - New</v>
      </c>
      <c r="D52" s="11" t="str">
        <f t="shared" si="20"/>
        <v>Streetlight - MH 1000W - New</v>
      </c>
      <c r="E52" s="170">
        <f t="shared" ref="E52:X52" ca="1" si="26">E41*$D$46*$A52/8760/1000</f>
        <v>1.2978250139079973E-2</v>
      </c>
      <c r="F52" s="170">
        <f t="shared" ca="1" si="26"/>
        <v>1.9253285274382886E-2</v>
      </c>
      <c r="G52" s="170">
        <f t="shared" ca="1" si="26"/>
        <v>2.3451712962927862E-2</v>
      </c>
      <c r="H52" s="170">
        <f t="shared" ca="1" si="26"/>
        <v>2.5857160856229369E-2</v>
      </c>
      <c r="I52" s="170">
        <f t="shared" ca="1" si="26"/>
        <v>2.7182721408326886E-2</v>
      </c>
      <c r="J52" s="170">
        <f t="shared" ca="1" si="26"/>
        <v>2.7506616720882799E-2</v>
      </c>
      <c r="K52" s="170">
        <f t="shared" ca="1" si="26"/>
        <v>2.7322200715670163E-2</v>
      </c>
      <c r="L52" s="170">
        <f t="shared" ca="1" si="26"/>
        <v>2.6914266576740408E-2</v>
      </c>
      <c r="M52" s="170">
        <f t="shared" ca="1" si="26"/>
        <v>2.6442417161531895E-2</v>
      </c>
      <c r="N52" s="170">
        <f t="shared" ca="1" si="26"/>
        <v>2.6013166046614619E-2</v>
      </c>
      <c r="O52" s="170">
        <f t="shared" ca="1" si="26"/>
        <v>2.5656299099743478E-2</v>
      </c>
      <c r="P52" s="170">
        <f t="shared" ca="1" si="26"/>
        <v>2.5385483648322459E-2</v>
      </c>
      <c r="Q52" s="170">
        <f t="shared" ca="1" si="26"/>
        <v>2.5151033785353084E-2</v>
      </c>
      <c r="R52" s="170">
        <f t="shared" ca="1" si="26"/>
        <v>2.4917865601354356E-2</v>
      </c>
      <c r="S52" s="170">
        <f t="shared" ca="1" si="26"/>
        <v>2.4697592981280974E-2</v>
      </c>
      <c r="T52" s="170">
        <f t="shared" ca="1" si="26"/>
        <v>2.4498038681176375E-2</v>
      </c>
      <c r="U52" s="170">
        <f t="shared" ca="1" si="26"/>
        <v>2.4319216074964067E-2</v>
      </c>
      <c r="V52" s="170">
        <f t="shared" ca="1" si="26"/>
        <v>2.4158173066353573E-2</v>
      </c>
      <c r="W52" s="170">
        <f t="shared" ca="1" si="26"/>
        <v>2.4012695509050101E-2</v>
      </c>
      <c r="X52" s="170">
        <f t="shared" ca="1" si="26"/>
        <v>2.3911563481957575E-2</v>
      </c>
      <c r="Y52" s="414">
        <f t="shared" ca="1" si="23"/>
        <v>0.48962975979194295</v>
      </c>
      <c r="AA52" s="266"/>
    </row>
    <row r="53" spans="1:27">
      <c r="E53" s="170"/>
      <c r="F53" s="170"/>
      <c r="G53" s="170"/>
      <c r="H53" s="170"/>
      <c r="I53" s="170"/>
      <c r="J53" s="170"/>
      <c r="K53" s="170"/>
      <c r="L53" s="170"/>
      <c r="M53" s="170"/>
      <c r="N53" s="170"/>
      <c r="O53" s="170"/>
      <c r="P53" s="170"/>
      <c r="Q53" s="170"/>
      <c r="R53" s="170"/>
      <c r="S53" s="170"/>
      <c r="T53" s="170"/>
      <c r="U53" s="170"/>
      <c r="V53" s="170"/>
      <c r="W53" s="170"/>
      <c r="X53" s="170"/>
      <c r="Y53" s="409"/>
      <c r="AA53" s="266"/>
    </row>
    <row r="54" spans="1:27">
      <c r="B54" s="431">
        <f>SUMPRODUCT(A48:A52,B48:B52)/SUM(A48:A52)</f>
        <v>-26.987641859749154</v>
      </c>
      <c r="C54" s="11" t="s">
        <v>893</v>
      </c>
      <c r="E54" s="170">
        <f ca="1">SUM(E48:E52)</f>
        <v>0.17543437685372384</v>
      </c>
      <c r="F54" s="170">
        <f t="shared" ref="F54:Y54" ca="1" si="27">SUM(F48:F52)</f>
        <v>0.26025759006813087</v>
      </c>
      <c r="G54" s="170">
        <f t="shared" ca="1" si="27"/>
        <v>0.31701012121926192</v>
      </c>
      <c r="H54" s="170">
        <f t="shared" ca="1" si="27"/>
        <v>0.34952592633113422</v>
      </c>
      <c r="I54" s="170">
        <f t="shared" ca="1" si="27"/>
        <v>0.367444281035892</v>
      </c>
      <c r="J54" s="170">
        <f t="shared" ca="1" si="27"/>
        <v>0.37182255790027335</v>
      </c>
      <c r="K54" s="170">
        <f t="shared" ca="1" si="27"/>
        <v>0.36932970203683829</v>
      </c>
      <c r="L54" s="170">
        <f t="shared" ca="1" si="27"/>
        <v>0.36381542463475597</v>
      </c>
      <c r="M54" s="170">
        <f t="shared" ca="1" si="27"/>
        <v>0.35743716814880361</v>
      </c>
      <c r="N54" s="170">
        <f t="shared" ca="1" si="27"/>
        <v>0.35163473707741277</v>
      </c>
      <c r="O54" s="170">
        <f t="shared" ca="1" si="27"/>
        <v>0.3468107639089878</v>
      </c>
      <c r="P54" s="170">
        <f t="shared" ca="1" si="27"/>
        <v>0.34314999766906579</v>
      </c>
      <c r="Q54" s="170">
        <f t="shared" ca="1" si="27"/>
        <v>0.33998080573851275</v>
      </c>
      <c r="R54" s="170">
        <f t="shared" ca="1" si="27"/>
        <v>0.3368289389904095</v>
      </c>
      <c r="S54" s="170">
        <f t="shared" ca="1" si="27"/>
        <v>0.33385138890265548</v>
      </c>
      <c r="T54" s="170">
        <f t="shared" ca="1" si="27"/>
        <v>0.33115390011085655</v>
      </c>
      <c r="U54" s="170">
        <f t="shared" ca="1" si="27"/>
        <v>0.32873665339793112</v>
      </c>
      <c r="V54" s="170">
        <f t="shared" ca="1" si="27"/>
        <v>0.32655974360196743</v>
      </c>
      <c r="W54" s="170">
        <f t="shared" ca="1" si="27"/>
        <v>0.32459324085019153</v>
      </c>
      <c r="X54" s="170">
        <f t="shared" ca="1" si="27"/>
        <v>0.32322618181196971</v>
      </c>
      <c r="Y54" s="414">
        <f t="shared" ca="1" si="27"/>
        <v>6.6186035002887751</v>
      </c>
      <c r="AA54" s="266"/>
    </row>
    <row r="57" spans="1:27" ht="15">
      <c r="A57" s="333" t="s">
        <v>683</v>
      </c>
      <c r="B57" s="334"/>
    </row>
    <row r="58" spans="1:27" ht="15">
      <c r="E58" s="406">
        <f>E14</f>
        <v>2016</v>
      </c>
      <c r="F58" s="406">
        <f t="shared" ref="F58:X58" si="28">F14</f>
        <v>2017</v>
      </c>
      <c r="G58" s="406">
        <f t="shared" si="28"/>
        <v>2018</v>
      </c>
      <c r="H58" s="406">
        <f t="shared" si="28"/>
        <v>2019</v>
      </c>
      <c r="I58" s="406">
        <f t="shared" si="28"/>
        <v>2020</v>
      </c>
      <c r="J58" s="406">
        <f t="shared" si="28"/>
        <v>2021</v>
      </c>
      <c r="K58" s="406">
        <f t="shared" si="28"/>
        <v>2022</v>
      </c>
      <c r="L58" s="406">
        <f t="shared" si="28"/>
        <v>2023</v>
      </c>
      <c r="M58" s="406">
        <f t="shared" si="28"/>
        <v>2024</v>
      </c>
      <c r="N58" s="406">
        <f t="shared" si="28"/>
        <v>2025</v>
      </c>
      <c r="O58" s="406">
        <f t="shared" si="28"/>
        <v>2026</v>
      </c>
      <c r="P58" s="406">
        <f t="shared" si="28"/>
        <v>2027</v>
      </c>
      <c r="Q58" s="406">
        <f t="shared" si="28"/>
        <v>2028</v>
      </c>
      <c r="R58" s="406">
        <f t="shared" si="28"/>
        <v>2029</v>
      </c>
      <c r="S58" s="406">
        <f t="shared" si="28"/>
        <v>2030</v>
      </c>
      <c r="T58" s="406">
        <f t="shared" si="28"/>
        <v>2031</v>
      </c>
      <c r="U58" s="406">
        <f t="shared" si="28"/>
        <v>2032</v>
      </c>
      <c r="V58" s="406">
        <f t="shared" si="28"/>
        <v>2033</v>
      </c>
      <c r="W58" s="406">
        <f t="shared" si="28"/>
        <v>2034</v>
      </c>
      <c r="X58" s="406">
        <f t="shared" si="28"/>
        <v>2035</v>
      </c>
      <c r="Y58" s="412" t="s">
        <v>968</v>
      </c>
    </row>
    <row r="59" spans="1:27" ht="15">
      <c r="B59" s="248" t="s">
        <v>682</v>
      </c>
      <c r="C59" s="248" t="s">
        <v>682</v>
      </c>
      <c r="D59" s="248"/>
      <c r="E59" s="407" t="str">
        <f>TEXT(E47,"0000")</f>
        <v>aMW_2016</v>
      </c>
      <c r="F59" s="407" t="str">
        <f t="shared" ref="F59:X59" si="29">TEXT(F47,"0000")</f>
        <v>aMW_2017</v>
      </c>
      <c r="G59" s="407" t="str">
        <f t="shared" si="29"/>
        <v>aMW_2018</v>
      </c>
      <c r="H59" s="407" t="str">
        <f t="shared" si="29"/>
        <v>aMW_2019</v>
      </c>
      <c r="I59" s="407" t="str">
        <f t="shared" si="29"/>
        <v>aMW_2020</v>
      </c>
      <c r="J59" s="407" t="str">
        <f t="shared" si="29"/>
        <v>aMW_2021</v>
      </c>
      <c r="K59" s="407" t="str">
        <f t="shared" si="29"/>
        <v>aMW_2022</v>
      </c>
      <c r="L59" s="407" t="str">
        <f t="shared" si="29"/>
        <v>aMW_2023</v>
      </c>
      <c r="M59" s="407" t="str">
        <f t="shared" si="29"/>
        <v>aMW_2024</v>
      </c>
      <c r="N59" s="407" t="str">
        <f t="shared" si="29"/>
        <v>aMW_2025</v>
      </c>
      <c r="O59" s="407" t="str">
        <f t="shared" si="29"/>
        <v>aMW_2026</v>
      </c>
      <c r="P59" s="407" t="str">
        <f t="shared" si="29"/>
        <v>aMW_2027</v>
      </c>
      <c r="Q59" s="407" t="str">
        <f t="shared" si="29"/>
        <v>aMW_2028</v>
      </c>
      <c r="R59" s="407" t="str">
        <f t="shared" si="29"/>
        <v>aMW_2029</v>
      </c>
      <c r="S59" s="407" t="str">
        <f t="shared" si="29"/>
        <v>aMW_2030</v>
      </c>
      <c r="T59" s="407" t="str">
        <f t="shared" si="29"/>
        <v>aMW_2031</v>
      </c>
      <c r="U59" s="407" t="str">
        <f t="shared" si="29"/>
        <v>aMW_2032</v>
      </c>
      <c r="V59" s="407" t="str">
        <f t="shared" si="29"/>
        <v>aMW_2033</v>
      </c>
      <c r="W59" s="407" t="str">
        <f t="shared" si="29"/>
        <v>aMW_2034</v>
      </c>
      <c r="X59" s="407" t="str">
        <f t="shared" si="29"/>
        <v>aMW_2035</v>
      </c>
      <c r="Y59" s="413" t="s">
        <v>968</v>
      </c>
    </row>
    <row r="60" spans="1:27">
      <c r="A60" s="11" t="s">
        <v>639</v>
      </c>
      <c r="B60" s="271" t="s">
        <v>684</v>
      </c>
      <c r="C60" s="271" t="s">
        <v>685</v>
      </c>
      <c r="D60" s="271"/>
      <c r="E60" s="247">
        <f ca="1">DSUM($B$47:$Y$52,E$47,$B$59:$C60)</f>
        <v>0.17543437685372384</v>
      </c>
      <c r="F60" s="247">
        <f ca="1">DSUM($B$47:$Y$52,F$47,$B$59:$C60)</f>
        <v>0.26025759006813087</v>
      </c>
      <c r="G60" s="247">
        <f ca="1">DSUM($B$47:$Y$52,G$47,$B$59:$C60)</f>
        <v>0.31701012121926192</v>
      </c>
      <c r="H60" s="247">
        <f ca="1">DSUM($B$47:$Y$52,H$47,$B$59:$C60)</f>
        <v>0.34952592633113422</v>
      </c>
      <c r="I60" s="247">
        <f ca="1">DSUM($B$47:$Y$52,I$47,$B$59:$C60)</f>
        <v>0.367444281035892</v>
      </c>
      <c r="J60" s="247">
        <f ca="1">DSUM($B$47:$Y$52,J$47,$B$59:$C60)</f>
        <v>0.37182255790027335</v>
      </c>
      <c r="K60" s="247">
        <f ca="1">DSUM($B$47:$Y$52,K$47,$B$59:$C60)</f>
        <v>0.36932970203683829</v>
      </c>
      <c r="L60" s="247">
        <f ca="1">DSUM($B$47:$Y$52,L$47,$B$59:$C60)</f>
        <v>0.36381542463475597</v>
      </c>
      <c r="M60" s="247">
        <f ca="1">DSUM($B$47:$Y$52,M$47,$B$59:$C60)</f>
        <v>0.35743716814880361</v>
      </c>
      <c r="N60" s="247">
        <f ca="1">DSUM($B$47:$Y$52,N$47,$B$59:$C60)</f>
        <v>0.35163473707741277</v>
      </c>
      <c r="O60" s="247">
        <f ca="1">DSUM($B$47:$Y$52,O$47,$B$59:$C60)</f>
        <v>0.3468107639089878</v>
      </c>
      <c r="P60" s="247">
        <f ca="1">DSUM($B$47:$Y$52,P$47,$B$59:$C60)</f>
        <v>0.34314999766906579</v>
      </c>
      <c r="Q60" s="247">
        <f ca="1">DSUM($B$47:$Y$52,Q$47,$B$59:$C60)</f>
        <v>0.33998080573851275</v>
      </c>
      <c r="R60" s="247">
        <f ca="1">DSUM($B$47:$Y$52,R$47,$B$59:$C60)</f>
        <v>0.3368289389904095</v>
      </c>
      <c r="S60" s="247">
        <f ca="1">DSUM($B$47:$Y$52,S$47,$B$59:$C60)</f>
        <v>0.33385138890265548</v>
      </c>
      <c r="T60" s="247">
        <f ca="1">DSUM($B$47:$Y$52,T$47,$B$59:$C60)</f>
        <v>0.33115390011085655</v>
      </c>
      <c r="U60" s="247">
        <f ca="1">DSUM($B$47:$Y$52,U$47,$B$59:$C60)</f>
        <v>0.32873665339793112</v>
      </c>
      <c r="V60" s="247">
        <f ca="1">DSUM($B$47:$Y$52,V$47,$B$59:$C60)</f>
        <v>0.32655974360196743</v>
      </c>
      <c r="W60" s="247">
        <f ca="1">DSUM($B$47:$Y$52,W$47,$B$59:$C60)</f>
        <v>0.32459324085019153</v>
      </c>
      <c r="X60" s="247">
        <f ca="1">DSUM($B$47:$Y$52,X$47,$B$59:$C60)</f>
        <v>0.32322618181196971</v>
      </c>
      <c r="Y60" s="32">
        <f ca="1">DSUM($B$47:$Y$52,Y$47,$B$59:$C60)</f>
        <v>6.6186035002887751</v>
      </c>
    </row>
    <row r="61" spans="1:27">
      <c r="A61" s="11" t="s">
        <v>640</v>
      </c>
      <c r="B61" s="271" t="s">
        <v>686</v>
      </c>
      <c r="C61" s="271" t="s">
        <v>687</v>
      </c>
      <c r="D61" s="271"/>
      <c r="E61" s="247">
        <f ca="1">DSUM($B$47:$Y$52,E$47,$B$59:$C61)</f>
        <v>0.17543437685372384</v>
      </c>
      <c r="F61" s="247">
        <f ca="1">DSUM($B$47:$Y$52,F$47,$B$59:$C61)</f>
        <v>0.26025759006813087</v>
      </c>
      <c r="G61" s="247">
        <f ca="1">DSUM($B$47:$Y$52,G$47,$B$59:$C61)</f>
        <v>0.31701012121926192</v>
      </c>
      <c r="H61" s="247">
        <f ca="1">DSUM($B$47:$Y$52,H$47,$B$59:$C61)</f>
        <v>0.34952592633113422</v>
      </c>
      <c r="I61" s="247">
        <f ca="1">DSUM($B$47:$Y$52,I$47,$B$59:$C61)</f>
        <v>0.367444281035892</v>
      </c>
      <c r="J61" s="247">
        <f ca="1">DSUM($B$47:$Y$52,J$47,$B$59:$C61)</f>
        <v>0.37182255790027335</v>
      </c>
      <c r="K61" s="247">
        <f ca="1">DSUM($B$47:$Y$52,K$47,$B$59:$C61)</f>
        <v>0.36932970203683829</v>
      </c>
      <c r="L61" s="247">
        <f ca="1">DSUM($B$47:$Y$52,L$47,$B$59:$C61)</f>
        <v>0.36381542463475597</v>
      </c>
      <c r="M61" s="247">
        <f ca="1">DSUM($B$47:$Y$52,M$47,$B$59:$C61)</f>
        <v>0.35743716814880361</v>
      </c>
      <c r="N61" s="247">
        <f ca="1">DSUM($B$47:$Y$52,N$47,$B$59:$C61)</f>
        <v>0.35163473707741277</v>
      </c>
      <c r="O61" s="247">
        <f ca="1">DSUM($B$47:$Y$52,O$47,$B$59:$C61)</f>
        <v>0.3468107639089878</v>
      </c>
      <c r="P61" s="247">
        <f ca="1">DSUM($B$47:$Y$52,P$47,$B$59:$C61)</f>
        <v>0.34314999766906579</v>
      </c>
      <c r="Q61" s="247">
        <f ca="1">DSUM($B$47:$Y$52,Q$47,$B$59:$C61)</f>
        <v>0.33998080573851275</v>
      </c>
      <c r="R61" s="247">
        <f ca="1">DSUM($B$47:$Y$52,R$47,$B$59:$C61)</f>
        <v>0.3368289389904095</v>
      </c>
      <c r="S61" s="247">
        <f ca="1">DSUM($B$47:$Y$52,S$47,$B$59:$C61)</f>
        <v>0.33385138890265548</v>
      </c>
      <c r="T61" s="247">
        <f ca="1">DSUM($B$47:$Y$52,T$47,$B$59:$C61)</f>
        <v>0.33115390011085655</v>
      </c>
      <c r="U61" s="247">
        <f ca="1">DSUM($B$47:$Y$52,U$47,$B$59:$C61)</f>
        <v>0.32873665339793112</v>
      </c>
      <c r="V61" s="247">
        <f ca="1">DSUM($B$47:$Y$52,V$47,$B$59:$C61)</f>
        <v>0.32655974360196743</v>
      </c>
      <c r="W61" s="247">
        <f ca="1">DSUM($B$47:$Y$52,W$47,$B$59:$C61)</f>
        <v>0.32459324085019153</v>
      </c>
      <c r="X61" s="247">
        <f ca="1">DSUM($B$47:$Y$52,X$47,$B$59:$C61)</f>
        <v>0.32322618181196971</v>
      </c>
      <c r="Y61" s="32">
        <f ca="1">DSUM($B$47:$Y$52,Y$47,$B$59:$C61)</f>
        <v>6.6186035002887751</v>
      </c>
    </row>
    <row r="62" spans="1:27">
      <c r="A62" s="11" t="s">
        <v>641</v>
      </c>
      <c r="B62" s="271" t="s">
        <v>688</v>
      </c>
      <c r="C62" s="271" t="s">
        <v>689</v>
      </c>
      <c r="D62" s="271"/>
      <c r="E62" s="247">
        <f ca="1">DSUM($B$47:$Y$52,E$47,$B$59:$C62)</f>
        <v>0.17543437685372384</v>
      </c>
      <c r="F62" s="247">
        <f ca="1">DSUM($B$47:$Y$52,F$47,$B$59:$C62)</f>
        <v>0.26025759006813087</v>
      </c>
      <c r="G62" s="247">
        <f ca="1">DSUM($B$47:$Y$52,G$47,$B$59:$C62)</f>
        <v>0.31701012121926192</v>
      </c>
      <c r="H62" s="247">
        <f ca="1">DSUM($B$47:$Y$52,H$47,$B$59:$C62)</f>
        <v>0.34952592633113422</v>
      </c>
      <c r="I62" s="247">
        <f ca="1">DSUM($B$47:$Y$52,I$47,$B$59:$C62)</f>
        <v>0.367444281035892</v>
      </c>
      <c r="J62" s="247">
        <f ca="1">DSUM($B$47:$Y$52,J$47,$B$59:$C62)</f>
        <v>0.37182255790027335</v>
      </c>
      <c r="K62" s="247">
        <f ca="1">DSUM($B$47:$Y$52,K$47,$B$59:$C62)</f>
        <v>0.36932970203683829</v>
      </c>
      <c r="L62" s="247">
        <f ca="1">DSUM($B$47:$Y$52,L$47,$B$59:$C62)</f>
        <v>0.36381542463475597</v>
      </c>
      <c r="M62" s="247">
        <f ca="1">DSUM($B$47:$Y$52,M$47,$B$59:$C62)</f>
        <v>0.35743716814880361</v>
      </c>
      <c r="N62" s="247">
        <f ca="1">DSUM($B$47:$Y$52,N$47,$B$59:$C62)</f>
        <v>0.35163473707741277</v>
      </c>
      <c r="O62" s="247">
        <f ca="1">DSUM($B$47:$Y$52,O$47,$B$59:$C62)</f>
        <v>0.3468107639089878</v>
      </c>
      <c r="P62" s="247">
        <f ca="1">DSUM($B$47:$Y$52,P$47,$B$59:$C62)</f>
        <v>0.34314999766906579</v>
      </c>
      <c r="Q62" s="247">
        <f ca="1">DSUM($B$47:$Y$52,Q$47,$B$59:$C62)</f>
        <v>0.33998080573851275</v>
      </c>
      <c r="R62" s="247">
        <f ca="1">DSUM($B$47:$Y$52,R$47,$B$59:$C62)</f>
        <v>0.3368289389904095</v>
      </c>
      <c r="S62" s="247">
        <f ca="1">DSUM($B$47:$Y$52,S$47,$B$59:$C62)</f>
        <v>0.33385138890265548</v>
      </c>
      <c r="T62" s="247">
        <f ca="1">DSUM($B$47:$Y$52,T$47,$B$59:$C62)</f>
        <v>0.33115390011085655</v>
      </c>
      <c r="U62" s="247">
        <f ca="1">DSUM($B$47:$Y$52,U$47,$B$59:$C62)</f>
        <v>0.32873665339793112</v>
      </c>
      <c r="V62" s="247">
        <f ca="1">DSUM($B$47:$Y$52,V$47,$B$59:$C62)</f>
        <v>0.32655974360196743</v>
      </c>
      <c r="W62" s="247">
        <f ca="1">DSUM($B$47:$Y$52,W$47,$B$59:$C62)</f>
        <v>0.32459324085019153</v>
      </c>
      <c r="X62" s="247">
        <f ca="1">DSUM($B$47:$Y$52,X$47,$B$59:$C62)</f>
        <v>0.32322618181196971</v>
      </c>
      <c r="Y62" s="32">
        <f ca="1">DSUM($B$47:$Y$52,Y$47,$B$59:$C62)</f>
        <v>6.6186035002887751</v>
      </c>
    </row>
    <row r="63" spans="1:27">
      <c r="A63" s="11" t="s">
        <v>642</v>
      </c>
      <c r="B63" s="271" t="s">
        <v>690</v>
      </c>
      <c r="C63" s="271" t="s">
        <v>691</v>
      </c>
      <c r="D63" s="271"/>
      <c r="E63" s="247">
        <f ca="1">DSUM($B$47:$Y$52,E$47,$B$59:$C63)</f>
        <v>0.17543437685372384</v>
      </c>
      <c r="F63" s="247">
        <f ca="1">DSUM($B$47:$Y$52,F$47,$B$59:$C63)</f>
        <v>0.26025759006813087</v>
      </c>
      <c r="G63" s="247">
        <f ca="1">DSUM($B$47:$Y$52,G$47,$B$59:$C63)</f>
        <v>0.31701012121926192</v>
      </c>
      <c r="H63" s="247">
        <f ca="1">DSUM($B$47:$Y$52,H$47,$B$59:$C63)</f>
        <v>0.34952592633113422</v>
      </c>
      <c r="I63" s="247">
        <f ca="1">DSUM($B$47:$Y$52,I$47,$B$59:$C63)</f>
        <v>0.367444281035892</v>
      </c>
      <c r="J63" s="247">
        <f ca="1">DSUM($B$47:$Y$52,J$47,$B$59:$C63)</f>
        <v>0.37182255790027335</v>
      </c>
      <c r="K63" s="247">
        <f ca="1">DSUM($B$47:$Y$52,K$47,$B$59:$C63)</f>
        <v>0.36932970203683829</v>
      </c>
      <c r="L63" s="247">
        <f ca="1">DSUM($B$47:$Y$52,L$47,$B$59:$C63)</f>
        <v>0.36381542463475597</v>
      </c>
      <c r="M63" s="247">
        <f ca="1">DSUM($B$47:$Y$52,M$47,$B$59:$C63)</f>
        <v>0.35743716814880361</v>
      </c>
      <c r="N63" s="247">
        <f ca="1">DSUM($B$47:$Y$52,N$47,$B$59:$C63)</f>
        <v>0.35163473707741277</v>
      </c>
      <c r="O63" s="247">
        <f ca="1">DSUM($B$47:$Y$52,O$47,$B$59:$C63)</f>
        <v>0.3468107639089878</v>
      </c>
      <c r="P63" s="247">
        <f ca="1">DSUM($B$47:$Y$52,P$47,$B$59:$C63)</f>
        <v>0.34314999766906579</v>
      </c>
      <c r="Q63" s="247">
        <f ca="1">DSUM($B$47:$Y$52,Q$47,$B$59:$C63)</f>
        <v>0.33998080573851275</v>
      </c>
      <c r="R63" s="247">
        <f ca="1">DSUM($B$47:$Y$52,R$47,$B$59:$C63)</f>
        <v>0.3368289389904095</v>
      </c>
      <c r="S63" s="247">
        <f ca="1">DSUM($B$47:$Y$52,S$47,$B$59:$C63)</f>
        <v>0.33385138890265548</v>
      </c>
      <c r="T63" s="247">
        <f ca="1">DSUM($B$47:$Y$52,T$47,$B$59:$C63)</f>
        <v>0.33115390011085655</v>
      </c>
      <c r="U63" s="247">
        <f ca="1">DSUM($B$47:$Y$52,U$47,$B$59:$C63)</f>
        <v>0.32873665339793112</v>
      </c>
      <c r="V63" s="247">
        <f ca="1">DSUM($B$47:$Y$52,V$47,$B$59:$C63)</f>
        <v>0.32655974360196743</v>
      </c>
      <c r="W63" s="247">
        <f ca="1">DSUM($B$47:$Y$52,W$47,$B$59:$C63)</f>
        <v>0.32459324085019153</v>
      </c>
      <c r="X63" s="247">
        <f ca="1">DSUM($B$47:$Y$52,X$47,$B$59:$C63)</f>
        <v>0.32322618181196971</v>
      </c>
      <c r="Y63" s="32">
        <f ca="1">DSUM($B$47:$Y$52,Y$47,$B$59:$C63)</f>
        <v>6.6186035002887751</v>
      </c>
    </row>
    <row r="64" spans="1:27">
      <c r="A64" s="11" t="s">
        <v>643</v>
      </c>
      <c r="B64" s="271" t="s">
        <v>692</v>
      </c>
      <c r="C64" s="271" t="s">
        <v>693</v>
      </c>
      <c r="D64" s="271"/>
      <c r="E64" s="247">
        <f ca="1">DSUM($B$47:$Y$52,E$47,$B$59:$C64)</f>
        <v>0.17543437685372384</v>
      </c>
      <c r="F64" s="247">
        <f ca="1">DSUM($B$47:$Y$52,F$47,$B$59:$C64)</f>
        <v>0.26025759006813087</v>
      </c>
      <c r="G64" s="247">
        <f ca="1">DSUM($B$47:$Y$52,G$47,$B$59:$C64)</f>
        <v>0.31701012121926192</v>
      </c>
      <c r="H64" s="247">
        <f ca="1">DSUM($B$47:$Y$52,H$47,$B$59:$C64)</f>
        <v>0.34952592633113422</v>
      </c>
      <c r="I64" s="247">
        <f ca="1">DSUM($B$47:$Y$52,I$47,$B$59:$C64)</f>
        <v>0.367444281035892</v>
      </c>
      <c r="J64" s="247">
        <f ca="1">DSUM($B$47:$Y$52,J$47,$B$59:$C64)</f>
        <v>0.37182255790027335</v>
      </c>
      <c r="K64" s="247">
        <f ca="1">DSUM($B$47:$Y$52,K$47,$B$59:$C64)</f>
        <v>0.36932970203683829</v>
      </c>
      <c r="L64" s="247">
        <f ca="1">DSUM($B$47:$Y$52,L$47,$B$59:$C64)</f>
        <v>0.36381542463475597</v>
      </c>
      <c r="M64" s="247">
        <f ca="1">DSUM($B$47:$Y$52,M$47,$B$59:$C64)</f>
        <v>0.35743716814880361</v>
      </c>
      <c r="N64" s="247">
        <f ca="1">DSUM($B$47:$Y$52,N$47,$B$59:$C64)</f>
        <v>0.35163473707741277</v>
      </c>
      <c r="O64" s="247">
        <f ca="1">DSUM($B$47:$Y$52,O$47,$B$59:$C64)</f>
        <v>0.3468107639089878</v>
      </c>
      <c r="P64" s="247">
        <f ca="1">DSUM($B$47:$Y$52,P$47,$B$59:$C64)</f>
        <v>0.34314999766906579</v>
      </c>
      <c r="Q64" s="247">
        <f ca="1">DSUM($B$47:$Y$52,Q$47,$B$59:$C64)</f>
        <v>0.33998080573851275</v>
      </c>
      <c r="R64" s="247">
        <f ca="1">DSUM($B$47:$Y$52,R$47,$B$59:$C64)</f>
        <v>0.3368289389904095</v>
      </c>
      <c r="S64" s="247">
        <f ca="1">DSUM($B$47:$Y$52,S$47,$B$59:$C64)</f>
        <v>0.33385138890265548</v>
      </c>
      <c r="T64" s="247">
        <f ca="1">DSUM($B$47:$Y$52,T$47,$B$59:$C64)</f>
        <v>0.33115390011085655</v>
      </c>
      <c r="U64" s="247">
        <f ca="1">DSUM($B$47:$Y$52,U$47,$B$59:$C64)</f>
        <v>0.32873665339793112</v>
      </c>
      <c r="V64" s="247">
        <f ca="1">DSUM($B$47:$Y$52,V$47,$B$59:$C64)</f>
        <v>0.32655974360196743</v>
      </c>
      <c r="W64" s="247">
        <f ca="1">DSUM($B$47:$Y$52,W$47,$B$59:$C64)</f>
        <v>0.32459324085019153</v>
      </c>
      <c r="X64" s="247">
        <f ca="1">DSUM($B$47:$Y$52,X$47,$B$59:$C64)</f>
        <v>0.32322618181196971</v>
      </c>
      <c r="Y64" s="32">
        <f ca="1">DSUM($B$47:$Y$52,Y$47,$B$59:$C64)</f>
        <v>6.6186035002887751</v>
      </c>
    </row>
    <row r="65" spans="1:25">
      <c r="A65" s="11" t="s">
        <v>644</v>
      </c>
      <c r="B65" s="271" t="s">
        <v>694</v>
      </c>
      <c r="C65" s="271" t="s">
        <v>695</v>
      </c>
      <c r="D65" s="271"/>
      <c r="E65" s="247">
        <f ca="1">DSUM($B$47:$Y$52,E$47,$B$59:$C65)</f>
        <v>0.17543437685372384</v>
      </c>
      <c r="F65" s="247">
        <f ca="1">DSUM($B$47:$Y$52,F$47,$B$59:$C65)</f>
        <v>0.26025759006813087</v>
      </c>
      <c r="G65" s="247">
        <f ca="1">DSUM($B$47:$Y$52,G$47,$B$59:$C65)</f>
        <v>0.31701012121926192</v>
      </c>
      <c r="H65" s="247">
        <f ca="1">DSUM($B$47:$Y$52,H$47,$B$59:$C65)</f>
        <v>0.34952592633113422</v>
      </c>
      <c r="I65" s="247">
        <f ca="1">DSUM($B$47:$Y$52,I$47,$B$59:$C65)</f>
        <v>0.367444281035892</v>
      </c>
      <c r="J65" s="247">
        <f ca="1">DSUM($B$47:$Y$52,J$47,$B$59:$C65)</f>
        <v>0.37182255790027335</v>
      </c>
      <c r="K65" s="247">
        <f ca="1">DSUM($B$47:$Y$52,K$47,$B$59:$C65)</f>
        <v>0.36932970203683829</v>
      </c>
      <c r="L65" s="247">
        <f ca="1">DSUM($B$47:$Y$52,L$47,$B$59:$C65)</f>
        <v>0.36381542463475597</v>
      </c>
      <c r="M65" s="247">
        <f ca="1">DSUM($B$47:$Y$52,M$47,$B$59:$C65)</f>
        <v>0.35743716814880361</v>
      </c>
      <c r="N65" s="247">
        <f ca="1">DSUM($B$47:$Y$52,N$47,$B$59:$C65)</f>
        <v>0.35163473707741277</v>
      </c>
      <c r="O65" s="247">
        <f ca="1">DSUM($B$47:$Y$52,O$47,$B$59:$C65)</f>
        <v>0.3468107639089878</v>
      </c>
      <c r="P65" s="247">
        <f ca="1">DSUM($B$47:$Y$52,P$47,$B$59:$C65)</f>
        <v>0.34314999766906579</v>
      </c>
      <c r="Q65" s="247">
        <f ca="1">DSUM($B$47:$Y$52,Q$47,$B$59:$C65)</f>
        <v>0.33998080573851275</v>
      </c>
      <c r="R65" s="247">
        <f ca="1">DSUM($B$47:$Y$52,R$47,$B$59:$C65)</f>
        <v>0.3368289389904095</v>
      </c>
      <c r="S65" s="247">
        <f ca="1">DSUM($B$47:$Y$52,S$47,$B$59:$C65)</f>
        <v>0.33385138890265548</v>
      </c>
      <c r="T65" s="247">
        <f ca="1">DSUM($B$47:$Y$52,T$47,$B$59:$C65)</f>
        <v>0.33115390011085655</v>
      </c>
      <c r="U65" s="247">
        <f ca="1">DSUM($B$47:$Y$52,U$47,$B$59:$C65)</f>
        <v>0.32873665339793112</v>
      </c>
      <c r="V65" s="247">
        <f ca="1">DSUM($B$47:$Y$52,V$47,$B$59:$C65)</f>
        <v>0.32655974360196743</v>
      </c>
      <c r="W65" s="247">
        <f ca="1">DSUM($B$47:$Y$52,W$47,$B$59:$C65)</f>
        <v>0.32459324085019153</v>
      </c>
      <c r="X65" s="247">
        <f ca="1">DSUM($B$47:$Y$52,X$47,$B$59:$C65)</f>
        <v>0.32322618181196971</v>
      </c>
      <c r="Y65" s="32">
        <f ca="1">DSUM($B$47:$Y$52,Y$47,$B$59:$C65)</f>
        <v>6.6186035002887751</v>
      </c>
    </row>
    <row r="66" spans="1:25">
      <c r="A66" s="11" t="s">
        <v>645</v>
      </c>
      <c r="B66" s="271" t="s">
        <v>696</v>
      </c>
      <c r="C66" s="271" t="s">
        <v>697</v>
      </c>
      <c r="D66" s="271"/>
      <c r="E66" s="247">
        <f ca="1">DSUM($B$47:$Y$52,E$47,$B$59:$C66)</f>
        <v>0.17543437685372384</v>
      </c>
      <c r="F66" s="247">
        <f ca="1">DSUM($B$47:$Y$52,F$47,$B$59:$C66)</f>
        <v>0.26025759006813087</v>
      </c>
      <c r="G66" s="247">
        <f ca="1">DSUM($B$47:$Y$52,G$47,$B$59:$C66)</f>
        <v>0.31701012121926192</v>
      </c>
      <c r="H66" s="247">
        <f ca="1">DSUM($B$47:$Y$52,H$47,$B$59:$C66)</f>
        <v>0.34952592633113422</v>
      </c>
      <c r="I66" s="247">
        <f ca="1">DSUM($B$47:$Y$52,I$47,$B$59:$C66)</f>
        <v>0.367444281035892</v>
      </c>
      <c r="J66" s="247">
        <f ca="1">DSUM($B$47:$Y$52,J$47,$B$59:$C66)</f>
        <v>0.37182255790027335</v>
      </c>
      <c r="K66" s="247">
        <f ca="1">DSUM($B$47:$Y$52,K$47,$B$59:$C66)</f>
        <v>0.36932970203683829</v>
      </c>
      <c r="L66" s="247">
        <f ca="1">DSUM($B$47:$Y$52,L$47,$B$59:$C66)</f>
        <v>0.36381542463475597</v>
      </c>
      <c r="M66" s="247">
        <f ca="1">DSUM($B$47:$Y$52,M$47,$B$59:$C66)</f>
        <v>0.35743716814880361</v>
      </c>
      <c r="N66" s="247">
        <f ca="1">DSUM($B$47:$Y$52,N$47,$B$59:$C66)</f>
        <v>0.35163473707741277</v>
      </c>
      <c r="O66" s="247">
        <f ca="1">DSUM($B$47:$Y$52,O$47,$B$59:$C66)</f>
        <v>0.3468107639089878</v>
      </c>
      <c r="P66" s="247">
        <f ca="1">DSUM($B$47:$Y$52,P$47,$B$59:$C66)</f>
        <v>0.34314999766906579</v>
      </c>
      <c r="Q66" s="247">
        <f ca="1">DSUM($B$47:$Y$52,Q$47,$B$59:$C66)</f>
        <v>0.33998080573851275</v>
      </c>
      <c r="R66" s="247">
        <f ca="1">DSUM($B$47:$Y$52,R$47,$B$59:$C66)</f>
        <v>0.3368289389904095</v>
      </c>
      <c r="S66" s="247">
        <f ca="1">DSUM($B$47:$Y$52,S$47,$B$59:$C66)</f>
        <v>0.33385138890265548</v>
      </c>
      <c r="T66" s="247">
        <f ca="1">DSUM($B$47:$Y$52,T$47,$B$59:$C66)</f>
        <v>0.33115390011085655</v>
      </c>
      <c r="U66" s="247">
        <f ca="1">DSUM($B$47:$Y$52,U$47,$B$59:$C66)</f>
        <v>0.32873665339793112</v>
      </c>
      <c r="V66" s="247">
        <f ca="1">DSUM($B$47:$Y$52,V$47,$B$59:$C66)</f>
        <v>0.32655974360196743</v>
      </c>
      <c r="W66" s="247">
        <f ca="1">DSUM($B$47:$Y$52,W$47,$B$59:$C66)</f>
        <v>0.32459324085019153</v>
      </c>
      <c r="X66" s="247">
        <f ca="1">DSUM($B$47:$Y$52,X$47,$B$59:$C66)</f>
        <v>0.32322618181196971</v>
      </c>
      <c r="Y66" s="32">
        <f ca="1">DSUM($B$47:$Y$52,Y$47,$B$59:$C66)</f>
        <v>6.6186035002887751</v>
      </c>
    </row>
    <row r="67" spans="1:25">
      <c r="A67" s="11" t="s">
        <v>646</v>
      </c>
      <c r="B67" s="271" t="s">
        <v>698</v>
      </c>
      <c r="C67" s="271" t="s">
        <v>699</v>
      </c>
      <c r="D67" s="271"/>
      <c r="E67" s="247">
        <f ca="1">DSUM($B$47:$Y$52,E$47,$B$59:$C67)</f>
        <v>0.17543437685372384</v>
      </c>
      <c r="F67" s="247">
        <f ca="1">DSUM($B$47:$Y$52,F$47,$B$59:$C67)</f>
        <v>0.26025759006813087</v>
      </c>
      <c r="G67" s="247">
        <f ca="1">DSUM($B$47:$Y$52,G$47,$B$59:$C67)</f>
        <v>0.31701012121926192</v>
      </c>
      <c r="H67" s="247">
        <f ca="1">DSUM($B$47:$Y$52,H$47,$B$59:$C67)</f>
        <v>0.34952592633113422</v>
      </c>
      <c r="I67" s="247">
        <f ca="1">DSUM($B$47:$Y$52,I$47,$B$59:$C67)</f>
        <v>0.367444281035892</v>
      </c>
      <c r="J67" s="247">
        <f ca="1">DSUM($B$47:$Y$52,J$47,$B$59:$C67)</f>
        <v>0.37182255790027335</v>
      </c>
      <c r="K67" s="247">
        <f ca="1">DSUM($B$47:$Y$52,K$47,$B$59:$C67)</f>
        <v>0.36932970203683829</v>
      </c>
      <c r="L67" s="247">
        <f ca="1">DSUM($B$47:$Y$52,L$47,$B$59:$C67)</f>
        <v>0.36381542463475597</v>
      </c>
      <c r="M67" s="247">
        <f ca="1">DSUM($B$47:$Y$52,M$47,$B$59:$C67)</f>
        <v>0.35743716814880361</v>
      </c>
      <c r="N67" s="247">
        <f ca="1">DSUM($B$47:$Y$52,N$47,$B$59:$C67)</f>
        <v>0.35163473707741277</v>
      </c>
      <c r="O67" s="247">
        <f ca="1">DSUM($B$47:$Y$52,O$47,$B$59:$C67)</f>
        <v>0.3468107639089878</v>
      </c>
      <c r="P67" s="247">
        <f ca="1">DSUM($B$47:$Y$52,P$47,$B$59:$C67)</f>
        <v>0.34314999766906579</v>
      </c>
      <c r="Q67" s="247">
        <f ca="1">DSUM($B$47:$Y$52,Q$47,$B$59:$C67)</f>
        <v>0.33998080573851275</v>
      </c>
      <c r="R67" s="247">
        <f ca="1">DSUM($B$47:$Y$52,R$47,$B$59:$C67)</f>
        <v>0.3368289389904095</v>
      </c>
      <c r="S67" s="247">
        <f ca="1">DSUM($B$47:$Y$52,S$47,$B$59:$C67)</f>
        <v>0.33385138890265548</v>
      </c>
      <c r="T67" s="247">
        <f ca="1">DSUM($B$47:$Y$52,T$47,$B$59:$C67)</f>
        <v>0.33115390011085655</v>
      </c>
      <c r="U67" s="247">
        <f ca="1">DSUM($B$47:$Y$52,U$47,$B$59:$C67)</f>
        <v>0.32873665339793112</v>
      </c>
      <c r="V67" s="247">
        <f ca="1">DSUM($B$47:$Y$52,V$47,$B$59:$C67)</f>
        <v>0.32655974360196743</v>
      </c>
      <c r="W67" s="247">
        <f ca="1">DSUM($B$47:$Y$52,W$47,$B$59:$C67)</f>
        <v>0.32459324085019153</v>
      </c>
      <c r="X67" s="247">
        <f ca="1">DSUM($B$47:$Y$52,X$47,$B$59:$C67)</f>
        <v>0.32322618181196971</v>
      </c>
      <c r="Y67" s="32">
        <f ca="1">DSUM($B$47:$Y$52,Y$47,$B$59:$C67)</f>
        <v>6.6186035002887751</v>
      </c>
    </row>
    <row r="68" spans="1:25">
      <c r="A68" s="11" t="s">
        <v>647</v>
      </c>
      <c r="B68" s="271" t="s">
        <v>700</v>
      </c>
      <c r="C68" s="271" t="s">
        <v>701</v>
      </c>
      <c r="D68" s="271"/>
      <c r="E68" s="247">
        <f ca="1">DSUM($B$47:$Y$52,E$47,$B$59:$C68)</f>
        <v>0.17543437685372384</v>
      </c>
      <c r="F68" s="247">
        <f ca="1">DSUM($B$47:$Y$52,F$47,$B$59:$C68)</f>
        <v>0.26025759006813087</v>
      </c>
      <c r="G68" s="247">
        <f ca="1">DSUM($B$47:$Y$52,G$47,$B$59:$C68)</f>
        <v>0.31701012121926192</v>
      </c>
      <c r="H68" s="247">
        <f ca="1">DSUM($B$47:$Y$52,H$47,$B$59:$C68)</f>
        <v>0.34952592633113422</v>
      </c>
      <c r="I68" s="247">
        <f ca="1">DSUM($B$47:$Y$52,I$47,$B$59:$C68)</f>
        <v>0.367444281035892</v>
      </c>
      <c r="J68" s="247">
        <f ca="1">DSUM($B$47:$Y$52,J$47,$B$59:$C68)</f>
        <v>0.37182255790027335</v>
      </c>
      <c r="K68" s="247">
        <f ca="1">DSUM($B$47:$Y$52,K$47,$B$59:$C68)</f>
        <v>0.36932970203683829</v>
      </c>
      <c r="L68" s="247">
        <f ca="1">DSUM($B$47:$Y$52,L$47,$B$59:$C68)</f>
        <v>0.36381542463475597</v>
      </c>
      <c r="M68" s="247">
        <f ca="1">DSUM($B$47:$Y$52,M$47,$B$59:$C68)</f>
        <v>0.35743716814880361</v>
      </c>
      <c r="N68" s="247">
        <f ca="1">DSUM($B$47:$Y$52,N$47,$B$59:$C68)</f>
        <v>0.35163473707741277</v>
      </c>
      <c r="O68" s="247">
        <f ca="1">DSUM($B$47:$Y$52,O$47,$B$59:$C68)</f>
        <v>0.3468107639089878</v>
      </c>
      <c r="P68" s="247">
        <f ca="1">DSUM($B$47:$Y$52,P$47,$B$59:$C68)</f>
        <v>0.34314999766906579</v>
      </c>
      <c r="Q68" s="247">
        <f ca="1">DSUM($B$47:$Y$52,Q$47,$B$59:$C68)</f>
        <v>0.33998080573851275</v>
      </c>
      <c r="R68" s="247">
        <f ca="1">DSUM($B$47:$Y$52,R$47,$B$59:$C68)</f>
        <v>0.3368289389904095</v>
      </c>
      <c r="S68" s="247">
        <f ca="1">DSUM($B$47:$Y$52,S$47,$B$59:$C68)</f>
        <v>0.33385138890265548</v>
      </c>
      <c r="T68" s="247">
        <f ca="1">DSUM($B$47:$Y$52,T$47,$B$59:$C68)</f>
        <v>0.33115390011085655</v>
      </c>
      <c r="U68" s="247">
        <f ca="1">DSUM($B$47:$Y$52,U$47,$B$59:$C68)</f>
        <v>0.32873665339793112</v>
      </c>
      <c r="V68" s="247">
        <f ca="1">DSUM($B$47:$Y$52,V$47,$B$59:$C68)</f>
        <v>0.32655974360196743</v>
      </c>
      <c r="W68" s="247">
        <f ca="1">DSUM($B$47:$Y$52,W$47,$B$59:$C68)</f>
        <v>0.32459324085019153</v>
      </c>
      <c r="X68" s="247">
        <f ca="1">DSUM($B$47:$Y$52,X$47,$B$59:$C68)</f>
        <v>0.32322618181196971</v>
      </c>
      <c r="Y68" s="32">
        <f ca="1">DSUM($B$47:$Y$52,Y$47,$B$59:$C68)</f>
        <v>6.6186035002887751</v>
      </c>
    </row>
    <row r="69" spans="1:25">
      <c r="A69" s="11" t="s">
        <v>648</v>
      </c>
      <c r="B69" s="271" t="s">
        <v>702</v>
      </c>
      <c r="C69" s="271" t="s">
        <v>703</v>
      </c>
      <c r="D69" s="271"/>
      <c r="E69" s="247">
        <f ca="1">DSUM($B$47:$Y$52,E$47,$B$59:$C69)</f>
        <v>0.17543437685372384</v>
      </c>
      <c r="F69" s="247">
        <f ca="1">DSUM($B$47:$Y$52,F$47,$B$59:$C69)</f>
        <v>0.26025759006813087</v>
      </c>
      <c r="G69" s="247">
        <f ca="1">DSUM($B$47:$Y$52,G$47,$B$59:$C69)</f>
        <v>0.31701012121926192</v>
      </c>
      <c r="H69" s="247">
        <f ca="1">DSUM($B$47:$Y$52,H$47,$B$59:$C69)</f>
        <v>0.34952592633113422</v>
      </c>
      <c r="I69" s="247">
        <f ca="1">DSUM($B$47:$Y$52,I$47,$B$59:$C69)</f>
        <v>0.367444281035892</v>
      </c>
      <c r="J69" s="247">
        <f ca="1">DSUM($B$47:$Y$52,J$47,$B$59:$C69)</f>
        <v>0.37182255790027335</v>
      </c>
      <c r="K69" s="247">
        <f ca="1">DSUM($B$47:$Y$52,K$47,$B$59:$C69)</f>
        <v>0.36932970203683829</v>
      </c>
      <c r="L69" s="247">
        <f ca="1">DSUM($B$47:$Y$52,L$47,$B$59:$C69)</f>
        <v>0.36381542463475597</v>
      </c>
      <c r="M69" s="247">
        <f ca="1">DSUM($B$47:$Y$52,M$47,$B$59:$C69)</f>
        <v>0.35743716814880361</v>
      </c>
      <c r="N69" s="247">
        <f ca="1">DSUM($B$47:$Y$52,N$47,$B$59:$C69)</f>
        <v>0.35163473707741277</v>
      </c>
      <c r="O69" s="247">
        <f ca="1">DSUM($B$47:$Y$52,O$47,$B$59:$C69)</f>
        <v>0.3468107639089878</v>
      </c>
      <c r="P69" s="247">
        <f ca="1">DSUM($B$47:$Y$52,P$47,$B$59:$C69)</f>
        <v>0.34314999766906579</v>
      </c>
      <c r="Q69" s="247">
        <f ca="1">DSUM($B$47:$Y$52,Q$47,$B$59:$C69)</f>
        <v>0.33998080573851275</v>
      </c>
      <c r="R69" s="247">
        <f ca="1">DSUM($B$47:$Y$52,R$47,$B$59:$C69)</f>
        <v>0.3368289389904095</v>
      </c>
      <c r="S69" s="247">
        <f ca="1">DSUM($B$47:$Y$52,S$47,$B$59:$C69)</f>
        <v>0.33385138890265548</v>
      </c>
      <c r="T69" s="247">
        <f ca="1">DSUM($B$47:$Y$52,T$47,$B$59:$C69)</f>
        <v>0.33115390011085655</v>
      </c>
      <c r="U69" s="247">
        <f ca="1">DSUM($B$47:$Y$52,U$47,$B$59:$C69)</f>
        <v>0.32873665339793112</v>
      </c>
      <c r="V69" s="247">
        <f ca="1">DSUM($B$47:$Y$52,V$47,$B$59:$C69)</f>
        <v>0.32655974360196743</v>
      </c>
      <c r="W69" s="247">
        <f ca="1">DSUM($B$47:$Y$52,W$47,$B$59:$C69)</f>
        <v>0.32459324085019153</v>
      </c>
      <c r="X69" s="247">
        <f ca="1">DSUM($B$47:$Y$52,X$47,$B$59:$C69)</f>
        <v>0.32322618181196971</v>
      </c>
      <c r="Y69" s="32">
        <f ca="1">DSUM($B$47:$Y$52,Y$47,$B$59:$C69)</f>
        <v>6.6186035002887751</v>
      </c>
    </row>
    <row r="70" spans="1:25">
      <c r="A70" s="11" t="s">
        <v>649</v>
      </c>
      <c r="B70" s="271" t="s">
        <v>704</v>
      </c>
      <c r="C70" s="271" t="s">
        <v>705</v>
      </c>
      <c r="D70" s="271"/>
      <c r="E70" s="247">
        <f ca="1">DSUM($B$47:$Y$52,E$47,$B$59:$C70)</f>
        <v>0.17543437685372384</v>
      </c>
      <c r="F70" s="247">
        <f ca="1">DSUM($B$47:$Y$52,F$47,$B$59:$C70)</f>
        <v>0.26025759006813087</v>
      </c>
      <c r="G70" s="247">
        <f ca="1">DSUM($B$47:$Y$52,G$47,$B$59:$C70)</f>
        <v>0.31701012121926192</v>
      </c>
      <c r="H70" s="247">
        <f ca="1">DSUM($B$47:$Y$52,H$47,$B$59:$C70)</f>
        <v>0.34952592633113422</v>
      </c>
      <c r="I70" s="247">
        <f ca="1">DSUM($B$47:$Y$52,I$47,$B$59:$C70)</f>
        <v>0.367444281035892</v>
      </c>
      <c r="J70" s="247">
        <f ca="1">DSUM($B$47:$Y$52,J$47,$B$59:$C70)</f>
        <v>0.37182255790027335</v>
      </c>
      <c r="K70" s="247">
        <f ca="1">DSUM($B$47:$Y$52,K$47,$B$59:$C70)</f>
        <v>0.36932970203683829</v>
      </c>
      <c r="L70" s="247">
        <f ca="1">DSUM($B$47:$Y$52,L$47,$B$59:$C70)</f>
        <v>0.36381542463475597</v>
      </c>
      <c r="M70" s="247">
        <f ca="1">DSUM($B$47:$Y$52,M$47,$B$59:$C70)</f>
        <v>0.35743716814880361</v>
      </c>
      <c r="N70" s="247">
        <f ca="1">DSUM($B$47:$Y$52,N$47,$B$59:$C70)</f>
        <v>0.35163473707741277</v>
      </c>
      <c r="O70" s="247">
        <f ca="1">DSUM($B$47:$Y$52,O$47,$B$59:$C70)</f>
        <v>0.3468107639089878</v>
      </c>
      <c r="P70" s="247">
        <f ca="1">DSUM($B$47:$Y$52,P$47,$B$59:$C70)</f>
        <v>0.34314999766906579</v>
      </c>
      <c r="Q70" s="247">
        <f ca="1">DSUM($B$47:$Y$52,Q$47,$B$59:$C70)</f>
        <v>0.33998080573851275</v>
      </c>
      <c r="R70" s="247">
        <f ca="1">DSUM($B$47:$Y$52,R$47,$B$59:$C70)</f>
        <v>0.3368289389904095</v>
      </c>
      <c r="S70" s="247">
        <f ca="1">DSUM($B$47:$Y$52,S$47,$B$59:$C70)</f>
        <v>0.33385138890265548</v>
      </c>
      <c r="T70" s="247">
        <f ca="1">DSUM($B$47:$Y$52,T$47,$B$59:$C70)</f>
        <v>0.33115390011085655</v>
      </c>
      <c r="U70" s="247">
        <f ca="1">DSUM($B$47:$Y$52,U$47,$B$59:$C70)</f>
        <v>0.32873665339793112</v>
      </c>
      <c r="V70" s="247">
        <f ca="1">DSUM($B$47:$Y$52,V$47,$B$59:$C70)</f>
        <v>0.32655974360196743</v>
      </c>
      <c r="W70" s="247">
        <f ca="1">DSUM($B$47:$Y$52,W$47,$B$59:$C70)</f>
        <v>0.32459324085019153</v>
      </c>
      <c r="X70" s="247">
        <f ca="1">DSUM($B$47:$Y$52,X$47,$B$59:$C70)</f>
        <v>0.32322618181196971</v>
      </c>
      <c r="Y70" s="32">
        <f ca="1">DSUM($B$47:$Y$52,Y$47,$B$59:$C70)</f>
        <v>6.6186035002887751</v>
      </c>
    </row>
    <row r="71" spans="1:25">
      <c r="A71" s="11" t="s">
        <v>650</v>
      </c>
      <c r="B71" s="271" t="s">
        <v>706</v>
      </c>
      <c r="C71" s="271" t="s">
        <v>707</v>
      </c>
      <c r="D71" s="271"/>
      <c r="E71" s="247">
        <f ca="1">DSUM($B$47:$Y$52,E$47,$B$59:$C71)</f>
        <v>0.17543437685372384</v>
      </c>
      <c r="F71" s="247">
        <f ca="1">DSUM($B$47:$Y$52,F$47,$B$59:$C71)</f>
        <v>0.26025759006813087</v>
      </c>
      <c r="G71" s="247">
        <f ca="1">DSUM($B$47:$Y$52,G$47,$B$59:$C71)</f>
        <v>0.31701012121926192</v>
      </c>
      <c r="H71" s="247">
        <f ca="1">DSUM($B$47:$Y$52,H$47,$B$59:$C71)</f>
        <v>0.34952592633113422</v>
      </c>
      <c r="I71" s="247">
        <f ca="1">DSUM($B$47:$Y$52,I$47,$B$59:$C71)</f>
        <v>0.367444281035892</v>
      </c>
      <c r="J71" s="247">
        <f ca="1">DSUM($B$47:$Y$52,J$47,$B$59:$C71)</f>
        <v>0.37182255790027335</v>
      </c>
      <c r="K71" s="247">
        <f ca="1">DSUM($B$47:$Y$52,K$47,$B$59:$C71)</f>
        <v>0.36932970203683829</v>
      </c>
      <c r="L71" s="247">
        <f ca="1">DSUM($B$47:$Y$52,L$47,$B$59:$C71)</f>
        <v>0.36381542463475597</v>
      </c>
      <c r="M71" s="247">
        <f ca="1">DSUM($B$47:$Y$52,M$47,$B$59:$C71)</f>
        <v>0.35743716814880361</v>
      </c>
      <c r="N71" s="247">
        <f ca="1">DSUM($B$47:$Y$52,N$47,$B$59:$C71)</f>
        <v>0.35163473707741277</v>
      </c>
      <c r="O71" s="247">
        <f ca="1">DSUM($B$47:$Y$52,O$47,$B$59:$C71)</f>
        <v>0.3468107639089878</v>
      </c>
      <c r="P71" s="247">
        <f ca="1">DSUM($B$47:$Y$52,P$47,$B$59:$C71)</f>
        <v>0.34314999766906579</v>
      </c>
      <c r="Q71" s="247">
        <f ca="1">DSUM($B$47:$Y$52,Q$47,$B$59:$C71)</f>
        <v>0.33998080573851275</v>
      </c>
      <c r="R71" s="247">
        <f ca="1">DSUM($B$47:$Y$52,R$47,$B$59:$C71)</f>
        <v>0.3368289389904095</v>
      </c>
      <c r="S71" s="247">
        <f ca="1">DSUM($B$47:$Y$52,S$47,$B$59:$C71)</f>
        <v>0.33385138890265548</v>
      </c>
      <c r="T71" s="247">
        <f ca="1">DSUM($B$47:$Y$52,T$47,$B$59:$C71)</f>
        <v>0.33115390011085655</v>
      </c>
      <c r="U71" s="247">
        <f ca="1">DSUM($B$47:$Y$52,U$47,$B$59:$C71)</f>
        <v>0.32873665339793112</v>
      </c>
      <c r="V71" s="247">
        <f ca="1">DSUM($B$47:$Y$52,V$47,$B$59:$C71)</f>
        <v>0.32655974360196743</v>
      </c>
      <c r="W71" s="247">
        <f ca="1">DSUM($B$47:$Y$52,W$47,$B$59:$C71)</f>
        <v>0.32459324085019153</v>
      </c>
      <c r="X71" s="247">
        <f ca="1">DSUM($B$47:$Y$52,X$47,$B$59:$C71)</f>
        <v>0.32322618181196971</v>
      </c>
      <c r="Y71" s="32">
        <f ca="1">DSUM($B$47:$Y$52,Y$47,$B$59:$C71)</f>
        <v>6.6186035002887751</v>
      </c>
    </row>
    <row r="72" spans="1:25">
      <c r="A72" s="11" t="s">
        <v>651</v>
      </c>
      <c r="B72" s="271" t="s">
        <v>708</v>
      </c>
      <c r="C72" s="271" t="s">
        <v>709</v>
      </c>
      <c r="D72" s="271"/>
      <c r="E72" s="247">
        <f ca="1">DSUM($B$47:$Y$52,E$47,$B$59:$C72)</f>
        <v>0.17543437685372384</v>
      </c>
      <c r="F72" s="247">
        <f ca="1">DSUM($B$47:$Y$52,F$47,$B$59:$C72)</f>
        <v>0.26025759006813087</v>
      </c>
      <c r="G72" s="247">
        <f ca="1">DSUM($B$47:$Y$52,G$47,$B$59:$C72)</f>
        <v>0.31701012121926192</v>
      </c>
      <c r="H72" s="247">
        <f ca="1">DSUM($B$47:$Y$52,H$47,$B$59:$C72)</f>
        <v>0.34952592633113422</v>
      </c>
      <c r="I72" s="247">
        <f ca="1">DSUM($B$47:$Y$52,I$47,$B$59:$C72)</f>
        <v>0.367444281035892</v>
      </c>
      <c r="J72" s="247">
        <f ca="1">DSUM($B$47:$Y$52,J$47,$B$59:$C72)</f>
        <v>0.37182255790027335</v>
      </c>
      <c r="K72" s="247">
        <f ca="1">DSUM($B$47:$Y$52,K$47,$B$59:$C72)</f>
        <v>0.36932970203683829</v>
      </c>
      <c r="L72" s="247">
        <f ca="1">DSUM($B$47:$Y$52,L$47,$B$59:$C72)</f>
        <v>0.36381542463475597</v>
      </c>
      <c r="M72" s="247">
        <f ca="1">DSUM($B$47:$Y$52,M$47,$B$59:$C72)</f>
        <v>0.35743716814880361</v>
      </c>
      <c r="N72" s="247">
        <f ca="1">DSUM($B$47:$Y$52,N$47,$B$59:$C72)</f>
        <v>0.35163473707741277</v>
      </c>
      <c r="O72" s="247">
        <f ca="1">DSUM($B$47:$Y$52,O$47,$B$59:$C72)</f>
        <v>0.3468107639089878</v>
      </c>
      <c r="P72" s="247">
        <f ca="1">DSUM($B$47:$Y$52,P$47,$B$59:$C72)</f>
        <v>0.34314999766906579</v>
      </c>
      <c r="Q72" s="247">
        <f ca="1">DSUM($B$47:$Y$52,Q$47,$B$59:$C72)</f>
        <v>0.33998080573851275</v>
      </c>
      <c r="R72" s="247">
        <f ca="1">DSUM($B$47:$Y$52,R$47,$B$59:$C72)</f>
        <v>0.3368289389904095</v>
      </c>
      <c r="S72" s="247">
        <f ca="1">DSUM($B$47:$Y$52,S$47,$B$59:$C72)</f>
        <v>0.33385138890265548</v>
      </c>
      <c r="T72" s="247">
        <f ca="1">DSUM($B$47:$Y$52,T$47,$B$59:$C72)</f>
        <v>0.33115390011085655</v>
      </c>
      <c r="U72" s="247">
        <f ca="1">DSUM($B$47:$Y$52,U$47,$B$59:$C72)</f>
        <v>0.32873665339793112</v>
      </c>
      <c r="V72" s="247">
        <f ca="1">DSUM($B$47:$Y$52,V$47,$B$59:$C72)</f>
        <v>0.32655974360196743</v>
      </c>
      <c r="W72" s="247">
        <f ca="1">DSUM($B$47:$Y$52,W$47,$B$59:$C72)</f>
        <v>0.32459324085019153</v>
      </c>
      <c r="X72" s="247">
        <f ca="1">DSUM($B$47:$Y$52,X$47,$B$59:$C72)</f>
        <v>0.32322618181196971</v>
      </c>
      <c r="Y72" s="32">
        <f ca="1">DSUM($B$47:$Y$52,Y$47,$B$59:$C72)</f>
        <v>6.6186035002887751</v>
      </c>
    </row>
    <row r="73" spans="1:25">
      <c r="A73" s="11" t="s">
        <v>652</v>
      </c>
      <c r="B73" s="271" t="s">
        <v>710</v>
      </c>
      <c r="C73" s="271" t="s">
        <v>711</v>
      </c>
      <c r="D73" s="271"/>
      <c r="E73" s="247">
        <f ca="1">DSUM($B$47:$Y$52,E$47,$B$59:$C73)</f>
        <v>0.17543437685372384</v>
      </c>
      <c r="F73" s="247">
        <f ca="1">DSUM($B$47:$Y$52,F$47,$B$59:$C73)</f>
        <v>0.26025759006813087</v>
      </c>
      <c r="G73" s="247">
        <f ca="1">DSUM($B$47:$Y$52,G$47,$B$59:$C73)</f>
        <v>0.31701012121926192</v>
      </c>
      <c r="H73" s="247">
        <f ca="1">DSUM($B$47:$Y$52,H$47,$B$59:$C73)</f>
        <v>0.34952592633113422</v>
      </c>
      <c r="I73" s="247">
        <f ca="1">DSUM($B$47:$Y$52,I$47,$B$59:$C73)</f>
        <v>0.367444281035892</v>
      </c>
      <c r="J73" s="247">
        <f ca="1">DSUM($B$47:$Y$52,J$47,$B$59:$C73)</f>
        <v>0.37182255790027335</v>
      </c>
      <c r="K73" s="247">
        <f ca="1">DSUM($B$47:$Y$52,K$47,$B$59:$C73)</f>
        <v>0.36932970203683829</v>
      </c>
      <c r="L73" s="247">
        <f ca="1">DSUM($B$47:$Y$52,L$47,$B$59:$C73)</f>
        <v>0.36381542463475597</v>
      </c>
      <c r="M73" s="247">
        <f ca="1">DSUM($B$47:$Y$52,M$47,$B$59:$C73)</f>
        <v>0.35743716814880361</v>
      </c>
      <c r="N73" s="247">
        <f ca="1">DSUM($B$47:$Y$52,N$47,$B$59:$C73)</f>
        <v>0.35163473707741277</v>
      </c>
      <c r="O73" s="247">
        <f ca="1">DSUM($B$47:$Y$52,O$47,$B$59:$C73)</f>
        <v>0.3468107639089878</v>
      </c>
      <c r="P73" s="247">
        <f ca="1">DSUM($B$47:$Y$52,P$47,$B$59:$C73)</f>
        <v>0.34314999766906579</v>
      </c>
      <c r="Q73" s="247">
        <f ca="1">DSUM($B$47:$Y$52,Q$47,$B$59:$C73)</f>
        <v>0.33998080573851275</v>
      </c>
      <c r="R73" s="247">
        <f ca="1">DSUM($B$47:$Y$52,R$47,$B$59:$C73)</f>
        <v>0.3368289389904095</v>
      </c>
      <c r="S73" s="247">
        <f ca="1">DSUM($B$47:$Y$52,S$47,$B$59:$C73)</f>
        <v>0.33385138890265548</v>
      </c>
      <c r="T73" s="247">
        <f ca="1">DSUM($B$47:$Y$52,T$47,$B$59:$C73)</f>
        <v>0.33115390011085655</v>
      </c>
      <c r="U73" s="247">
        <f ca="1">DSUM($B$47:$Y$52,U$47,$B$59:$C73)</f>
        <v>0.32873665339793112</v>
      </c>
      <c r="V73" s="247">
        <f ca="1">DSUM($B$47:$Y$52,V$47,$B$59:$C73)</f>
        <v>0.32655974360196743</v>
      </c>
      <c r="W73" s="247">
        <f ca="1">DSUM($B$47:$Y$52,W$47,$B$59:$C73)</f>
        <v>0.32459324085019153</v>
      </c>
      <c r="X73" s="247">
        <f ca="1">DSUM($B$47:$Y$52,X$47,$B$59:$C73)</f>
        <v>0.32322618181196971</v>
      </c>
      <c r="Y73" s="32">
        <f ca="1">DSUM($B$47:$Y$52,Y$47,$B$59:$C73)</f>
        <v>6.6186035002887751</v>
      </c>
    </row>
    <row r="74" spans="1:25">
      <c r="A74" s="11" t="s">
        <v>653</v>
      </c>
      <c r="B74" s="271" t="s">
        <v>712</v>
      </c>
      <c r="C74" s="271" t="s">
        <v>713</v>
      </c>
      <c r="D74" s="271"/>
      <c r="E74" s="247">
        <f ca="1">DSUM($B$47:$Y$52,E$47,$B$59:$C74)</f>
        <v>0.17543437685372384</v>
      </c>
      <c r="F74" s="247">
        <f ca="1">DSUM($B$47:$Y$52,F$47,$B$59:$C74)</f>
        <v>0.26025759006813087</v>
      </c>
      <c r="G74" s="247">
        <f ca="1">DSUM($B$47:$Y$52,G$47,$B$59:$C74)</f>
        <v>0.31701012121926192</v>
      </c>
      <c r="H74" s="247">
        <f ca="1">DSUM($B$47:$Y$52,H$47,$B$59:$C74)</f>
        <v>0.34952592633113422</v>
      </c>
      <c r="I74" s="247">
        <f ca="1">DSUM($B$47:$Y$52,I$47,$B$59:$C74)</f>
        <v>0.367444281035892</v>
      </c>
      <c r="J74" s="247">
        <f ca="1">DSUM($B$47:$Y$52,J$47,$B$59:$C74)</f>
        <v>0.37182255790027335</v>
      </c>
      <c r="K74" s="247">
        <f ca="1">DSUM($B$47:$Y$52,K$47,$B$59:$C74)</f>
        <v>0.36932970203683829</v>
      </c>
      <c r="L74" s="247">
        <f ca="1">DSUM($B$47:$Y$52,L$47,$B$59:$C74)</f>
        <v>0.36381542463475597</v>
      </c>
      <c r="M74" s="247">
        <f ca="1">DSUM($B$47:$Y$52,M$47,$B$59:$C74)</f>
        <v>0.35743716814880361</v>
      </c>
      <c r="N74" s="247">
        <f ca="1">DSUM($B$47:$Y$52,N$47,$B$59:$C74)</f>
        <v>0.35163473707741277</v>
      </c>
      <c r="O74" s="247">
        <f ca="1">DSUM($B$47:$Y$52,O$47,$B$59:$C74)</f>
        <v>0.3468107639089878</v>
      </c>
      <c r="P74" s="247">
        <f ca="1">DSUM($B$47:$Y$52,P$47,$B$59:$C74)</f>
        <v>0.34314999766906579</v>
      </c>
      <c r="Q74" s="247">
        <f ca="1">DSUM($B$47:$Y$52,Q$47,$B$59:$C74)</f>
        <v>0.33998080573851275</v>
      </c>
      <c r="R74" s="247">
        <f ca="1">DSUM($B$47:$Y$52,R$47,$B$59:$C74)</f>
        <v>0.3368289389904095</v>
      </c>
      <c r="S74" s="247">
        <f ca="1">DSUM($B$47:$Y$52,S$47,$B$59:$C74)</f>
        <v>0.33385138890265548</v>
      </c>
      <c r="T74" s="247">
        <f ca="1">DSUM($B$47:$Y$52,T$47,$B$59:$C74)</f>
        <v>0.33115390011085655</v>
      </c>
      <c r="U74" s="247">
        <f ca="1">DSUM($B$47:$Y$52,U$47,$B$59:$C74)</f>
        <v>0.32873665339793112</v>
      </c>
      <c r="V74" s="247">
        <f ca="1">DSUM($B$47:$Y$52,V$47,$B$59:$C74)</f>
        <v>0.32655974360196743</v>
      </c>
      <c r="W74" s="247">
        <f ca="1">DSUM($B$47:$Y$52,W$47,$B$59:$C74)</f>
        <v>0.32459324085019153</v>
      </c>
      <c r="X74" s="247">
        <f ca="1">DSUM($B$47:$Y$52,X$47,$B$59:$C74)</f>
        <v>0.32322618181196971</v>
      </c>
      <c r="Y74" s="32">
        <f ca="1">DSUM($B$47:$Y$52,Y$47,$B$59:$C74)</f>
        <v>6.6186035002887751</v>
      </c>
    </row>
    <row r="75" spans="1:25">
      <c r="A75" s="11" t="s">
        <v>654</v>
      </c>
      <c r="B75" s="271" t="s">
        <v>714</v>
      </c>
      <c r="C75" s="271" t="s">
        <v>715</v>
      </c>
      <c r="D75" s="271"/>
      <c r="E75" s="247">
        <f ca="1">DSUM($B$47:$Y$52,E$47,$B$59:$C75)</f>
        <v>0.17543437685372384</v>
      </c>
      <c r="F75" s="247">
        <f ca="1">DSUM($B$47:$Y$52,F$47,$B$59:$C75)</f>
        <v>0.26025759006813087</v>
      </c>
      <c r="G75" s="247">
        <f ca="1">DSUM($B$47:$Y$52,G$47,$B$59:$C75)</f>
        <v>0.31701012121926192</v>
      </c>
      <c r="H75" s="247">
        <f ca="1">DSUM($B$47:$Y$52,H$47,$B$59:$C75)</f>
        <v>0.34952592633113422</v>
      </c>
      <c r="I75" s="247">
        <f ca="1">DSUM($B$47:$Y$52,I$47,$B$59:$C75)</f>
        <v>0.367444281035892</v>
      </c>
      <c r="J75" s="247">
        <f ca="1">DSUM($B$47:$Y$52,J$47,$B$59:$C75)</f>
        <v>0.37182255790027335</v>
      </c>
      <c r="K75" s="247">
        <f ca="1">DSUM($B$47:$Y$52,K$47,$B$59:$C75)</f>
        <v>0.36932970203683829</v>
      </c>
      <c r="L75" s="247">
        <f ca="1">DSUM($B$47:$Y$52,L$47,$B$59:$C75)</f>
        <v>0.36381542463475597</v>
      </c>
      <c r="M75" s="247">
        <f ca="1">DSUM($B$47:$Y$52,M$47,$B$59:$C75)</f>
        <v>0.35743716814880361</v>
      </c>
      <c r="N75" s="247">
        <f ca="1">DSUM($B$47:$Y$52,N$47,$B$59:$C75)</f>
        <v>0.35163473707741277</v>
      </c>
      <c r="O75" s="247">
        <f ca="1">DSUM($B$47:$Y$52,O$47,$B$59:$C75)</f>
        <v>0.3468107639089878</v>
      </c>
      <c r="P75" s="247">
        <f ca="1">DSUM($B$47:$Y$52,P$47,$B$59:$C75)</f>
        <v>0.34314999766906579</v>
      </c>
      <c r="Q75" s="247">
        <f ca="1">DSUM($B$47:$Y$52,Q$47,$B$59:$C75)</f>
        <v>0.33998080573851275</v>
      </c>
      <c r="R75" s="247">
        <f ca="1">DSUM($B$47:$Y$52,R$47,$B$59:$C75)</f>
        <v>0.3368289389904095</v>
      </c>
      <c r="S75" s="247">
        <f ca="1">DSUM($B$47:$Y$52,S$47,$B$59:$C75)</f>
        <v>0.33385138890265548</v>
      </c>
      <c r="T75" s="247">
        <f ca="1">DSUM($B$47:$Y$52,T$47,$B$59:$C75)</f>
        <v>0.33115390011085655</v>
      </c>
      <c r="U75" s="247">
        <f ca="1">DSUM($B$47:$Y$52,U$47,$B$59:$C75)</f>
        <v>0.32873665339793112</v>
      </c>
      <c r="V75" s="247">
        <f ca="1">DSUM($B$47:$Y$52,V$47,$B$59:$C75)</f>
        <v>0.32655974360196743</v>
      </c>
      <c r="W75" s="247">
        <f ca="1">DSUM($B$47:$Y$52,W$47,$B$59:$C75)</f>
        <v>0.32459324085019153</v>
      </c>
      <c r="X75" s="247">
        <f ca="1">DSUM($B$47:$Y$52,X$47,$B$59:$C75)</f>
        <v>0.32322618181196971</v>
      </c>
      <c r="Y75" s="32">
        <f ca="1">DSUM($B$47:$Y$52,Y$47,$B$59:$C75)</f>
        <v>6.6186035002887751</v>
      </c>
    </row>
    <row r="76" spans="1:25">
      <c r="A76" s="11" t="s">
        <v>655</v>
      </c>
      <c r="B76" s="271" t="s">
        <v>716</v>
      </c>
      <c r="C76" s="271" t="s">
        <v>717</v>
      </c>
      <c r="D76" s="271"/>
      <c r="E76" s="247">
        <f ca="1">DSUM($B$47:$Y$52,E$47,$B$59:$C76)</f>
        <v>0.17543437685372384</v>
      </c>
      <c r="F76" s="247">
        <f ca="1">DSUM($B$47:$Y$52,F$47,$B$59:$C76)</f>
        <v>0.26025759006813087</v>
      </c>
      <c r="G76" s="247">
        <f ca="1">DSUM($B$47:$Y$52,G$47,$B$59:$C76)</f>
        <v>0.31701012121926192</v>
      </c>
      <c r="H76" s="247">
        <f ca="1">DSUM($B$47:$Y$52,H$47,$B$59:$C76)</f>
        <v>0.34952592633113422</v>
      </c>
      <c r="I76" s="247">
        <f ca="1">DSUM($B$47:$Y$52,I$47,$B$59:$C76)</f>
        <v>0.367444281035892</v>
      </c>
      <c r="J76" s="247">
        <f ca="1">DSUM($B$47:$Y$52,J$47,$B$59:$C76)</f>
        <v>0.37182255790027335</v>
      </c>
      <c r="K76" s="247">
        <f ca="1">DSUM($B$47:$Y$52,K$47,$B$59:$C76)</f>
        <v>0.36932970203683829</v>
      </c>
      <c r="L76" s="247">
        <f ca="1">DSUM($B$47:$Y$52,L$47,$B$59:$C76)</f>
        <v>0.36381542463475597</v>
      </c>
      <c r="M76" s="247">
        <f ca="1">DSUM($B$47:$Y$52,M$47,$B$59:$C76)</f>
        <v>0.35743716814880361</v>
      </c>
      <c r="N76" s="247">
        <f ca="1">DSUM($B$47:$Y$52,N$47,$B$59:$C76)</f>
        <v>0.35163473707741277</v>
      </c>
      <c r="O76" s="247">
        <f ca="1">DSUM($B$47:$Y$52,O$47,$B$59:$C76)</f>
        <v>0.3468107639089878</v>
      </c>
      <c r="P76" s="247">
        <f ca="1">DSUM($B$47:$Y$52,P$47,$B$59:$C76)</f>
        <v>0.34314999766906579</v>
      </c>
      <c r="Q76" s="247">
        <f ca="1">DSUM($B$47:$Y$52,Q$47,$B$59:$C76)</f>
        <v>0.33998080573851275</v>
      </c>
      <c r="R76" s="247">
        <f ca="1">DSUM($B$47:$Y$52,R$47,$B$59:$C76)</f>
        <v>0.3368289389904095</v>
      </c>
      <c r="S76" s="247">
        <f ca="1">DSUM($B$47:$Y$52,S$47,$B$59:$C76)</f>
        <v>0.33385138890265548</v>
      </c>
      <c r="T76" s="247">
        <f ca="1">DSUM($B$47:$Y$52,T$47,$B$59:$C76)</f>
        <v>0.33115390011085655</v>
      </c>
      <c r="U76" s="247">
        <f ca="1">DSUM($B$47:$Y$52,U$47,$B$59:$C76)</f>
        <v>0.32873665339793112</v>
      </c>
      <c r="V76" s="247">
        <f ca="1">DSUM($B$47:$Y$52,V$47,$B$59:$C76)</f>
        <v>0.32655974360196743</v>
      </c>
      <c r="W76" s="247">
        <f ca="1">DSUM($B$47:$Y$52,W$47,$B$59:$C76)</f>
        <v>0.32459324085019153</v>
      </c>
      <c r="X76" s="247">
        <f ca="1">DSUM($B$47:$Y$52,X$47,$B$59:$C76)</f>
        <v>0.32322618181196971</v>
      </c>
      <c r="Y76" s="32">
        <f ca="1">DSUM($B$47:$Y$52,Y$47,$B$59:$C76)</f>
        <v>6.6186035002887751</v>
      </c>
    </row>
    <row r="77" spans="1:25">
      <c r="A77" s="11" t="s">
        <v>656</v>
      </c>
      <c r="B77" s="271" t="s">
        <v>718</v>
      </c>
      <c r="C77" s="271" t="s">
        <v>719</v>
      </c>
      <c r="D77" s="271"/>
      <c r="E77" s="247">
        <f ca="1">DSUM($B$47:$Y$52,E$47,$B$59:$C77)</f>
        <v>0.17543437685372384</v>
      </c>
      <c r="F77" s="247">
        <f ca="1">DSUM($B$47:$Y$52,F$47,$B$59:$C77)</f>
        <v>0.26025759006813087</v>
      </c>
      <c r="G77" s="247">
        <f ca="1">DSUM($B$47:$Y$52,G$47,$B$59:$C77)</f>
        <v>0.31701012121926192</v>
      </c>
      <c r="H77" s="247">
        <f ca="1">DSUM($B$47:$Y$52,H$47,$B$59:$C77)</f>
        <v>0.34952592633113422</v>
      </c>
      <c r="I77" s="247">
        <f ca="1">DSUM($B$47:$Y$52,I$47,$B$59:$C77)</f>
        <v>0.367444281035892</v>
      </c>
      <c r="J77" s="247">
        <f ca="1">DSUM($B$47:$Y$52,J$47,$B$59:$C77)</f>
        <v>0.37182255790027335</v>
      </c>
      <c r="K77" s="247">
        <f ca="1">DSUM($B$47:$Y$52,K$47,$B$59:$C77)</f>
        <v>0.36932970203683829</v>
      </c>
      <c r="L77" s="247">
        <f ca="1">DSUM($B$47:$Y$52,L$47,$B$59:$C77)</f>
        <v>0.36381542463475597</v>
      </c>
      <c r="M77" s="247">
        <f ca="1">DSUM($B$47:$Y$52,M$47,$B$59:$C77)</f>
        <v>0.35743716814880361</v>
      </c>
      <c r="N77" s="247">
        <f ca="1">DSUM($B$47:$Y$52,N$47,$B$59:$C77)</f>
        <v>0.35163473707741277</v>
      </c>
      <c r="O77" s="247">
        <f ca="1">DSUM($B$47:$Y$52,O$47,$B$59:$C77)</f>
        <v>0.3468107639089878</v>
      </c>
      <c r="P77" s="247">
        <f ca="1">DSUM($B$47:$Y$52,P$47,$B$59:$C77)</f>
        <v>0.34314999766906579</v>
      </c>
      <c r="Q77" s="247">
        <f ca="1">DSUM($B$47:$Y$52,Q$47,$B$59:$C77)</f>
        <v>0.33998080573851275</v>
      </c>
      <c r="R77" s="247">
        <f ca="1">DSUM($B$47:$Y$52,R$47,$B$59:$C77)</f>
        <v>0.3368289389904095</v>
      </c>
      <c r="S77" s="247">
        <f ca="1">DSUM($B$47:$Y$52,S$47,$B$59:$C77)</f>
        <v>0.33385138890265548</v>
      </c>
      <c r="T77" s="247">
        <f ca="1">DSUM($B$47:$Y$52,T$47,$B$59:$C77)</f>
        <v>0.33115390011085655</v>
      </c>
      <c r="U77" s="247">
        <f ca="1">DSUM($B$47:$Y$52,U$47,$B$59:$C77)</f>
        <v>0.32873665339793112</v>
      </c>
      <c r="V77" s="247">
        <f ca="1">DSUM($B$47:$Y$52,V$47,$B$59:$C77)</f>
        <v>0.32655974360196743</v>
      </c>
      <c r="W77" s="247">
        <f ca="1">DSUM($B$47:$Y$52,W$47,$B$59:$C77)</f>
        <v>0.32459324085019153</v>
      </c>
      <c r="X77" s="247">
        <f ca="1">DSUM($B$47:$Y$52,X$47,$B$59:$C77)</f>
        <v>0.32322618181196971</v>
      </c>
      <c r="Y77" s="32">
        <f ca="1">DSUM($B$47:$Y$52,Y$47,$B$59:$C77)</f>
        <v>6.6186035002887751</v>
      </c>
    </row>
    <row r="78" spans="1:25">
      <c r="A78" s="11" t="s">
        <v>657</v>
      </c>
      <c r="B78" s="271" t="s">
        <v>720</v>
      </c>
      <c r="C78" s="271" t="s">
        <v>721</v>
      </c>
      <c r="D78" s="271"/>
      <c r="E78" s="247">
        <f ca="1">DSUM($B$47:$Y$52,E$47,$B$59:$C78)</f>
        <v>0.17543437685372384</v>
      </c>
      <c r="F78" s="247">
        <f ca="1">DSUM($B$47:$Y$52,F$47,$B$59:$C78)</f>
        <v>0.26025759006813087</v>
      </c>
      <c r="G78" s="247">
        <f ca="1">DSUM($B$47:$Y$52,G$47,$B$59:$C78)</f>
        <v>0.31701012121926192</v>
      </c>
      <c r="H78" s="247">
        <f ca="1">DSUM($B$47:$Y$52,H$47,$B$59:$C78)</f>
        <v>0.34952592633113422</v>
      </c>
      <c r="I78" s="247">
        <f ca="1">DSUM($B$47:$Y$52,I$47,$B$59:$C78)</f>
        <v>0.367444281035892</v>
      </c>
      <c r="J78" s="247">
        <f ca="1">DSUM($B$47:$Y$52,J$47,$B$59:$C78)</f>
        <v>0.37182255790027335</v>
      </c>
      <c r="K78" s="247">
        <f ca="1">DSUM($B$47:$Y$52,K$47,$B$59:$C78)</f>
        <v>0.36932970203683829</v>
      </c>
      <c r="L78" s="247">
        <f ca="1">DSUM($B$47:$Y$52,L$47,$B$59:$C78)</f>
        <v>0.36381542463475597</v>
      </c>
      <c r="M78" s="247">
        <f ca="1">DSUM($B$47:$Y$52,M$47,$B$59:$C78)</f>
        <v>0.35743716814880361</v>
      </c>
      <c r="N78" s="247">
        <f ca="1">DSUM($B$47:$Y$52,N$47,$B$59:$C78)</f>
        <v>0.35163473707741277</v>
      </c>
      <c r="O78" s="247">
        <f ca="1">DSUM($B$47:$Y$52,O$47,$B$59:$C78)</f>
        <v>0.3468107639089878</v>
      </c>
      <c r="P78" s="247">
        <f ca="1">DSUM($B$47:$Y$52,P$47,$B$59:$C78)</f>
        <v>0.34314999766906579</v>
      </c>
      <c r="Q78" s="247">
        <f ca="1">DSUM($B$47:$Y$52,Q$47,$B$59:$C78)</f>
        <v>0.33998080573851275</v>
      </c>
      <c r="R78" s="247">
        <f ca="1">DSUM($B$47:$Y$52,R$47,$B$59:$C78)</f>
        <v>0.3368289389904095</v>
      </c>
      <c r="S78" s="247">
        <f ca="1">DSUM($B$47:$Y$52,S$47,$B$59:$C78)</f>
        <v>0.33385138890265548</v>
      </c>
      <c r="T78" s="247">
        <f ca="1">DSUM($B$47:$Y$52,T$47,$B$59:$C78)</f>
        <v>0.33115390011085655</v>
      </c>
      <c r="U78" s="247">
        <f ca="1">DSUM($B$47:$Y$52,U$47,$B$59:$C78)</f>
        <v>0.32873665339793112</v>
      </c>
      <c r="V78" s="247">
        <f ca="1">DSUM($B$47:$Y$52,V$47,$B$59:$C78)</f>
        <v>0.32655974360196743</v>
      </c>
      <c r="W78" s="247">
        <f ca="1">DSUM($B$47:$Y$52,W$47,$B$59:$C78)</f>
        <v>0.32459324085019153</v>
      </c>
      <c r="X78" s="247">
        <f ca="1">DSUM($B$47:$Y$52,X$47,$B$59:$C78)</f>
        <v>0.32322618181196971</v>
      </c>
      <c r="Y78" s="32">
        <f ca="1">DSUM($B$47:$Y$52,Y$47,$B$59:$C78)</f>
        <v>6.6186035002887751</v>
      </c>
    </row>
    <row r="79" spans="1:25">
      <c r="A79" s="11" t="s">
        <v>658</v>
      </c>
      <c r="B79" s="271" t="s">
        <v>722</v>
      </c>
      <c r="C79" s="271" t="s">
        <v>723</v>
      </c>
      <c r="D79" s="271"/>
      <c r="E79" s="247">
        <f ca="1">DSUM($B$47:$Y$52,E$47,$B$59:$C79)</f>
        <v>0.17543437685372384</v>
      </c>
      <c r="F79" s="247">
        <f ca="1">DSUM($B$47:$Y$52,F$47,$B$59:$C79)</f>
        <v>0.26025759006813087</v>
      </c>
      <c r="G79" s="247">
        <f ca="1">DSUM($B$47:$Y$52,G$47,$B$59:$C79)</f>
        <v>0.31701012121926192</v>
      </c>
      <c r="H79" s="247">
        <f ca="1">DSUM($B$47:$Y$52,H$47,$B$59:$C79)</f>
        <v>0.34952592633113422</v>
      </c>
      <c r="I79" s="247">
        <f ca="1">DSUM($B$47:$Y$52,I$47,$B$59:$C79)</f>
        <v>0.367444281035892</v>
      </c>
      <c r="J79" s="247">
        <f ca="1">DSUM($B$47:$Y$52,J$47,$B$59:$C79)</f>
        <v>0.37182255790027335</v>
      </c>
      <c r="K79" s="247">
        <f ca="1">DSUM($B$47:$Y$52,K$47,$B$59:$C79)</f>
        <v>0.36932970203683829</v>
      </c>
      <c r="L79" s="247">
        <f ca="1">DSUM($B$47:$Y$52,L$47,$B$59:$C79)</f>
        <v>0.36381542463475597</v>
      </c>
      <c r="M79" s="247">
        <f ca="1">DSUM($B$47:$Y$52,M$47,$B$59:$C79)</f>
        <v>0.35743716814880361</v>
      </c>
      <c r="N79" s="247">
        <f ca="1">DSUM($B$47:$Y$52,N$47,$B$59:$C79)</f>
        <v>0.35163473707741277</v>
      </c>
      <c r="O79" s="247">
        <f ca="1">DSUM($B$47:$Y$52,O$47,$B$59:$C79)</f>
        <v>0.3468107639089878</v>
      </c>
      <c r="P79" s="247">
        <f ca="1">DSUM($B$47:$Y$52,P$47,$B$59:$C79)</f>
        <v>0.34314999766906579</v>
      </c>
      <c r="Q79" s="247">
        <f ca="1">DSUM($B$47:$Y$52,Q$47,$B$59:$C79)</f>
        <v>0.33998080573851275</v>
      </c>
      <c r="R79" s="247">
        <f ca="1">DSUM($B$47:$Y$52,R$47,$B$59:$C79)</f>
        <v>0.3368289389904095</v>
      </c>
      <c r="S79" s="247">
        <f ca="1">DSUM($B$47:$Y$52,S$47,$B$59:$C79)</f>
        <v>0.33385138890265548</v>
      </c>
      <c r="T79" s="247">
        <f ca="1">DSUM($B$47:$Y$52,T$47,$B$59:$C79)</f>
        <v>0.33115390011085655</v>
      </c>
      <c r="U79" s="247">
        <f ca="1">DSUM($B$47:$Y$52,U$47,$B$59:$C79)</f>
        <v>0.32873665339793112</v>
      </c>
      <c r="V79" s="247">
        <f ca="1">DSUM($B$47:$Y$52,V$47,$B$59:$C79)</f>
        <v>0.32655974360196743</v>
      </c>
      <c r="W79" s="247">
        <f ca="1">DSUM($B$47:$Y$52,W$47,$B$59:$C79)</f>
        <v>0.32459324085019153</v>
      </c>
      <c r="X79" s="247">
        <f ca="1">DSUM($B$47:$Y$52,X$47,$B$59:$C79)</f>
        <v>0.32322618181196971</v>
      </c>
      <c r="Y79" s="32">
        <f ca="1">DSUM($B$47:$Y$52,Y$47,$B$59:$C79)</f>
        <v>6.6186035002887751</v>
      </c>
    </row>
    <row r="80" spans="1:25">
      <c r="A80" s="11" t="s">
        <v>659</v>
      </c>
      <c r="B80" s="271" t="s">
        <v>724</v>
      </c>
      <c r="C80" s="271" t="s">
        <v>725</v>
      </c>
      <c r="D80" s="271"/>
      <c r="E80" s="247">
        <f ca="1">DSUM($B$47:$Y$52,E$47,$B$59:$C80)</f>
        <v>0.17543437685372384</v>
      </c>
      <c r="F80" s="247">
        <f ca="1">DSUM($B$47:$Y$52,F$47,$B$59:$C80)</f>
        <v>0.26025759006813087</v>
      </c>
      <c r="G80" s="247">
        <f ca="1">DSUM($B$47:$Y$52,G$47,$B$59:$C80)</f>
        <v>0.31701012121926192</v>
      </c>
      <c r="H80" s="247">
        <f ca="1">DSUM($B$47:$Y$52,H$47,$B$59:$C80)</f>
        <v>0.34952592633113422</v>
      </c>
      <c r="I80" s="247">
        <f ca="1">DSUM($B$47:$Y$52,I$47,$B$59:$C80)</f>
        <v>0.367444281035892</v>
      </c>
      <c r="J80" s="247">
        <f ca="1">DSUM($B$47:$Y$52,J$47,$B$59:$C80)</f>
        <v>0.37182255790027335</v>
      </c>
      <c r="K80" s="247">
        <f ca="1">DSUM($B$47:$Y$52,K$47,$B$59:$C80)</f>
        <v>0.36932970203683829</v>
      </c>
      <c r="L80" s="247">
        <f ca="1">DSUM($B$47:$Y$52,L$47,$B$59:$C80)</f>
        <v>0.36381542463475597</v>
      </c>
      <c r="M80" s="247">
        <f ca="1">DSUM($B$47:$Y$52,M$47,$B$59:$C80)</f>
        <v>0.35743716814880361</v>
      </c>
      <c r="N80" s="247">
        <f ca="1">DSUM($B$47:$Y$52,N$47,$B$59:$C80)</f>
        <v>0.35163473707741277</v>
      </c>
      <c r="O80" s="247">
        <f ca="1">DSUM($B$47:$Y$52,O$47,$B$59:$C80)</f>
        <v>0.3468107639089878</v>
      </c>
      <c r="P80" s="247">
        <f ca="1">DSUM($B$47:$Y$52,P$47,$B$59:$C80)</f>
        <v>0.34314999766906579</v>
      </c>
      <c r="Q80" s="247">
        <f ca="1">DSUM($B$47:$Y$52,Q$47,$B$59:$C80)</f>
        <v>0.33998080573851275</v>
      </c>
      <c r="R80" s="247">
        <f ca="1">DSUM($B$47:$Y$52,R$47,$B$59:$C80)</f>
        <v>0.3368289389904095</v>
      </c>
      <c r="S80" s="247">
        <f ca="1">DSUM($B$47:$Y$52,S$47,$B$59:$C80)</f>
        <v>0.33385138890265548</v>
      </c>
      <c r="T80" s="247">
        <f ca="1">DSUM($B$47:$Y$52,T$47,$B$59:$C80)</f>
        <v>0.33115390011085655</v>
      </c>
      <c r="U80" s="247">
        <f ca="1">DSUM($B$47:$Y$52,U$47,$B$59:$C80)</f>
        <v>0.32873665339793112</v>
      </c>
      <c r="V80" s="247">
        <f ca="1">DSUM($B$47:$Y$52,V$47,$B$59:$C80)</f>
        <v>0.32655974360196743</v>
      </c>
      <c r="W80" s="247">
        <f ca="1">DSUM($B$47:$Y$52,W$47,$B$59:$C80)</f>
        <v>0.32459324085019153</v>
      </c>
      <c r="X80" s="247">
        <f ca="1">DSUM($B$47:$Y$52,X$47,$B$59:$C80)</f>
        <v>0.32322618181196971</v>
      </c>
      <c r="Y80" s="32">
        <f ca="1">DSUM($B$47:$Y$52,Y$47,$B$59:$C80)</f>
        <v>6.6186035002887751</v>
      </c>
    </row>
    <row r="81" spans="1:25">
      <c r="A81" s="11" t="s">
        <v>757</v>
      </c>
      <c r="B81" s="271" t="s">
        <v>726</v>
      </c>
      <c r="C81" s="271" t="s">
        <v>747</v>
      </c>
      <c r="D81" s="271"/>
      <c r="E81" s="247">
        <f ca="1">DSUM($B$47:$Y$52,E$47,$B$59:$C81)</f>
        <v>0.17543437685372384</v>
      </c>
      <c r="F81" s="247">
        <f ca="1">DSUM($B$47:$Y$52,F$47,$B$59:$C81)</f>
        <v>0.26025759006813087</v>
      </c>
      <c r="G81" s="247">
        <f ca="1">DSUM($B$47:$Y$52,G$47,$B$59:$C81)</f>
        <v>0.31701012121926192</v>
      </c>
      <c r="H81" s="247">
        <f ca="1">DSUM($B$47:$Y$52,H$47,$B$59:$C81)</f>
        <v>0.34952592633113422</v>
      </c>
      <c r="I81" s="247">
        <f ca="1">DSUM($B$47:$Y$52,I$47,$B$59:$C81)</f>
        <v>0.367444281035892</v>
      </c>
      <c r="J81" s="247">
        <f ca="1">DSUM($B$47:$Y$52,J$47,$B$59:$C81)</f>
        <v>0.37182255790027335</v>
      </c>
      <c r="K81" s="247">
        <f ca="1">DSUM($B$47:$Y$52,K$47,$B$59:$C81)</f>
        <v>0.36932970203683829</v>
      </c>
      <c r="L81" s="247">
        <f ca="1">DSUM($B$47:$Y$52,L$47,$B$59:$C81)</f>
        <v>0.36381542463475597</v>
      </c>
      <c r="M81" s="247">
        <f ca="1">DSUM($B$47:$Y$52,M$47,$B$59:$C81)</f>
        <v>0.35743716814880361</v>
      </c>
      <c r="N81" s="247">
        <f ca="1">DSUM($B$47:$Y$52,N$47,$B$59:$C81)</f>
        <v>0.35163473707741277</v>
      </c>
      <c r="O81" s="247">
        <f ca="1">DSUM($B$47:$Y$52,O$47,$B$59:$C81)</f>
        <v>0.3468107639089878</v>
      </c>
      <c r="P81" s="247">
        <f ca="1">DSUM($B$47:$Y$52,P$47,$B$59:$C81)</f>
        <v>0.34314999766906579</v>
      </c>
      <c r="Q81" s="247">
        <f ca="1">DSUM($B$47:$Y$52,Q$47,$B$59:$C81)</f>
        <v>0.33998080573851275</v>
      </c>
      <c r="R81" s="247">
        <f ca="1">DSUM($B$47:$Y$52,R$47,$B$59:$C81)</f>
        <v>0.3368289389904095</v>
      </c>
      <c r="S81" s="247">
        <f ca="1">DSUM($B$47:$Y$52,S$47,$B$59:$C81)</f>
        <v>0.33385138890265548</v>
      </c>
      <c r="T81" s="247">
        <f ca="1">DSUM($B$47:$Y$52,T$47,$B$59:$C81)</f>
        <v>0.33115390011085655</v>
      </c>
      <c r="U81" s="247">
        <f ca="1">DSUM($B$47:$Y$52,U$47,$B$59:$C81)</f>
        <v>0.32873665339793112</v>
      </c>
      <c r="V81" s="247">
        <f ca="1">DSUM($B$47:$Y$52,V$47,$B$59:$C81)</f>
        <v>0.32655974360196743</v>
      </c>
      <c r="W81" s="247">
        <f ca="1">DSUM($B$47:$Y$52,W$47,$B$59:$C81)</f>
        <v>0.32459324085019153</v>
      </c>
      <c r="X81" s="247">
        <f ca="1">DSUM($B$47:$Y$52,X$47,$B$59:$C81)</f>
        <v>0.32322618181196971</v>
      </c>
      <c r="Y81" s="32">
        <f ca="1">DSUM($B$47:$Y$52,Y$47,$B$59:$C81)</f>
        <v>6.6186035002887751</v>
      </c>
    </row>
    <row r="82" spans="1:25">
      <c r="A82" s="11" t="s">
        <v>758</v>
      </c>
      <c r="B82" s="271" t="s">
        <v>737</v>
      </c>
      <c r="C82" s="271" t="s">
        <v>748</v>
      </c>
      <c r="D82" s="271"/>
      <c r="E82" s="247">
        <f ca="1">DSUM($B$47:$Y$52,E$47,$B$59:$C82)</f>
        <v>0.17543437685372384</v>
      </c>
      <c r="F82" s="247">
        <f ca="1">DSUM($B$47:$Y$52,F$47,$B$59:$C82)</f>
        <v>0.26025759006813087</v>
      </c>
      <c r="G82" s="247">
        <f ca="1">DSUM($B$47:$Y$52,G$47,$B$59:$C82)</f>
        <v>0.31701012121926192</v>
      </c>
      <c r="H82" s="247">
        <f ca="1">DSUM($B$47:$Y$52,H$47,$B$59:$C82)</f>
        <v>0.34952592633113422</v>
      </c>
      <c r="I82" s="247">
        <f ca="1">DSUM($B$47:$Y$52,I$47,$B$59:$C82)</f>
        <v>0.367444281035892</v>
      </c>
      <c r="J82" s="247">
        <f ca="1">DSUM($B$47:$Y$52,J$47,$B$59:$C82)</f>
        <v>0.37182255790027335</v>
      </c>
      <c r="K82" s="247">
        <f ca="1">DSUM($B$47:$Y$52,K$47,$B$59:$C82)</f>
        <v>0.36932970203683829</v>
      </c>
      <c r="L82" s="247">
        <f ca="1">DSUM($B$47:$Y$52,L$47,$B$59:$C82)</f>
        <v>0.36381542463475597</v>
      </c>
      <c r="M82" s="247">
        <f ca="1">DSUM($B$47:$Y$52,M$47,$B$59:$C82)</f>
        <v>0.35743716814880361</v>
      </c>
      <c r="N82" s="247">
        <f ca="1">DSUM($B$47:$Y$52,N$47,$B$59:$C82)</f>
        <v>0.35163473707741277</v>
      </c>
      <c r="O82" s="247">
        <f ca="1">DSUM($B$47:$Y$52,O$47,$B$59:$C82)</f>
        <v>0.3468107639089878</v>
      </c>
      <c r="P82" s="247">
        <f ca="1">DSUM($B$47:$Y$52,P$47,$B$59:$C82)</f>
        <v>0.34314999766906579</v>
      </c>
      <c r="Q82" s="247">
        <f ca="1">DSUM($B$47:$Y$52,Q$47,$B$59:$C82)</f>
        <v>0.33998080573851275</v>
      </c>
      <c r="R82" s="247">
        <f ca="1">DSUM($B$47:$Y$52,R$47,$B$59:$C82)</f>
        <v>0.3368289389904095</v>
      </c>
      <c r="S82" s="247">
        <f ca="1">DSUM($B$47:$Y$52,S$47,$B$59:$C82)</f>
        <v>0.33385138890265548</v>
      </c>
      <c r="T82" s="247">
        <f ca="1">DSUM($B$47:$Y$52,T$47,$B$59:$C82)</f>
        <v>0.33115390011085655</v>
      </c>
      <c r="U82" s="247">
        <f ca="1">DSUM($B$47:$Y$52,U$47,$B$59:$C82)</f>
        <v>0.32873665339793112</v>
      </c>
      <c r="V82" s="247">
        <f ca="1">DSUM($B$47:$Y$52,V$47,$B$59:$C82)</f>
        <v>0.32655974360196743</v>
      </c>
      <c r="W82" s="247">
        <f ca="1">DSUM($B$47:$Y$52,W$47,$B$59:$C82)</f>
        <v>0.32459324085019153</v>
      </c>
      <c r="X82" s="247">
        <f ca="1">DSUM($B$47:$Y$52,X$47,$B$59:$C82)</f>
        <v>0.32322618181196971</v>
      </c>
      <c r="Y82" s="32">
        <f ca="1">DSUM($B$47:$Y$52,Y$47,$B$59:$C82)</f>
        <v>6.6186035002887751</v>
      </c>
    </row>
    <row r="83" spans="1:25">
      <c r="A83" s="11" t="s">
        <v>759</v>
      </c>
      <c r="B83" s="271" t="s">
        <v>738</v>
      </c>
      <c r="C83" s="271" t="s">
        <v>749</v>
      </c>
      <c r="D83" s="271"/>
      <c r="E83" s="247">
        <f ca="1">DSUM($B$47:$Y$52,E$47,$B$59:$C83)</f>
        <v>0.17543437685372384</v>
      </c>
      <c r="F83" s="247">
        <f ca="1">DSUM($B$47:$Y$52,F$47,$B$59:$C83)</f>
        <v>0.26025759006813087</v>
      </c>
      <c r="G83" s="247">
        <f ca="1">DSUM($B$47:$Y$52,G$47,$B$59:$C83)</f>
        <v>0.31701012121926192</v>
      </c>
      <c r="H83" s="247">
        <f ca="1">DSUM($B$47:$Y$52,H$47,$B$59:$C83)</f>
        <v>0.34952592633113422</v>
      </c>
      <c r="I83" s="247">
        <f ca="1">DSUM($B$47:$Y$52,I$47,$B$59:$C83)</f>
        <v>0.367444281035892</v>
      </c>
      <c r="J83" s="247">
        <f ca="1">DSUM($B$47:$Y$52,J$47,$B$59:$C83)</f>
        <v>0.37182255790027335</v>
      </c>
      <c r="K83" s="247">
        <f ca="1">DSUM($B$47:$Y$52,K$47,$B$59:$C83)</f>
        <v>0.36932970203683829</v>
      </c>
      <c r="L83" s="247">
        <f ca="1">DSUM($B$47:$Y$52,L$47,$B$59:$C83)</f>
        <v>0.36381542463475597</v>
      </c>
      <c r="M83" s="247">
        <f ca="1">DSUM($B$47:$Y$52,M$47,$B$59:$C83)</f>
        <v>0.35743716814880361</v>
      </c>
      <c r="N83" s="247">
        <f ca="1">DSUM($B$47:$Y$52,N$47,$B$59:$C83)</f>
        <v>0.35163473707741277</v>
      </c>
      <c r="O83" s="247">
        <f ca="1">DSUM($B$47:$Y$52,O$47,$B$59:$C83)</f>
        <v>0.3468107639089878</v>
      </c>
      <c r="P83" s="247">
        <f ca="1">DSUM($B$47:$Y$52,P$47,$B$59:$C83)</f>
        <v>0.34314999766906579</v>
      </c>
      <c r="Q83" s="247">
        <f ca="1">DSUM($B$47:$Y$52,Q$47,$B$59:$C83)</f>
        <v>0.33998080573851275</v>
      </c>
      <c r="R83" s="247">
        <f ca="1">DSUM($B$47:$Y$52,R$47,$B$59:$C83)</f>
        <v>0.3368289389904095</v>
      </c>
      <c r="S83" s="247">
        <f ca="1">DSUM($B$47:$Y$52,S$47,$B$59:$C83)</f>
        <v>0.33385138890265548</v>
      </c>
      <c r="T83" s="247">
        <f ca="1">DSUM($B$47:$Y$52,T$47,$B$59:$C83)</f>
        <v>0.33115390011085655</v>
      </c>
      <c r="U83" s="247">
        <f ca="1">DSUM($B$47:$Y$52,U$47,$B$59:$C83)</f>
        <v>0.32873665339793112</v>
      </c>
      <c r="V83" s="247">
        <f ca="1">DSUM($B$47:$Y$52,V$47,$B$59:$C83)</f>
        <v>0.32655974360196743</v>
      </c>
      <c r="W83" s="247">
        <f ca="1">DSUM($B$47:$Y$52,W$47,$B$59:$C83)</f>
        <v>0.32459324085019153</v>
      </c>
      <c r="X83" s="247">
        <f ca="1">DSUM($B$47:$Y$52,X$47,$B$59:$C83)</f>
        <v>0.32322618181196971</v>
      </c>
      <c r="Y83" s="32">
        <f ca="1">DSUM($B$47:$Y$52,Y$47,$B$59:$C83)</f>
        <v>6.6186035002887751</v>
      </c>
    </row>
    <row r="84" spans="1:25">
      <c r="A84" s="11" t="s">
        <v>760</v>
      </c>
      <c r="B84" s="271" t="s">
        <v>739</v>
      </c>
      <c r="C84" s="271" t="s">
        <v>750</v>
      </c>
      <c r="D84" s="271"/>
      <c r="E84" s="247">
        <f ca="1">DSUM($B$47:$Y$52,E$47,$B$59:$C84)</f>
        <v>0.17543437685372384</v>
      </c>
      <c r="F84" s="247">
        <f ca="1">DSUM($B$47:$Y$52,F$47,$B$59:$C84)</f>
        <v>0.26025759006813087</v>
      </c>
      <c r="G84" s="247">
        <f ca="1">DSUM($B$47:$Y$52,G$47,$B$59:$C84)</f>
        <v>0.31701012121926192</v>
      </c>
      <c r="H84" s="247">
        <f ca="1">DSUM($B$47:$Y$52,H$47,$B$59:$C84)</f>
        <v>0.34952592633113422</v>
      </c>
      <c r="I84" s="247">
        <f ca="1">DSUM($B$47:$Y$52,I$47,$B$59:$C84)</f>
        <v>0.367444281035892</v>
      </c>
      <c r="J84" s="247">
        <f ca="1">DSUM($B$47:$Y$52,J$47,$B$59:$C84)</f>
        <v>0.37182255790027335</v>
      </c>
      <c r="K84" s="247">
        <f ca="1">DSUM($B$47:$Y$52,K$47,$B$59:$C84)</f>
        <v>0.36932970203683829</v>
      </c>
      <c r="L84" s="247">
        <f ca="1">DSUM($B$47:$Y$52,L$47,$B$59:$C84)</f>
        <v>0.36381542463475597</v>
      </c>
      <c r="M84" s="247">
        <f ca="1">DSUM($B$47:$Y$52,M$47,$B$59:$C84)</f>
        <v>0.35743716814880361</v>
      </c>
      <c r="N84" s="247">
        <f ca="1">DSUM($B$47:$Y$52,N$47,$B$59:$C84)</f>
        <v>0.35163473707741277</v>
      </c>
      <c r="O84" s="247">
        <f ca="1">DSUM($B$47:$Y$52,O$47,$B$59:$C84)</f>
        <v>0.3468107639089878</v>
      </c>
      <c r="P84" s="247">
        <f ca="1">DSUM($B$47:$Y$52,P$47,$B$59:$C84)</f>
        <v>0.34314999766906579</v>
      </c>
      <c r="Q84" s="247">
        <f ca="1">DSUM($B$47:$Y$52,Q$47,$B$59:$C84)</f>
        <v>0.33998080573851275</v>
      </c>
      <c r="R84" s="247">
        <f ca="1">DSUM($B$47:$Y$52,R$47,$B$59:$C84)</f>
        <v>0.3368289389904095</v>
      </c>
      <c r="S84" s="247">
        <f ca="1">DSUM($B$47:$Y$52,S$47,$B$59:$C84)</f>
        <v>0.33385138890265548</v>
      </c>
      <c r="T84" s="247">
        <f ca="1">DSUM($B$47:$Y$52,T$47,$B$59:$C84)</f>
        <v>0.33115390011085655</v>
      </c>
      <c r="U84" s="247">
        <f ca="1">DSUM($B$47:$Y$52,U$47,$B$59:$C84)</f>
        <v>0.32873665339793112</v>
      </c>
      <c r="V84" s="247">
        <f ca="1">DSUM($B$47:$Y$52,V$47,$B$59:$C84)</f>
        <v>0.32655974360196743</v>
      </c>
      <c r="W84" s="247">
        <f ca="1">DSUM($B$47:$Y$52,W$47,$B$59:$C84)</f>
        <v>0.32459324085019153</v>
      </c>
      <c r="X84" s="247">
        <f ca="1">DSUM($B$47:$Y$52,X$47,$B$59:$C84)</f>
        <v>0.32322618181196971</v>
      </c>
      <c r="Y84" s="32">
        <f ca="1">DSUM($B$47:$Y$52,Y$47,$B$59:$C84)</f>
        <v>6.6186035002887751</v>
      </c>
    </row>
    <row r="85" spans="1:25">
      <c r="A85" s="11" t="s">
        <v>761</v>
      </c>
      <c r="B85" s="271" t="s">
        <v>740</v>
      </c>
      <c r="C85" s="271" t="s">
        <v>751</v>
      </c>
      <c r="D85" s="271"/>
      <c r="E85" s="247">
        <f ca="1">DSUM($B$47:$Y$52,E$47,$B$59:$C85)</f>
        <v>0.17543437685372384</v>
      </c>
      <c r="F85" s="247">
        <f ca="1">DSUM($B$47:$Y$52,F$47,$B$59:$C85)</f>
        <v>0.26025759006813087</v>
      </c>
      <c r="G85" s="247">
        <f ca="1">DSUM($B$47:$Y$52,G$47,$B$59:$C85)</f>
        <v>0.31701012121926192</v>
      </c>
      <c r="H85" s="247">
        <f ca="1">DSUM($B$47:$Y$52,H$47,$B$59:$C85)</f>
        <v>0.34952592633113422</v>
      </c>
      <c r="I85" s="247">
        <f ca="1">DSUM($B$47:$Y$52,I$47,$B$59:$C85)</f>
        <v>0.367444281035892</v>
      </c>
      <c r="J85" s="247">
        <f ca="1">DSUM($B$47:$Y$52,J$47,$B$59:$C85)</f>
        <v>0.37182255790027335</v>
      </c>
      <c r="K85" s="247">
        <f ca="1">DSUM($B$47:$Y$52,K$47,$B$59:$C85)</f>
        <v>0.36932970203683829</v>
      </c>
      <c r="L85" s="247">
        <f ca="1">DSUM($B$47:$Y$52,L$47,$B$59:$C85)</f>
        <v>0.36381542463475597</v>
      </c>
      <c r="M85" s="247">
        <f ca="1">DSUM($B$47:$Y$52,M$47,$B$59:$C85)</f>
        <v>0.35743716814880361</v>
      </c>
      <c r="N85" s="247">
        <f ca="1">DSUM($B$47:$Y$52,N$47,$B$59:$C85)</f>
        <v>0.35163473707741277</v>
      </c>
      <c r="O85" s="247">
        <f ca="1">DSUM($B$47:$Y$52,O$47,$B$59:$C85)</f>
        <v>0.3468107639089878</v>
      </c>
      <c r="P85" s="247">
        <f ca="1">DSUM($B$47:$Y$52,P$47,$B$59:$C85)</f>
        <v>0.34314999766906579</v>
      </c>
      <c r="Q85" s="247">
        <f ca="1">DSUM($B$47:$Y$52,Q$47,$B$59:$C85)</f>
        <v>0.33998080573851275</v>
      </c>
      <c r="R85" s="247">
        <f ca="1">DSUM($B$47:$Y$52,R$47,$B$59:$C85)</f>
        <v>0.3368289389904095</v>
      </c>
      <c r="S85" s="247">
        <f ca="1">DSUM($B$47:$Y$52,S$47,$B$59:$C85)</f>
        <v>0.33385138890265548</v>
      </c>
      <c r="T85" s="247">
        <f ca="1">DSUM($B$47:$Y$52,T$47,$B$59:$C85)</f>
        <v>0.33115390011085655</v>
      </c>
      <c r="U85" s="247">
        <f ca="1">DSUM($B$47:$Y$52,U$47,$B$59:$C85)</f>
        <v>0.32873665339793112</v>
      </c>
      <c r="V85" s="247">
        <f ca="1">DSUM($B$47:$Y$52,V$47,$B$59:$C85)</f>
        <v>0.32655974360196743</v>
      </c>
      <c r="W85" s="247">
        <f ca="1">DSUM($B$47:$Y$52,W$47,$B$59:$C85)</f>
        <v>0.32459324085019153</v>
      </c>
      <c r="X85" s="247">
        <f ca="1">DSUM($B$47:$Y$52,X$47,$B$59:$C85)</f>
        <v>0.32322618181196971</v>
      </c>
      <c r="Y85" s="32">
        <f ca="1">DSUM($B$47:$Y$52,Y$47,$B$59:$C85)</f>
        <v>6.6186035002887751</v>
      </c>
    </row>
    <row r="86" spans="1:25">
      <c r="A86" s="11" t="s">
        <v>762</v>
      </c>
      <c r="B86" s="271" t="s">
        <v>741</v>
      </c>
      <c r="C86" s="271" t="s">
        <v>752</v>
      </c>
      <c r="D86" s="271"/>
      <c r="E86" s="247">
        <f ca="1">DSUM($B$47:$Y$52,E$47,$B$59:$C86)</f>
        <v>0.17543437685372384</v>
      </c>
      <c r="F86" s="247">
        <f ca="1">DSUM($B$47:$Y$52,F$47,$B$59:$C86)</f>
        <v>0.26025759006813087</v>
      </c>
      <c r="G86" s="247">
        <f ca="1">DSUM($B$47:$Y$52,G$47,$B$59:$C86)</f>
        <v>0.31701012121926192</v>
      </c>
      <c r="H86" s="247">
        <f ca="1">DSUM($B$47:$Y$52,H$47,$B$59:$C86)</f>
        <v>0.34952592633113422</v>
      </c>
      <c r="I86" s="247">
        <f ca="1">DSUM($B$47:$Y$52,I$47,$B$59:$C86)</f>
        <v>0.367444281035892</v>
      </c>
      <c r="J86" s="247">
        <f ca="1">DSUM($B$47:$Y$52,J$47,$B$59:$C86)</f>
        <v>0.37182255790027335</v>
      </c>
      <c r="K86" s="247">
        <f ca="1">DSUM($B$47:$Y$52,K$47,$B$59:$C86)</f>
        <v>0.36932970203683829</v>
      </c>
      <c r="L86" s="247">
        <f ca="1">DSUM($B$47:$Y$52,L$47,$B$59:$C86)</f>
        <v>0.36381542463475597</v>
      </c>
      <c r="M86" s="247">
        <f ca="1">DSUM($B$47:$Y$52,M$47,$B$59:$C86)</f>
        <v>0.35743716814880361</v>
      </c>
      <c r="N86" s="247">
        <f ca="1">DSUM($B$47:$Y$52,N$47,$B$59:$C86)</f>
        <v>0.35163473707741277</v>
      </c>
      <c r="O86" s="247">
        <f ca="1">DSUM($B$47:$Y$52,O$47,$B$59:$C86)</f>
        <v>0.3468107639089878</v>
      </c>
      <c r="P86" s="247">
        <f ca="1">DSUM($B$47:$Y$52,P$47,$B$59:$C86)</f>
        <v>0.34314999766906579</v>
      </c>
      <c r="Q86" s="247">
        <f ca="1">DSUM($B$47:$Y$52,Q$47,$B$59:$C86)</f>
        <v>0.33998080573851275</v>
      </c>
      <c r="R86" s="247">
        <f ca="1">DSUM($B$47:$Y$52,R$47,$B$59:$C86)</f>
        <v>0.3368289389904095</v>
      </c>
      <c r="S86" s="247">
        <f ca="1">DSUM($B$47:$Y$52,S$47,$B$59:$C86)</f>
        <v>0.33385138890265548</v>
      </c>
      <c r="T86" s="247">
        <f ca="1">DSUM($B$47:$Y$52,T$47,$B$59:$C86)</f>
        <v>0.33115390011085655</v>
      </c>
      <c r="U86" s="247">
        <f ca="1">DSUM($B$47:$Y$52,U$47,$B$59:$C86)</f>
        <v>0.32873665339793112</v>
      </c>
      <c r="V86" s="247">
        <f ca="1">DSUM($B$47:$Y$52,V$47,$B$59:$C86)</f>
        <v>0.32655974360196743</v>
      </c>
      <c r="W86" s="247">
        <f ca="1">DSUM($B$47:$Y$52,W$47,$B$59:$C86)</f>
        <v>0.32459324085019153</v>
      </c>
      <c r="X86" s="247">
        <f ca="1">DSUM($B$47:$Y$52,X$47,$B$59:$C86)</f>
        <v>0.32322618181196971</v>
      </c>
      <c r="Y86" s="32">
        <f ca="1">DSUM($B$47:$Y$52,Y$47,$B$59:$C86)</f>
        <v>6.6186035002887751</v>
      </c>
    </row>
    <row r="87" spans="1:25">
      <c r="A87" s="11" t="s">
        <v>763</v>
      </c>
      <c r="B87" s="271" t="s">
        <v>742</v>
      </c>
      <c r="C87" s="271" t="s">
        <v>753</v>
      </c>
      <c r="D87" s="271"/>
      <c r="E87" s="247">
        <f ca="1">DSUM($B$47:$Y$52,E$47,$B$59:$C87)</f>
        <v>0.17543437685372384</v>
      </c>
      <c r="F87" s="247">
        <f ca="1">DSUM($B$47:$Y$52,F$47,$B$59:$C87)</f>
        <v>0.26025759006813087</v>
      </c>
      <c r="G87" s="247">
        <f ca="1">DSUM($B$47:$Y$52,G$47,$B$59:$C87)</f>
        <v>0.31701012121926192</v>
      </c>
      <c r="H87" s="247">
        <f ca="1">DSUM($B$47:$Y$52,H$47,$B$59:$C87)</f>
        <v>0.34952592633113422</v>
      </c>
      <c r="I87" s="247">
        <f ca="1">DSUM($B$47:$Y$52,I$47,$B$59:$C87)</f>
        <v>0.367444281035892</v>
      </c>
      <c r="J87" s="247">
        <f ca="1">DSUM($B$47:$Y$52,J$47,$B$59:$C87)</f>
        <v>0.37182255790027335</v>
      </c>
      <c r="K87" s="247">
        <f ca="1">DSUM($B$47:$Y$52,K$47,$B$59:$C87)</f>
        <v>0.36932970203683829</v>
      </c>
      <c r="L87" s="247">
        <f ca="1">DSUM($B$47:$Y$52,L$47,$B$59:$C87)</f>
        <v>0.36381542463475597</v>
      </c>
      <c r="M87" s="247">
        <f ca="1">DSUM($B$47:$Y$52,M$47,$B$59:$C87)</f>
        <v>0.35743716814880361</v>
      </c>
      <c r="N87" s="247">
        <f ca="1">DSUM($B$47:$Y$52,N$47,$B$59:$C87)</f>
        <v>0.35163473707741277</v>
      </c>
      <c r="O87" s="247">
        <f ca="1">DSUM($B$47:$Y$52,O$47,$B$59:$C87)</f>
        <v>0.3468107639089878</v>
      </c>
      <c r="P87" s="247">
        <f ca="1">DSUM($B$47:$Y$52,P$47,$B$59:$C87)</f>
        <v>0.34314999766906579</v>
      </c>
      <c r="Q87" s="247">
        <f ca="1">DSUM($B$47:$Y$52,Q$47,$B$59:$C87)</f>
        <v>0.33998080573851275</v>
      </c>
      <c r="R87" s="247">
        <f ca="1">DSUM($B$47:$Y$52,R$47,$B$59:$C87)</f>
        <v>0.3368289389904095</v>
      </c>
      <c r="S87" s="247">
        <f ca="1">DSUM($B$47:$Y$52,S$47,$B$59:$C87)</f>
        <v>0.33385138890265548</v>
      </c>
      <c r="T87" s="247">
        <f ca="1">DSUM($B$47:$Y$52,T$47,$B$59:$C87)</f>
        <v>0.33115390011085655</v>
      </c>
      <c r="U87" s="247">
        <f ca="1">DSUM($B$47:$Y$52,U$47,$B$59:$C87)</f>
        <v>0.32873665339793112</v>
      </c>
      <c r="V87" s="247">
        <f ca="1">DSUM($B$47:$Y$52,V$47,$B$59:$C87)</f>
        <v>0.32655974360196743</v>
      </c>
      <c r="W87" s="247">
        <f ca="1">DSUM($B$47:$Y$52,W$47,$B$59:$C87)</f>
        <v>0.32459324085019153</v>
      </c>
      <c r="X87" s="247">
        <f ca="1">DSUM($B$47:$Y$52,X$47,$B$59:$C87)</f>
        <v>0.32322618181196971</v>
      </c>
      <c r="Y87" s="32">
        <f ca="1">DSUM($B$47:$Y$52,Y$47,$B$59:$C87)</f>
        <v>6.6186035002887751</v>
      </c>
    </row>
    <row r="88" spans="1:25">
      <c r="A88" s="11" t="s">
        <v>764</v>
      </c>
      <c r="B88" s="271" t="s">
        <v>743</v>
      </c>
      <c r="C88" s="271" t="s">
        <v>754</v>
      </c>
      <c r="D88" s="271"/>
      <c r="E88" s="247">
        <f ca="1">DSUM($B$47:$Y$52,E$47,$B$59:$C88)</f>
        <v>0.17543437685372384</v>
      </c>
      <c r="F88" s="247">
        <f ca="1">DSUM($B$47:$Y$52,F$47,$B$59:$C88)</f>
        <v>0.26025759006813087</v>
      </c>
      <c r="G88" s="247">
        <f ca="1">DSUM($B$47:$Y$52,G$47,$B$59:$C88)</f>
        <v>0.31701012121926192</v>
      </c>
      <c r="H88" s="247">
        <f ca="1">DSUM($B$47:$Y$52,H$47,$B$59:$C88)</f>
        <v>0.34952592633113422</v>
      </c>
      <c r="I88" s="247">
        <f ca="1">DSUM($B$47:$Y$52,I$47,$B$59:$C88)</f>
        <v>0.367444281035892</v>
      </c>
      <c r="J88" s="247">
        <f ca="1">DSUM($B$47:$Y$52,J$47,$B$59:$C88)</f>
        <v>0.37182255790027335</v>
      </c>
      <c r="K88" s="247">
        <f ca="1">DSUM($B$47:$Y$52,K$47,$B$59:$C88)</f>
        <v>0.36932970203683829</v>
      </c>
      <c r="L88" s="247">
        <f ca="1">DSUM($B$47:$Y$52,L$47,$B$59:$C88)</f>
        <v>0.36381542463475597</v>
      </c>
      <c r="M88" s="247">
        <f ca="1">DSUM($B$47:$Y$52,M$47,$B$59:$C88)</f>
        <v>0.35743716814880361</v>
      </c>
      <c r="N88" s="247">
        <f ca="1">DSUM($B$47:$Y$52,N$47,$B$59:$C88)</f>
        <v>0.35163473707741277</v>
      </c>
      <c r="O88" s="247">
        <f ca="1">DSUM($B$47:$Y$52,O$47,$B$59:$C88)</f>
        <v>0.3468107639089878</v>
      </c>
      <c r="P88" s="247">
        <f ca="1">DSUM($B$47:$Y$52,P$47,$B$59:$C88)</f>
        <v>0.34314999766906579</v>
      </c>
      <c r="Q88" s="247">
        <f ca="1">DSUM($B$47:$Y$52,Q$47,$B$59:$C88)</f>
        <v>0.33998080573851275</v>
      </c>
      <c r="R88" s="247">
        <f ca="1">DSUM($B$47:$Y$52,R$47,$B$59:$C88)</f>
        <v>0.3368289389904095</v>
      </c>
      <c r="S88" s="247">
        <f ca="1">DSUM($B$47:$Y$52,S$47,$B$59:$C88)</f>
        <v>0.33385138890265548</v>
      </c>
      <c r="T88" s="247">
        <f ca="1">DSUM($B$47:$Y$52,T$47,$B$59:$C88)</f>
        <v>0.33115390011085655</v>
      </c>
      <c r="U88" s="247">
        <f ca="1">DSUM($B$47:$Y$52,U$47,$B$59:$C88)</f>
        <v>0.32873665339793112</v>
      </c>
      <c r="V88" s="247">
        <f ca="1">DSUM($B$47:$Y$52,V$47,$B$59:$C88)</f>
        <v>0.32655974360196743</v>
      </c>
      <c r="W88" s="247">
        <f ca="1">DSUM($B$47:$Y$52,W$47,$B$59:$C88)</f>
        <v>0.32459324085019153</v>
      </c>
      <c r="X88" s="247">
        <f ca="1">DSUM($B$47:$Y$52,X$47,$B$59:$C88)</f>
        <v>0.32322618181196971</v>
      </c>
      <c r="Y88" s="32">
        <f ca="1">DSUM($B$47:$Y$52,Y$47,$B$59:$C88)</f>
        <v>6.6186035002887751</v>
      </c>
    </row>
    <row r="89" spans="1:25">
      <c r="A89" s="11" t="s">
        <v>765</v>
      </c>
      <c r="B89" s="271" t="s">
        <v>744</v>
      </c>
      <c r="C89" s="271" t="s">
        <v>755</v>
      </c>
      <c r="D89" s="271"/>
      <c r="E89" s="247">
        <f ca="1">DSUM($B$47:$Y$52,E$47,$B$59:$C89)</f>
        <v>0.17543437685372384</v>
      </c>
      <c r="F89" s="247">
        <f ca="1">DSUM($B$47:$Y$52,F$47,$B$59:$C89)</f>
        <v>0.26025759006813087</v>
      </c>
      <c r="G89" s="247">
        <f ca="1">DSUM($B$47:$Y$52,G$47,$B$59:$C89)</f>
        <v>0.31701012121926192</v>
      </c>
      <c r="H89" s="247">
        <f ca="1">DSUM($B$47:$Y$52,H$47,$B$59:$C89)</f>
        <v>0.34952592633113422</v>
      </c>
      <c r="I89" s="247">
        <f ca="1">DSUM($B$47:$Y$52,I$47,$B$59:$C89)</f>
        <v>0.367444281035892</v>
      </c>
      <c r="J89" s="247">
        <f ca="1">DSUM($B$47:$Y$52,J$47,$B$59:$C89)</f>
        <v>0.37182255790027335</v>
      </c>
      <c r="K89" s="247">
        <f ca="1">DSUM($B$47:$Y$52,K$47,$B$59:$C89)</f>
        <v>0.36932970203683829</v>
      </c>
      <c r="L89" s="247">
        <f ca="1">DSUM($B$47:$Y$52,L$47,$B$59:$C89)</f>
        <v>0.36381542463475597</v>
      </c>
      <c r="M89" s="247">
        <f ca="1">DSUM($B$47:$Y$52,M$47,$B$59:$C89)</f>
        <v>0.35743716814880361</v>
      </c>
      <c r="N89" s="247">
        <f ca="1">DSUM($B$47:$Y$52,N$47,$B$59:$C89)</f>
        <v>0.35163473707741277</v>
      </c>
      <c r="O89" s="247">
        <f ca="1">DSUM($B$47:$Y$52,O$47,$B$59:$C89)</f>
        <v>0.3468107639089878</v>
      </c>
      <c r="P89" s="247">
        <f ca="1">DSUM($B$47:$Y$52,P$47,$B$59:$C89)</f>
        <v>0.34314999766906579</v>
      </c>
      <c r="Q89" s="247">
        <f ca="1">DSUM($B$47:$Y$52,Q$47,$B$59:$C89)</f>
        <v>0.33998080573851275</v>
      </c>
      <c r="R89" s="247">
        <f ca="1">DSUM($B$47:$Y$52,R$47,$B$59:$C89)</f>
        <v>0.3368289389904095</v>
      </c>
      <c r="S89" s="247">
        <f ca="1">DSUM($B$47:$Y$52,S$47,$B$59:$C89)</f>
        <v>0.33385138890265548</v>
      </c>
      <c r="T89" s="247">
        <f ca="1">DSUM($B$47:$Y$52,T$47,$B$59:$C89)</f>
        <v>0.33115390011085655</v>
      </c>
      <c r="U89" s="247">
        <f ca="1">DSUM($B$47:$Y$52,U$47,$B$59:$C89)</f>
        <v>0.32873665339793112</v>
      </c>
      <c r="V89" s="247">
        <f ca="1">DSUM($B$47:$Y$52,V$47,$B$59:$C89)</f>
        <v>0.32655974360196743</v>
      </c>
      <c r="W89" s="247">
        <f ca="1">DSUM($B$47:$Y$52,W$47,$B$59:$C89)</f>
        <v>0.32459324085019153</v>
      </c>
      <c r="X89" s="247">
        <f ca="1">DSUM($B$47:$Y$52,X$47,$B$59:$C89)</f>
        <v>0.32322618181196971</v>
      </c>
      <c r="Y89" s="32">
        <f ca="1">DSUM($B$47:$Y$52,Y$47,$B$59:$C89)</f>
        <v>6.6186035002887751</v>
      </c>
    </row>
    <row r="90" spans="1:25">
      <c r="A90" s="11" t="s">
        <v>766</v>
      </c>
      <c r="B90" s="271" t="s">
        <v>745</v>
      </c>
      <c r="C90" s="271" t="s">
        <v>756</v>
      </c>
      <c r="D90" s="271"/>
      <c r="E90" s="247">
        <f ca="1">DSUM($B$47:$Y$52,E$47,$B$59:$C90)</f>
        <v>0.17543437685372384</v>
      </c>
      <c r="F90" s="247">
        <f ca="1">DSUM($B$47:$Y$52,F$47,$B$59:$C90)</f>
        <v>0.26025759006813087</v>
      </c>
      <c r="G90" s="247">
        <f ca="1">DSUM($B$47:$Y$52,G$47,$B$59:$C90)</f>
        <v>0.31701012121926192</v>
      </c>
      <c r="H90" s="247">
        <f ca="1">DSUM($B$47:$Y$52,H$47,$B$59:$C90)</f>
        <v>0.34952592633113422</v>
      </c>
      <c r="I90" s="247">
        <f ca="1">DSUM($B$47:$Y$52,I$47,$B$59:$C90)</f>
        <v>0.367444281035892</v>
      </c>
      <c r="J90" s="247">
        <f ca="1">DSUM($B$47:$Y$52,J$47,$B$59:$C90)</f>
        <v>0.37182255790027335</v>
      </c>
      <c r="K90" s="247">
        <f ca="1">DSUM($B$47:$Y$52,K$47,$B$59:$C90)</f>
        <v>0.36932970203683829</v>
      </c>
      <c r="L90" s="247">
        <f ca="1">DSUM($B$47:$Y$52,L$47,$B$59:$C90)</f>
        <v>0.36381542463475597</v>
      </c>
      <c r="M90" s="247">
        <f ca="1">DSUM($B$47:$Y$52,M$47,$B$59:$C90)</f>
        <v>0.35743716814880361</v>
      </c>
      <c r="N90" s="247">
        <f ca="1">DSUM($B$47:$Y$52,N$47,$B$59:$C90)</f>
        <v>0.35163473707741277</v>
      </c>
      <c r="O90" s="247">
        <f ca="1">DSUM($B$47:$Y$52,O$47,$B$59:$C90)</f>
        <v>0.3468107639089878</v>
      </c>
      <c r="P90" s="247">
        <f ca="1">DSUM($B$47:$Y$52,P$47,$B$59:$C90)</f>
        <v>0.34314999766906579</v>
      </c>
      <c r="Q90" s="247">
        <f ca="1">DSUM($B$47:$Y$52,Q$47,$B$59:$C90)</f>
        <v>0.33998080573851275</v>
      </c>
      <c r="R90" s="247">
        <f ca="1">DSUM($B$47:$Y$52,R$47,$B$59:$C90)</f>
        <v>0.3368289389904095</v>
      </c>
      <c r="S90" s="247">
        <f ca="1">DSUM($B$47:$Y$52,S$47,$B$59:$C90)</f>
        <v>0.33385138890265548</v>
      </c>
      <c r="T90" s="247">
        <f ca="1">DSUM($B$47:$Y$52,T$47,$B$59:$C90)</f>
        <v>0.33115390011085655</v>
      </c>
      <c r="U90" s="247">
        <f ca="1">DSUM($B$47:$Y$52,U$47,$B$59:$C90)</f>
        <v>0.32873665339793112</v>
      </c>
      <c r="V90" s="247">
        <f ca="1">DSUM($B$47:$Y$52,V$47,$B$59:$C90)</f>
        <v>0.32655974360196743</v>
      </c>
      <c r="W90" s="247">
        <f ca="1">DSUM($B$47:$Y$52,W$47,$B$59:$C90)</f>
        <v>0.32459324085019153</v>
      </c>
      <c r="X90" s="247">
        <f ca="1">DSUM($B$47:$Y$52,X$47,$B$59:$C90)</f>
        <v>0.32322618181196971</v>
      </c>
      <c r="Y90" s="32">
        <f ca="1">DSUM($B$47:$Y$52,Y$47,$B$59:$C90)</f>
        <v>6.6186035002887751</v>
      </c>
    </row>
    <row r="91" spans="1:25">
      <c r="A91" s="11" t="s">
        <v>767</v>
      </c>
      <c r="B91" s="271" t="s">
        <v>746</v>
      </c>
      <c r="C91" s="271" t="s">
        <v>768</v>
      </c>
      <c r="D91" s="271"/>
      <c r="E91" s="247">
        <f ca="1">DSUM($B$47:$Y$52,E$47,$B$59:$C91)</f>
        <v>0.17543437685372384</v>
      </c>
      <c r="F91" s="247">
        <f ca="1">DSUM($B$47:$Y$52,F$47,$B$59:$C91)</f>
        <v>0.26025759006813087</v>
      </c>
      <c r="G91" s="247">
        <f ca="1">DSUM($B$47:$Y$52,G$47,$B$59:$C91)</f>
        <v>0.31701012121926192</v>
      </c>
      <c r="H91" s="247">
        <f ca="1">DSUM($B$47:$Y$52,H$47,$B$59:$C91)</f>
        <v>0.34952592633113422</v>
      </c>
      <c r="I91" s="247">
        <f ca="1">DSUM($B$47:$Y$52,I$47,$B$59:$C91)</f>
        <v>0.367444281035892</v>
      </c>
      <c r="J91" s="247">
        <f ca="1">DSUM($B$47:$Y$52,J$47,$B$59:$C91)</f>
        <v>0.37182255790027335</v>
      </c>
      <c r="K91" s="247">
        <f ca="1">DSUM($B$47:$Y$52,K$47,$B$59:$C91)</f>
        <v>0.36932970203683829</v>
      </c>
      <c r="L91" s="247">
        <f ca="1">DSUM($B$47:$Y$52,L$47,$B$59:$C91)</f>
        <v>0.36381542463475597</v>
      </c>
      <c r="M91" s="247">
        <f ca="1">DSUM($B$47:$Y$52,M$47,$B$59:$C91)</f>
        <v>0.35743716814880361</v>
      </c>
      <c r="N91" s="247">
        <f ca="1">DSUM($B$47:$Y$52,N$47,$B$59:$C91)</f>
        <v>0.35163473707741277</v>
      </c>
      <c r="O91" s="247">
        <f ca="1">DSUM($B$47:$Y$52,O$47,$B$59:$C91)</f>
        <v>0.3468107639089878</v>
      </c>
      <c r="P91" s="247">
        <f ca="1">DSUM($B$47:$Y$52,P$47,$B$59:$C91)</f>
        <v>0.34314999766906579</v>
      </c>
      <c r="Q91" s="247">
        <f ca="1">DSUM($B$47:$Y$52,Q$47,$B$59:$C91)</f>
        <v>0.33998080573851275</v>
      </c>
      <c r="R91" s="247">
        <f ca="1">DSUM($B$47:$Y$52,R$47,$B$59:$C91)</f>
        <v>0.3368289389904095</v>
      </c>
      <c r="S91" s="247">
        <f ca="1">DSUM($B$47:$Y$52,S$47,$B$59:$C91)</f>
        <v>0.33385138890265548</v>
      </c>
      <c r="T91" s="247">
        <f ca="1">DSUM($B$47:$Y$52,T$47,$B$59:$C91)</f>
        <v>0.33115390011085655</v>
      </c>
      <c r="U91" s="247">
        <f ca="1">DSUM($B$47:$Y$52,U$47,$B$59:$C91)</f>
        <v>0.32873665339793112</v>
      </c>
      <c r="V91" s="247">
        <f ca="1">DSUM($B$47:$Y$52,V$47,$B$59:$C91)</f>
        <v>0.32655974360196743</v>
      </c>
      <c r="W91" s="247">
        <f ca="1">DSUM($B$47:$Y$52,W$47,$B$59:$C91)</f>
        <v>0.32459324085019153</v>
      </c>
      <c r="X91" s="247">
        <f ca="1">DSUM($B$47:$Y$52,X$47,$B$59:$C91)</f>
        <v>0.32322618181196971</v>
      </c>
      <c r="Y91" s="32">
        <f ca="1">DSUM($B$47:$Y$52,Y$47,$B$59:$C91)</f>
        <v>6.6186035002887751</v>
      </c>
    </row>
    <row r="94" spans="1:25" ht="15">
      <c r="A94" s="333" t="s">
        <v>727</v>
      </c>
      <c r="B94" s="334"/>
    </row>
    <row r="95" spans="1:25" ht="15">
      <c r="C95" s="258" t="s">
        <v>729</v>
      </c>
      <c r="D95" s="258"/>
      <c r="E95" s="406">
        <f>E58</f>
        <v>2016</v>
      </c>
      <c r="F95" s="406">
        <f t="shared" ref="F95:X95" si="30">F58</f>
        <v>2017</v>
      </c>
      <c r="G95" s="406">
        <f t="shared" si="30"/>
        <v>2018</v>
      </c>
      <c r="H95" s="406">
        <f t="shared" si="30"/>
        <v>2019</v>
      </c>
      <c r="I95" s="406">
        <f t="shared" si="30"/>
        <v>2020</v>
      </c>
      <c r="J95" s="406">
        <f t="shared" si="30"/>
        <v>2021</v>
      </c>
      <c r="K95" s="406">
        <f t="shared" si="30"/>
        <v>2022</v>
      </c>
      <c r="L95" s="406">
        <f t="shared" si="30"/>
        <v>2023</v>
      </c>
      <c r="M95" s="406">
        <f t="shared" si="30"/>
        <v>2024</v>
      </c>
      <c r="N95" s="406">
        <f t="shared" si="30"/>
        <v>2025</v>
      </c>
      <c r="O95" s="406">
        <f t="shared" si="30"/>
        <v>2026</v>
      </c>
      <c r="P95" s="406">
        <f t="shared" si="30"/>
        <v>2027</v>
      </c>
      <c r="Q95" s="406">
        <f t="shared" si="30"/>
        <v>2028</v>
      </c>
      <c r="R95" s="406">
        <f t="shared" si="30"/>
        <v>2029</v>
      </c>
      <c r="S95" s="406">
        <f t="shared" si="30"/>
        <v>2030</v>
      </c>
      <c r="T95" s="406">
        <f t="shared" si="30"/>
        <v>2031</v>
      </c>
      <c r="U95" s="406">
        <f t="shared" si="30"/>
        <v>2032</v>
      </c>
      <c r="V95" s="406">
        <f t="shared" si="30"/>
        <v>2033</v>
      </c>
      <c r="W95" s="406">
        <f t="shared" si="30"/>
        <v>2034</v>
      </c>
      <c r="X95" s="406">
        <f t="shared" si="30"/>
        <v>2035</v>
      </c>
      <c r="Y95" s="417" t="s">
        <v>971</v>
      </c>
    </row>
    <row r="96" spans="1:25" ht="15">
      <c r="C96" s="258">
        <f>C9</f>
        <v>2035</v>
      </c>
      <c r="D96" s="258"/>
      <c r="E96" s="407" t="str">
        <f>E59</f>
        <v>aMW_2016</v>
      </c>
      <c r="F96" s="407" t="str">
        <f t="shared" ref="F96:X96" si="31">F59</f>
        <v>aMW_2017</v>
      </c>
      <c r="G96" s="407" t="str">
        <f t="shared" si="31"/>
        <v>aMW_2018</v>
      </c>
      <c r="H96" s="407" t="str">
        <f t="shared" si="31"/>
        <v>aMW_2019</v>
      </c>
      <c r="I96" s="407" t="str">
        <f t="shared" si="31"/>
        <v>aMW_2020</v>
      </c>
      <c r="J96" s="407" t="str">
        <f t="shared" si="31"/>
        <v>aMW_2021</v>
      </c>
      <c r="K96" s="407" t="str">
        <f t="shared" si="31"/>
        <v>aMW_2022</v>
      </c>
      <c r="L96" s="407" t="str">
        <f t="shared" si="31"/>
        <v>aMW_2023</v>
      </c>
      <c r="M96" s="407" t="str">
        <f t="shared" si="31"/>
        <v>aMW_2024</v>
      </c>
      <c r="N96" s="407" t="str">
        <f t="shared" si="31"/>
        <v>aMW_2025</v>
      </c>
      <c r="O96" s="407" t="str">
        <f t="shared" si="31"/>
        <v>aMW_2026</v>
      </c>
      <c r="P96" s="407" t="str">
        <f t="shared" si="31"/>
        <v>aMW_2027</v>
      </c>
      <c r="Q96" s="407" t="str">
        <f t="shared" si="31"/>
        <v>aMW_2028</v>
      </c>
      <c r="R96" s="407" t="str">
        <f t="shared" si="31"/>
        <v>aMW_2029</v>
      </c>
      <c r="S96" s="407" t="str">
        <f t="shared" si="31"/>
        <v>aMW_2030</v>
      </c>
      <c r="T96" s="407" t="str">
        <f t="shared" si="31"/>
        <v>aMW_2031</v>
      </c>
      <c r="U96" s="407" t="str">
        <f t="shared" si="31"/>
        <v>aMW_2032</v>
      </c>
      <c r="V96" s="407" t="str">
        <f t="shared" si="31"/>
        <v>aMW_2033</v>
      </c>
      <c r="W96" s="407" t="str">
        <f t="shared" si="31"/>
        <v>aMW_2034</v>
      </c>
      <c r="X96" s="407" t="str">
        <f t="shared" si="31"/>
        <v>aMW_2035</v>
      </c>
      <c r="Y96" s="418" t="s">
        <v>971</v>
      </c>
    </row>
    <row r="97" spans="3:25">
      <c r="C97" s="11" t="s">
        <v>639</v>
      </c>
      <c r="E97" s="249">
        <f t="shared" ref="E97:Y97" ca="1" si="32">E60</f>
        <v>0.17543437685372384</v>
      </c>
      <c r="F97" s="249">
        <f t="shared" ca="1" si="32"/>
        <v>0.26025759006813087</v>
      </c>
      <c r="G97" s="249">
        <f t="shared" ca="1" si="32"/>
        <v>0.31701012121926192</v>
      </c>
      <c r="H97" s="249">
        <f t="shared" ca="1" si="32"/>
        <v>0.34952592633113422</v>
      </c>
      <c r="I97" s="249">
        <f t="shared" ca="1" si="32"/>
        <v>0.367444281035892</v>
      </c>
      <c r="J97" s="249">
        <f t="shared" ca="1" si="32"/>
        <v>0.37182255790027335</v>
      </c>
      <c r="K97" s="249">
        <f t="shared" ca="1" si="32"/>
        <v>0.36932970203683829</v>
      </c>
      <c r="L97" s="249">
        <f t="shared" ca="1" si="32"/>
        <v>0.36381542463475597</v>
      </c>
      <c r="M97" s="249">
        <f t="shared" ca="1" si="32"/>
        <v>0.35743716814880361</v>
      </c>
      <c r="N97" s="249">
        <f t="shared" ca="1" si="32"/>
        <v>0.35163473707741277</v>
      </c>
      <c r="O97" s="249">
        <f t="shared" ca="1" si="32"/>
        <v>0.3468107639089878</v>
      </c>
      <c r="P97" s="249">
        <f t="shared" ca="1" si="32"/>
        <v>0.34314999766906579</v>
      </c>
      <c r="Q97" s="249">
        <f t="shared" ca="1" si="32"/>
        <v>0.33998080573851275</v>
      </c>
      <c r="R97" s="249">
        <f t="shared" ca="1" si="32"/>
        <v>0.3368289389904095</v>
      </c>
      <c r="S97" s="249">
        <f t="shared" ca="1" si="32"/>
        <v>0.33385138890265548</v>
      </c>
      <c r="T97" s="249">
        <f t="shared" ca="1" si="32"/>
        <v>0.33115390011085655</v>
      </c>
      <c r="U97" s="249">
        <f t="shared" ca="1" si="32"/>
        <v>0.32873665339793112</v>
      </c>
      <c r="V97" s="249">
        <f t="shared" ca="1" si="32"/>
        <v>0.32655974360196743</v>
      </c>
      <c r="W97" s="249">
        <f t="shared" ca="1" si="32"/>
        <v>0.32459324085019153</v>
      </c>
      <c r="X97" s="249">
        <f t="shared" ca="1" si="32"/>
        <v>0.32322618181196971</v>
      </c>
      <c r="Y97" s="264">
        <f t="shared" ca="1" si="32"/>
        <v>6.6186035002887751</v>
      </c>
    </row>
    <row r="98" spans="3:25">
      <c r="C98" s="11" t="s">
        <v>640</v>
      </c>
      <c r="E98" s="249">
        <f t="shared" ref="E98:Y113" ca="1" si="33">E61-E60</f>
        <v>0</v>
      </c>
      <c r="F98" s="249">
        <f t="shared" ca="1" si="33"/>
        <v>0</v>
      </c>
      <c r="G98" s="249">
        <f t="shared" ca="1" si="33"/>
        <v>0</v>
      </c>
      <c r="H98" s="249">
        <f t="shared" ca="1" si="33"/>
        <v>0</v>
      </c>
      <c r="I98" s="249">
        <f t="shared" ca="1" si="33"/>
        <v>0</v>
      </c>
      <c r="J98" s="249">
        <f t="shared" ca="1" si="33"/>
        <v>0</v>
      </c>
      <c r="K98" s="249">
        <f t="shared" ca="1" si="33"/>
        <v>0</v>
      </c>
      <c r="L98" s="249">
        <f t="shared" ca="1" si="33"/>
        <v>0</v>
      </c>
      <c r="M98" s="249">
        <f t="shared" ca="1" si="33"/>
        <v>0</v>
      </c>
      <c r="N98" s="249">
        <f t="shared" ca="1" si="33"/>
        <v>0</v>
      </c>
      <c r="O98" s="249">
        <f t="shared" ca="1" si="33"/>
        <v>0</v>
      </c>
      <c r="P98" s="249">
        <f t="shared" ca="1" si="33"/>
        <v>0</v>
      </c>
      <c r="Q98" s="249">
        <f t="shared" ca="1" si="33"/>
        <v>0</v>
      </c>
      <c r="R98" s="249">
        <f t="shared" ca="1" si="33"/>
        <v>0</v>
      </c>
      <c r="S98" s="249">
        <f t="shared" ca="1" si="33"/>
        <v>0</v>
      </c>
      <c r="T98" s="249">
        <f t="shared" ca="1" si="33"/>
        <v>0</v>
      </c>
      <c r="U98" s="249">
        <f t="shared" ca="1" si="33"/>
        <v>0</v>
      </c>
      <c r="V98" s="249">
        <f t="shared" ca="1" si="33"/>
        <v>0</v>
      </c>
      <c r="W98" s="249">
        <f t="shared" ca="1" si="33"/>
        <v>0</v>
      </c>
      <c r="X98" s="249">
        <f t="shared" ca="1" si="33"/>
        <v>0</v>
      </c>
      <c r="Y98" s="264">
        <f t="shared" ca="1" si="33"/>
        <v>0</v>
      </c>
    </row>
    <row r="99" spans="3:25">
      <c r="C99" s="11" t="s">
        <v>641</v>
      </c>
      <c r="E99" s="249">
        <f t="shared" ref="E99:X99" ca="1" si="34">E62-E61</f>
        <v>0</v>
      </c>
      <c r="F99" s="249">
        <f t="shared" ca="1" si="34"/>
        <v>0</v>
      </c>
      <c r="G99" s="249">
        <f t="shared" ca="1" si="34"/>
        <v>0</v>
      </c>
      <c r="H99" s="249">
        <f t="shared" ca="1" si="34"/>
        <v>0</v>
      </c>
      <c r="I99" s="249">
        <f t="shared" ca="1" si="34"/>
        <v>0</v>
      </c>
      <c r="J99" s="249">
        <f t="shared" ca="1" si="34"/>
        <v>0</v>
      </c>
      <c r="K99" s="249">
        <f t="shared" ca="1" si="34"/>
        <v>0</v>
      </c>
      <c r="L99" s="249">
        <f t="shared" ca="1" si="34"/>
        <v>0</v>
      </c>
      <c r="M99" s="249">
        <f t="shared" ca="1" si="34"/>
        <v>0</v>
      </c>
      <c r="N99" s="249">
        <f t="shared" ca="1" si="34"/>
        <v>0</v>
      </c>
      <c r="O99" s="249">
        <f t="shared" ca="1" si="34"/>
        <v>0</v>
      </c>
      <c r="P99" s="249">
        <f t="shared" ca="1" si="34"/>
        <v>0</v>
      </c>
      <c r="Q99" s="249">
        <f t="shared" ca="1" si="34"/>
        <v>0</v>
      </c>
      <c r="R99" s="249">
        <f t="shared" ca="1" si="34"/>
        <v>0</v>
      </c>
      <c r="S99" s="249">
        <f t="shared" ca="1" si="34"/>
        <v>0</v>
      </c>
      <c r="T99" s="249">
        <f t="shared" ca="1" si="34"/>
        <v>0</v>
      </c>
      <c r="U99" s="249">
        <f t="shared" ca="1" si="34"/>
        <v>0</v>
      </c>
      <c r="V99" s="249">
        <f t="shared" ca="1" si="34"/>
        <v>0</v>
      </c>
      <c r="W99" s="249">
        <f t="shared" ca="1" si="34"/>
        <v>0</v>
      </c>
      <c r="X99" s="249">
        <f t="shared" ca="1" si="34"/>
        <v>0</v>
      </c>
      <c r="Y99" s="264">
        <f t="shared" ca="1" si="33"/>
        <v>0</v>
      </c>
    </row>
    <row r="100" spans="3:25">
      <c r="C100" s="11" t="s">
        <v>642</v>
      </c>
      <c r="E100" s="249">
        <f t="shared" ref="E100:X100" ca="1" si="35">E63-E62</f>
        <v>0</v>
      </c>
      <c r="F100" s="249">
        <f t="shared" ca="1" si="35"/>
        <v>0</v>
      </c>
      <c r="G100" s="249">
        <f t="shared" ca="1" si="35"/>
        <v>0</v>
      </c>
      <c r="H100" s="249">
        <f t="shared" ca="1" si="35"/>
        <v>0</v>
      </c>
      <c r="I100" s="249">
        <f t="shared" ca="1" si="35"/>
        <v>0</v>
      </c>
      <c r="J100" s="249">
        <f t="shared" ca="1" si="35"/>
        <v>0</v>
      </c>
      <c r="K100" s="249">
        <f t="shared" ca="1" si="35"/>
        <v>0</v>
      </c>
      <c r="L100" s="249">
        <f t="shared" ca="1" si="35"/>
        <v>0</v>
      </c>
      <c r="M100" s="249">
        <f t="shared" ca="1" si="35"/>
        <v>0</v>
      </c>
      <c r="N100" s="249">
        <f t="shared" ca="1" si="35"/>
        <v>0</v>
      </c>
      <c r="O100" s="249">
        <f t="shared" ca="1" si="35"/>
        <v>0</v>
      </c>
      <c r="P100" s="249">
        <f t="shared" ca="1" si="35"/>
        <v>0</v>
      </c>
      <c r="Q100" s="249">
        <f t="shared" ca="1" si="35"/>
        <v>0</v>
      </c>
      <c r="R100" s="249">
        <f t="shared" ca="1" si="35"/>
        <v>0</v>
      </c>
      <c r="S100" s="249">
        <f t="shared" ca="1" si="35"/>
        <v>0</v>
      </c>
      <c r="T100" s="249">
        <f t="shared" ca="1" si="35"/>
        <v>0</v>
      </c>
      <c r="U100" s="249">
        <f t="shared" ca="1" si="35"/>
        <v>0</v>
      </c>
      <c r="V100" s="249">
        <f t="shared" ca="1" si="35"/>
        <v>0</v>
      </c>
      <c r="W100" s="249">
        <f t="shared" ca="1" si="35"/>
        <v>0</v>
      </c>
      <c r="X100" s="249">
        <f t="shared" ca="1" si="35"/>
        <v>0</v>
      </c>
      <c r="Y100" s="264">
        <f t="shared" ca="1" si="33"/>
        <v>0</v>
      </c>
    </row>
    <row r="101" spans="3:25">
      <c r="C101" s="11" t="s">
        <v>643</v>
      </c>
      <c r="E101" s="249">
        <f t="shared" ref="E101:X101" ca="1" si="36">E64-E63</f>
        <v>0</v>
      </c>
      <c r="F101" s="249">
        <f t="shared" ca="1" si="36"/>
        <v>0</v>
      </c>
      <c r="G101" s="249">
        <f t="shared" ca="1" si="36"/>
        <v>0</v>
      </c>
      <c r="H101" s="249">
        <f t="shared" ca="1" si="36"/>
        <v>0</v>
      </c>
      <c r="I101" s="249">
        <f t="shared" ca="1" si="36"/>
        <v>0</v>
      </c>
      <c r="J101" s="249">
        <f t="shared" ca="1" si="36"/>
        <v>0</v>
      </c>
      <c r="K101" s="249">
        <f t="shared" ca="1" si="36"/>
        <v>0</v>
      </c>
      <c r="L101" s="249">
        <f t="shared" ca="1" si="36"/>
        <v>0</v>
      </c>
      <c r="M101" s="249">
        <f t="shared" ca="1" si="36"/>
        <v>0</v>
      </c>
      <c r="N101" s="249">
        <f t="shared" ca="1" si="36"/>
        <v>0</v>
      </c>
      <c r="O101" s="249">
        <f t="shared" ca="1" si="36"/>
        <v>0</v>
      </c>
      <c r="P101" s="249">
        <f t="shared" ca="1" si="36"/>
        <v>0</v>
      </c>
      <c r="Q101" s="249">
        <f t="shared" ca="1" si="36"/>
        <v>0</v>
      </c>
      <c r="R101" s="249">
        <f t="shared" ca="1" si="36"/>
        <v>0</v>
      </c>
      <c r="S101" s="249">
        <f t="shared" ca="1" si="36"/>
        <v>0</v>
      </c>
      <c r="T101" s="249">
        <f t="shared" ca="1" si="36"/>
        <v>0</v>
      </c>
      <c r="U101" s="249">
        <f t="shared" ca="1" si="36"/>
        <v>0</v>
      </c>
      <c r="V101" s="249">
        <f t="shared" ca="1" si="36"/>
        <v>0</v>
      </c>
      <c r="W101" s="249">
        <f t="shared" ca="1" si="36"/>
        <v>0</v>
      </c>
      <c r="X101" s="249">
        <f t="shared" ca="1" si="36"/>
        <v>0</v>
      </c>
      <c r="Y101" s="264">
        <f t="shared" ca="1" si="33"/>
        <v>0</v>
      </c>
    </row>
    <row r="102" spans="3:25">
      <c r="C102" s="11" t="s">
        <v>644</v>
      </c>
      <c r="E102" s="249">
        <f t="shared" ref="E102:X102" ca="1" si="37">E65-E64</f>
        <v>0</v>
      </c>
      <c r="F102" s="249">
        <f t="shared" ca="1" si="37"/>
        <v>0</v>
      </c>
      <c r="G102" s="249">
        <f t="shared" ca="1" si="37"/>
        <v>0</v>
      </c>
      <c r="H102" s="249">
        <f t="shared" ca="1" si="37"/>
        <v>0</v>
      </c>
      <c r="I102" s="249">
        <f t="shared" ca="1" si="37"/>
        <v>0</v>
      </c>
      <c r="J102" s="249">
        <f t="shared" ca="1" si="37"/>
        <v>0</v>
      </c>
      <c r="K102" s="249">
        <f t="shared" ca="1" si="37"/>
        <v>0</v>
      </c>
      <c r="L102" s="249">
        <f t="shared" ca="1" si="37"/>
        <v>0</v>
      </c>
      <c r="M102" s="249">
        <f t="shared" ca="1" si="37"/>
        <v>0</v>
      </c>
      <c r="N102" s="249">
        <f t="shared" ca="1" si="37"/>
        <v>0</v>
      </c>
      <c r="O102" s="249">
        <f t="shared" ca="1" si="37"/>
        <v>0</v>
      </c>
      <c r="P102" s="249">
        <f t="shared" ca="1" si="37"/>
        <v>0</v>
      </c>
      <c r="Q102" s="249">
        <f t="shared" ca="1" si="37"/>
        <v>0</v>
      </c>
      <c r="R102" s="249">
        <f t="shared" ca="1" si="37"/>
        <v>0</v>
      </c>
      <c r="S102" s="249">
        <f t="shared" ca="1" si="37"/>
        <v>0</v>
      </c>
      <c r="T102" s="249">
        <f t="shared" ca="1" si="37"/>
        <v>0</v>
      </c>
      <c r="U102" s="249">
        <f t="shared" ca="1" si="37"/>
        <v>0</v>
      </c>
      <c r="V102" s="249">
        <f t="shared" ca="1" si="37"/>
        <v>0</v>
      </c>
      <c r="W102" s="249">
        <f t="shared" ca="1" si="37"/>
        <v>0</v>
      </c>
      <c r="X102" s="249">
        <f t="shared" ca="1" si="37"/>
        <v>0</v>
      </c>
      <c r="Y102" s="264">
        <f t="shared" ca="1" si="33"/>
        <v>0</v>
      </c>
    </row>
    <row r="103" spans="3:25">
      <c r="C103" s="11" t="s">
        <v>645</v>
      </c>
      <c r="E103" s="249">
        <f t="shared" ref="E103:X103" ca="1" si="38">E66-E65</f>
        <v>0</v>
      </c>
      <c r="F103" s="249">
        <f t="shared" ca="1" si="38"/>
        <v>0</v>
      </c>
      <c r="G103" s="249">
        <f t="shared" ca="1" si="38"/>
        <v>0</v>
      </c>
      <c r="H103" s="249">
        <f t="shared" ca="1" si="38"/>
        <v>0</v>
      </c>
      <c r="I103" s="249">
        <f t="shared" ca="1" si="38"/>
        <v>0</v>
      </c>
      <c r="J103" s="249">
        <f t="shared" ca="1" si="38"/>
        <v>0</v>
      </c>
      <c r="K103" s="249">
        <f t="shared" ca="1" si="38"/>
        <v>0</v>
      </c>
      <c r="L103" s="249">
        <f t="shared" ca="1" si="38"/>
        <v>0</v>
      </c>
      <c r="M103" s="249">
        <f t="shared" ca="1" si="38"/>
        <v>0</v>
      </c>
      <c r="N103" s="249">
        <f t="shared" ca="1" si="38"/>
        <v>0</v>
      </c>
      <c r="O103" s="249">
        <f t="shared" ca="1" si="38"/>
        <v>0</v>
      </c>
      <c r="P103" s="249">
        <f t="shared" ca="1" si="38"/>
        <v>0</v>
      </c>
      <c r="Q103" s="249">
        <f t="shared" ca="1" si="38"/>
        <v>0</v>
      </c>
      <c r="R103" s="249">
        <f t="shared" ca="1" si="38"/>
        <v>0</v>
      </c>
      <c r="S103" s="249">
        <f t="shared" ca="1" si="38"/>
        <v>0</v>
      </c>
      <c r="T103" s="249">
        <f t="shared" ca="1" si="38"/>
        <v>0</v>
      </c>
      <c r="U103" s="249">
        <f t="shared" ca="1" si="38"/>
        <v>0</v>
      </c>
      <c r="V103" s="249">
        <f t="shared" ca="1" si="38"/>
        <v>0</v>
      </c>
      <c r="W103" s="249">
        <f t="shared" ca="1" si="38"/>
        <v>0</v>
      </c>
      <c r="X103" s="249">
        <f t="shared" ca="1" si="38"/>
        <v>0</v>
      </c>
      <c r="Y103" s="264">
        <f t="shared" ca="1" si="33"/>
        <v>0</v>
      </c>
    </row>
    <row r="104" spans="3:25">
      <c r="C104" s="11" t="s">
        <v>646</v>
      </c>
      <c r="E104" s="249">
        <f t="shared" ref="E104:X104" ca="1" si="39">E67-E66</f>
        <v>0</v>
      </c>
      <c r="F104" s="249">
        <f t="shared" ca="1" si="39"/>
        <v>0</v>
      </c>
      <c r="G104" s="249">
        <f t="shared" ca="1" si="39"/>
        <v>0</v>
      </c>
      <c r="H104" s="249">
        <f t="shared" ca="1" si="39"/>
        <v>0</v>
      </c>
      <c r="I104" s="249">
        <f t="shared" ca="1" si="39"/>
        <v>0</v>
      </c>
      <c r="J104" s="249">
        <f t="shared" ca="1" si="39"/>
        <v>0</v>
      </c>
      <c r="K104" s="249">
        <f t="shared" ca="1" si="39"/>
        <v>0</v>
      </c>
      <c r="L104" s="249">
        <f t="shared" ca="1" si="39"/>
        <v>0</v>
      </c>
      <c r="M104" s="249">
        <f t="shared" ca="1" si="39"/>
        <v>0</v>
      </c>
      <c r="N104" s="249">
        <f t="shared" ca="1" si="39"/>
        <v>0</v>
      </c>
      <c r="O104" s="249">
        <f t="shared" ca="1" si="39"/>
        <v>0</v>
      </c>
      <c r="P104" s="249">
        <f t="shared" ca="1" si="39"/>
        <v>0</v>
      </c>
      <c r="Q104" s="249">
        <f t="shared" ca="1" si="39"/>
        <v>0</v>
      </c>
      <c r="R104" s="249">
        <f t="shared" ca="1" si="39"/>
        <v>0</v>
      </c>
      <c r="S104" s="249">
        <f t="shared" ca="1" si="39"/>
        <v>0</v>
      </c>
      <c r="T104" s="249">
        <f t="shared" ca="1" si="39"/>
        <v>0</v>
      </c>
      <c r="U104" s="249">
        <f t="shared" ca="1" si="39"/>
        <v>0</v>
      </c>
      <c r="V104" s="249">
        <f t="shared" ca="1" si="39"/>
        <v>0</v>
      </c>
      <c r="W104" s="249">
        <f t="shared" ca="1" si="39"/>
        <v>0</v>
      </c>
      <c r="X104" s="249">
        <f t="shared" ca="1" si="39"/>
        <v>0</v>
      </c>
      <c r="Y104" s="264">
        <f t="shared" ca="1" si="33"/>
        <v>0</v>
      </c>
    </row>
    <row r="105" spans="3:25">
      <c r="C105" s="11" t="s">
        <v>647</v>
      </c>
      <c r="E105" s="249">
        <f t="shared" ref="E105:X105" ca="1" si="40">E68-E67</f>
        <v>0</v>
      </c>
      <c r="F105" s="249">
        <f t="shared" ca="1" si="40"/>
        <v>0</v>
      </c>
      <c r="G105" s="249">
        <f t="shared" ca="1" si="40"/>
        <v>0</v>
      </c>
      <c r="H105" s="249">
        <f t="shared" ca="1" si="40"/>
        <v>0</v>
      </c>
      <c r="I105" s="249">
        <f t="shared" ca="1" si="40"/>
        <v>0</v>
      </c>
      <c r="J105" s="249">
        <f t="shared" ca="1" si="40"/>
        <v>0</v>
      </c>
      <c r="K105" s="249">
        <f t="shared" ca="1" si="40"/>
        <v>0</v>
      </c>
      <c r="L105" s="249">
        <f t="shared" ca="1" si="40"/>
        <v>0</v>
      </c>
      <c r="M105" s="249">
        <f t="shared" ca="1" si="40"/>
        <v>0</v>
      </c>
      <c r="N105" s="249">
        <f t="shared" ca="1" si="40"/>
        <v>0</v>
      </c>
      <c r="O105" s="249">
        <f t="shared" ca="1" si="40"/>
        <v>0</v>
      </c>
      <c r="P105" s="249">
        <f t="shared" ca="1" si="40"/>
        <v>0</v>
      </c>
      <c r="Q105" s="249">
        <f t="shared" ca="1" si="40"/>
        <v>0</v>
      </c>
      <c r="R105" s="249">
        <f t="shared" ca="1" si="40"/>
        <v>0</v>
      </c>
      <c r="S105" s="249">
        <f t="shared" ca="1" si="40"/>
        <v>0</v>
      </c>
      <c r="T105" s="249">
        <f t="shared" ca="1" si="40"/>
        <v>0</v>
      </c>
      <c r="U105" s="249">
        <f t="shared" ca="1" si="40"/>
        <v>0</v>
      </c>
      <c r="V105" s="249">
        <f t="shared" ca="1" si="40"/>
        <v>0</v>
      </c>
      <c r="W105" s="249">
        <f t="shared" ca="1" si="40"/>
        <v>0</v>
      </c>
      <c r="X105" s="249">
        <f t="shared" ca="1" si="40"/>
        <v>0</v>
      </c>
      <c r="Y105" s="264">
        <f t="shared" ca="1" si="33"/>
        <v>0</v>
      </c>
    </row>
    <row r="106" spans="3:25">
      <c r="C106" s="11" t="s">
        <v>648</v>
      </c>
      <c r="E106" s="249">
        <f t="shared" ref="E106:X106" ca="1" si="41">E69-E68</f>
        <v>0</v>
      </c>
      <c r="F106" s="249">
        <f t="shared" ca="1" si="41"/>
        <v>0</v>
      </c>
      <c r="G106" s="249">
        <f t="shared" ca="1" si="41"/>
        <v>0</v>
      </c>
      <c r="H106" s="249">
        <f t="shared" ca="1" si="41"/>
        <v>0</v>
      </c>
      <c r="I106" s="249">
        <f t="shared" ca="1" si="41"/>
        <v>0</v>
      </c>
      <c r="J106" s="249">
        <f t="shared" ca="1" si="41"/>
        <v>0</v>
      </c>
      <c r="K106" s="249">
        <f t="shared" ca="1" si="41"/>
        <v>0</v>
      </c>
      <c r="L106" s="249">
        <f t="shared" ca="1" si="41"/>
        <v>0</v>
      </c>
      <c r="M106" s="249">
        <f t="shared" ca="1" si="41"/>
        <v>0</v>
      </c>
      <c r="N106" s="249">
        <f t="shared" ca="1" si="41"/>
        <v>0</v>
      </c>
      <c r="O106" s="249">
        <f t="shared" ca="1" si="41"/>
        <v>0</v>
      </c>
      <c r="P106" s="249">
        <f t="shared" ca="1" si="41"/>
        <v>0</v>
      </c>
      <c r="Q106" s="249">
        <f t="shared" ca="1" si="41"/>
        <v>0</v>
      </c>
      <c r="R106" s="249">
        <f t="shared" ca="1" si="41"/>
        <v>0</v>
      </c>
      <c r="S106" s="249">
        <f t="shared" ca="1" si="41"/>
        <v>0</v>
      </c>
      <c r="T106" s="249">
        <f t="shared" ca="1" si="41"/>
        <v>0</v>
      </c>
      <c r="U106" s="249">
        <f t="shared" ca="1" si="41"/>
        <v>0</v>
      </c>
      <c r="V106" s="249">
        <f t="shared" ca="1" si="41"/>
        <v>0</v>
      </c>
      <c r="W106" s="249">
        <f t="shared" ca="1" si="41"/>
        <v>0</v>
      </c>
      <c r="X106" s="249">
        <f t="shared" ca="1" si="41"/>
        <v>0</v>
      </c>
      <c r="Y106" s="264">
        <f t="shared" ca="1" si="33"/>
        <v>0</v>
      </c>
    </row>
    <row r="107" spans="3:25">
      <c r="C107" s="11" t="s">
        <v>649</v>
      </c>
      <c r="E107" s="249">
        <f t="shared" ref="E107:X107" ca="1" si="42">E70-E69</f>
        <v>0</v>
      </c>
      <c r="F107" s="249">
        <f t="shared" ca="1" si="42"/>
        <v>0</v>
      </c>
      <c r="G107" s="249">
        <f t="shared" ca="1" si="42"/>
        <v>0</v>
      </c>
      <c r="H107" s="249">
        <f t="shared" ca="1" si="42"/>
        <v>0</v>
      </c>
      <c r="I107" s="249">
        <f t="shared" ca="1" si="42"/>
        <v>0</v>
      </c>
      <c r="J107" s="249">
        <f t="shared" ca="1" si="42"/>
        <v>0</v>
      </c>
      <c r="K107" s="249">
        <f t="shared" ca="1" si="42"/>
        <v>0</v>
      </c>
      <c r="L107" s="249">
        <f t="shared" ca="1" si="42"/>
        <v>0</v>
      </c>
      <c r="M107" s="249">
        <f t="shared" ca="1" si="42"/>
        <v>0</v>
      </c>
      <c r="N107" s="249">
        <f t="shared" ca="1" si="42"/>
        <v>0</v>
      </c>
      <c r="O107" s="249">
        <f t="shared" ca="1" si="42"/>
        <v>0</v>
      </c>
      <c r="P107" s="249">
        <f t="shared" ca="1" si="42"/>
        <v>0</v>
      </c>
      <c r="Q107" s="249">
        <f t="shared" ca="1" si="42"/>
        <v>0</v>
      </c>
      <c r="R107" s="249">
        <f t="shared" ca="1" si="42"/>
        <v>0</v>
      </c>
      <c r="S107" s="249">
        <f t="shared" ca="1" si="42"/>
        <v>0</v>
      </c>
      <c r="T107" s="249">
        <f t="shared" ca="1" si="42"/>
        <v>0</v>
      </c>
      <c r="U107" s="249">
        <f t="shared" ca="1" si="42"/>
        <v>0</v>
      </c>
      <c r="V107" s="249">
        <f t="shared" ca="1" si="42"/>
        <v>0</v>
      </c>
      <c r="W107" s="249">
        <f t="shared" ca="1" si="42"/>
        <v>0</v>
      </c>
      <c r="X107" s="249">
        <f t="shared" ca="1" si="42"/>
        <v>0</v>
      </c>
      <c r="Y107" s="264">
        <f t="shared" ca="1" si="33"/>
        <v>0</v>
      </c>
    </row>
    <row r="108" spans="3:25">
      <c r="C108" s="11" t="s">
        <v>650</v>
      </c>
      <c r="E108" s="249">
        <f t="shared" ref="E108:X108" ca="1" si="43">E71-E70</f>
        <v>0</v>
      </c>
      <c r="F108" s="249">
        <f t="shared" ca="1" si="43"/>
        <v>0</v>
      </c>
      <c r="G108" s="249">
        <f t="shared" ca="1" si="43"/>
        <v>0</v>
      </c>
      <c r="H108" s="249">
        <f t="shared" ca="1" si="43"/>
        <v>0</v>
      </c>
      <c r="I108" s="249">
        <f t="shared" ca="1" si="43"/>
        <v>0</v>
      </c>
      <c r="J108" s="249">
        <f t="shared" ca="1" si="43"/>
        <v>0</v>
      </c>
      <c r="K108" s="249">
        <f t="shared" ca="1" si="43"/>
        <v>0</v>
      </c>
      <c r="L108" s="249">
        <f t="shared" ca="1" si="43"/>
        <v>0</v>
      </c>
      <c r="M108" s="249">
        <f t="shared" ca="1" si="43"/>
        <v>0</v>
      </c>
      <c r="N108" s="249">
        <f t="shared" ca="1" si="43"/>
        <v>0</v>
      </c>
      <c r="O108" s="249">
        <f t="shared" ca="1" si="43"/>
        <v>0</v>
      </c>
      <c r="P108" s="249">
        <f t="shared" ca="1" si="43"/>
        <v>0</v>
      </c>
      <c r="Q108" s="249">
        <f t="shared" ca="1" si="43"/>
        <v>0</v>
      </c>
      <c r="R108" s="249">
        <f t="shared" ca="1" si="43"/>
        <v>0</v>
      </c>
      <c r="S108" s="249">
        <f t="shared" ca="1" si="43"/>
        <v>0</v>
      </c>
      <c r="T108" s="249">
        <f t="shared" ca="1" si="43"/>
        <v>0</v>
      </c>
      <c r="U108" s="249">
        <f t="shared" ca="1" si="43"/>
        <v>0</v>
      </c>
      <c r="V108" s="249">
        <f t="shared" ca="1" si="43"/>
        <v>0</v>
      </c>
      <c r="W108" s="249">
        <f t="shared" ca="1" si="43"/>
        <v>0</v>
      </c>
      <c r="X108" s="249">
        <f t="shared" ca="1" si="43"/>
        <v>0</v>
      </c>
      <c r="Y108" s="264">
        <f t="shared" ca="1" si="33"/>
        <v>0</v>
      </c>
    </row>
    <row r="109" spans="3:25">
      <c r="C109" s="11" t="s">
        <v>651</v>
      </c>
      <c r="E109" s="249">
        <f t="shared" ref="E109:X109" ca="1" si="44">E72-E71</f>
        <v>0</v>
      </c>
      <c r="F109" s="249">
        <f t="shared" ca="1" si="44"/>
        <v>0</v>
      </c>
      <c r="G109" s="249">
        <f t="shared" ca="1" si="44"/>
        <v>0</v>
      </c>
      <c r="H109" s="249">
        <f t="shared" ca="1" si="44"/>
        <v>0</v>
      </c>
      <c r="I109" s="249">
        <f t="shared" ca="1" si="44"/>
        <v>0</v>
      </c>
      <c r="J109" s="249">
        <f t="shared" ca="1" si="44"/>
        <v>0</v>
      </c>
      <c r="K109" s="249">
        <f t="shared" ca="1" si="44"/>
        <v>0</v>
      </c>
      <c r="L109" s="249">
        <f t="shared" ca="1" si="44"/>
        <v>0</v>
      </c>
      <c r="M109" s="249">
        <f t="shared" ca="1" si="44"/>
        <v>0</v>
      </c>
      <c r="N109" s="249">
        <f t="shared" ca="1" si="44"/>
        <v>0</v>
      </c>
      <c r="O109" s="249">
        <f t="shared" ca="1" si="44"/>
        <v>0</v>
      </c>
      <c r="P109" s="249">
        <f t="shared" ca="1" si="44"/>
        <v>0</v>
      </c>
      <c r="Q109" s="249">
        <f t="shared" ca="1" si="44"/>
        <v>0</v>
      </c>
      <c r="R109" s="249">
        <f t="shared" ca="1" si="44"/>
        <v>0</v>
      </c>
      <c r="S109" s="249">
        <f t="shared" ca="1" si="44"/>
        <v>0</v>
      </c>
      <c r="T109" s="249">
        <f t="shared" ca="1" si="44"/>
        <v>0</v>
      </c>
      <c r="U109" s="249">
        <f t="shared" ca="1" si="44"/>
        <v>0</v>
      </c>
      <c r="V109" s="249">
        <f t="shared" ca="1" si="44"/>
        <v>0</v>
      </c>
      <c r="W109" s="249">
        <f t="shared" ca="1" si="44"/>
        <v>0</v>
      </c>
      <c r="X109" s="249">
        <f t="shared" ca="1" si="44"/>
        <v>0</v>
      </c>
      <c r="Y109" s="264">
        <f t="shared" ca="1" si="33"/>
        <v>0</v>
      </c>
    </row>
    <row r="110" spans="3:25">
      <c r="C110" s="11" t="s">
        <v>652</v>
      </c>
      <c r="E110" s="249">
        <f t="shared" ref="E110:X110" ca="1" si="45">E73-E72</f>
        <v>0</v>
      </c>
      <c r="F110" s="249">
        <f t="shared" ca="1" si="45"/>
        <v>0</v>
      </c>
      <c r="G110" s="249">
        <f t="shared" ca="1" si="45"/>
        <v>0</v>
      </c>
      <c r="H110" s="249">
        <f t="shared" ca="1" si="45"/>
        <v>0</v>
      </c>
      <c r="I110" s="249">
        <f t="shared" ca="1" si="45"/>
        <v>0</v>
      </c>
      <c r="J110" s="249">
        <f t="shared" ca="1" si="45"/>
        <v>0</v>
      </c>
      <c r="K110" s="249">
        <f t="shared" ca="1" si="45"/>
        <v>0</v>
      </c>
      <c r="L110" s="249">
        <f t="shared" ca="1" si="45"/>
        <v>0</v>
      </c>
      <c r="M110" s="249">
        <f t="shared" ca="1" si="45"/>
        <v>0</v>
      </c>
      <c r="N110" s="249">
        <f t="shared" ca="1" si="45"/>
        <v>0</v>
      </c>
      <c r="O110" s="249">
        <f t="shared" ca="1" si="45"/>
        <v>0</v>
      </c>
      <c r="P110" s="249">
        <f t="shared" ca="1" si="45"/>
        <v>0</v>
      </c>
      <c r="Q110" s="249">
        <f t="shared" ca="1" si="45"/>
        <v>0</v>
      </c>
      <c r="R110" s="249">
        <f t="shared" ca="1" si="45"/>
        <v>0</v>
      </c>
      <c r="S110" s="249">
        <f t="shared" ca="1" si="45"/>
        <v>0</v>
      </c>
      <c r="T110" s="249">
        <f t="shared" ca="1" si="45"/>
        <v>0</v>
      </c>
      <c r="U110" s="249">
        <f t="shared" ca="1" si="45"/>
        <v>0</v>
      </c>
      <c r="V110" s="249">
        <f t="shared" ca="1" si="45"/>
        <v>0</v>
      </c>
      <c r="W110" s="249">
        <f t="shared" ca="1" si="45"/>
        <v>0</v>
      </c>
      <c r="X110" s="249">
        <f t="shared" ca="1" si="45"/>
        <v>0</v>
      </c>
      <c r="Y110" s="264">
        <f t="shared" ca="1" si="33"/>
        <v>0</v>
      </c>
    </row>
    <row r="111" spans="3:25">
      <c r="C111" s="11" t="s">
        <v>653</v>
      </c>
      <c r="E111" s="249">
        <f t="shared" ref="E111:X111" ca="1" si="46">E74-E73</f>
        <v>0</v>
      </c>
      <c r="F111" s="249">
        <f t="shared" ca="1" si="46"/>
        <v>0</v>
      </c>
      <c r="G111" s="249">
        <f t="shared" ca="1" si="46"/>
        <v>0</v>
      </c>
      <c r="H111" s="249">
        <f t="shared" ca="1" si="46"/>
        <v>0</v>
      </c>
      <c r="I111" s="249">
        <f t="shared" ca="1" si="46"/>
        <v>0</v>
      </c>
      <c r="J111" s="249">
        <f t="shared" ca="1" si="46"/>
        <v>0</v>
      </c>
      <c r="K111" s="249">
        <f t="shared" ca="1" si="46"/>
        <v>0</v>
      </c>
      <c r="L111" s="249">
        <f t="shared" ca="1" si="46"/>
        <v>0</v>
      </c>
      <c r="M111" s="249">
        <f t="shared" ca="1" si="46"/>
        <v>0</v>
      </c>
      <c r="N111" s="249">
        <f t="shared" ca="1" si="46"/>
        <v>0</v>
      </c>
      <c r="O111" s="249">
        <f t="shared" ca="1" si="46"/>
        <v>0</v>
      </c>
      <c r="P111" s="249">
        <f t="shared" ca="1" si="46"/>
        <v>0</v>
      </c>
      <c r="Q111" s="249">
        <f t="shared" ca="1" si="46"/>
        <v>0</v>
      </c>
      <c r="R111" s="249">
        <f t="shared" ca="1" si="46"/>
        <v>0</v>
      </c>
      <c r="S111" s="249">
        <f t="shared" ca="1" si="46"/>
        <v>0</v>
      </c>
      <c r="T111" s="249">
        <f t="shared" ca="1" si="46"/>
        <v>0</v>
      </c>
      <c r="U111" s="249">
        <f t="shared" ca="1" si="46"/>
        <v>0</v>
      </c>
      <c r="V111" s="249">
        <f t="shared" ca="1" si="46"/>
        <v>0</v>
      </c>
      <c r="W111" s="249">
        <f t="shared" ca="1" si="46"/>
        <v>0</v>
      </c>
      <c r="X111" s="249">
        <f t="shared" ca="1" si="46"/>
        <v>0</v>
      </c>
      <c r="Y111" s="264">
        <f t="shared" ca="1" si="33"/>
        <v>0</v>
      </c>
    </row>
    <row r="112" spans="3:25">
      <c r="C112" s="11" t="s">
        <v>654</v>
      </c>
      <c r="E112" s="249">
        <f t="shared" ref="E112:X112" ca="1" si="47">E75-E74</f>
        <v>0</v>
      </c>
      <c r="F112" s="249">
        <f t="shared" ca="1" si="47"/>
        <v>0</v>
      </c>
      <c r="G112" s="249">
        <f t="shared" ca="1" si="47"/>
        <v>0</v>
      </c>
      <c r="H112" s="249">
        <f t="shared" ca="1" si="47"/>
        <v>0</v>
      </c>
      <c r="I112" s="249">
        <f t="shared" ca="1" si="47"/>
        <v>0</v>
      </c>
      <c r="J112" s="249">
        <f t="shared" ca="1" si="47"/>
        <v>0</v>
      </c>
      <c r="K112" s="249">
        <f t="shared" ca="1" si="47"/>
        <v>0</v>
      </c>
      <c r="L112" s="249">
        <f t="shared" ca="1" si="47"/>
        <v>0</v>
      </c>
      <c r="M112" s="249">
        <f t="shared" ca="1" si="47"/>
        <v>0</v>
      </c>
      <c r="N112" s="249">
        <f t="shared" ca="1" si="47"/>
        <v>0</v>
      </c>
      <c r="O112" s="249">
        <f t="shared" ca="1" si="47"/>
        <v>0</v>
      </c>
      <c r="P112" s="249">
        <f t="shared" ca="1" si="47"/>
        <v>0</v>
      </c>
      <c r="Q112" s="249">
        <f t="shared" ca="1" si="47"/>
        <v>0</v>
      </c>
      <c r="R112" s="249">
        <f t="shared" ca="1" si="47"/>
        <v>0</v>
      </c>
      <c r="S112" s="249">
        <f t="shared" ca="1" si="47"/>
        <v>0</v>
      </c>
      <c r="T112" s="249">
        <f t="shared" ca="1" si="47"/>
        <v>0</v>
      </c>
      <c r="U112" s="249">
        <f t="shared" ca="1" si="47"/>
        <v>0</v>
      </c>
      <c r="V112" s="249">
        <f t="shared" ca="1" si="47"/>
        <v>0</v>
      </c>
      <c r="W112" s="249">
        <f t="shared" ca="1" si="47"/>
        <v>0</v>
      </c>
      <c r="X112" s="249">
        <f t="shared" ca="1" si="47"/>
        <v>0</v>
      </c>
      <c r="Y112" s="264">
        <f t="shared" ca="1" si="33"/>
        <v>0</v>
      </c>
    </row>
    <row r="113" spans="3:25">
      <c r="C113" s="11" t="s">
        <v>655</v>
      </c>
      <c r="E113" s="249">
        <f t="shared" ref="E113:X113" ca="1" si="48">E76-E75</f>
        <v>0</v>
      </c>
      <c r="F113" s="249">
        <f t="shared" ca="1" si="48"/>
        <v>0</v>
      </c>
      <c r="G113" s="249">
        <f t="shared" ca="1" si="48"/>
        <v>0</v>
      </c>
      <c r="H113" s="249">
        <f t="shared" ca="1" si="48"/>
        <v>0</v>
      </c>
      <c r="I113" s="249">
        <f t="shared" ca="1" si="48"/>
        <v>0</v>
      </c>
      <c r="J113" s="249">
        <f t="shared" ca="1" si="48"/>
        <v>0</v>
      </c>
      <c r="K113" s="249">
        <f t="shared" ca="1" si="48"/>
        <v>0</v>
      </c>
      <c r="L113" s="249">
        <f t="shared" ca="1" si="48"/>
        <v>0</v>
      </c>
      <c r="M113" s="249">
        <f t="shared" ca="1" si="48"/>
        <v>0</v>
      </c>
      <c r="N113" s="249">
        <f t="shared" ca="1" si="48"/>
        <v>0</v>
      </c>
      <c r="O113" s="249">
        <f t="shared" ca="1" si="48"/>
        <v>0</v>
      </c>
      <c r="P113" s="249">
        <f t="shared" ca="1" si="48"/>
        <v>0</v>
      </c>
      <c r="Q113" s="249">
        <f t="shared" ca="1" si="48"/>
        <v>0</v>
      </c>
      <c r="R113" s="249">
        <f t="shared" ca="1" si="48"/>
        <v>0</v>
      </c>
      <c r="S113" s="249">
        <f t="shared" ca="1" si="48"/>
        <v>0</v>
      </c>
      <c r="T113" s="249">
        <f t="shared" ca="1" si="48"/>
        <v>0</v>
      </c>
      <c r="U113" s="249">
        <f t="shared" ca="1" si="48"/>
        <v>0</v>
      </c>
      <c r="V113" s="249">
        <f t="shared" ca="1" si="48"/>
        <v>0</v>
      </c>
      <c r="W113" s="249">
        <f t="shared" ca="1" si="48"/>
        <v>0</v>
      </c>
      <c r="X113" s="249">
        <f t="shared" ca="1" si="48"/>
        <v>0</v>
      </c>
      <c r="Y113" s="264">
        <f t="shared" ca="1" si="33"/>
        <v>0</v>
      </c>
    </row>
    <row r="114" spans="3:25">
      <c r="C114" s="11" t="s">
        <v>656</v>
      </c>
      <c r="E114" s="249">
        <f t="shared" ref="E114:Y128" ca="1" si="49">E77-E76</f>
        <v>0</v>
      </c>
      <c r="F114" s="249">
        <f t="shared" ca="1" si="49"/>
        <v>0</v>
      </c>
      <c r="G114" s="249">
        <f t="shared" ca="1" si="49"/>
        <v>0</v>
      </c>
      <c r="H114" s="249">
        <f t="shared" ca="1" si="49"/>
        <v>0</v>
      </c>
      <c r="I114" s="249">
        <f t="shared" ca="1" si="49"/>
        <v>0</v>
      </c>
      <c r="J114" s="249">
        <f t="shared" ca="1" si="49"/>
        <v>0</v>
      </c>
      <c r="K114" s="249">
        <f t="shared" ca="1" si="49"/>
        <v>0</v>
      </c>
      <c r="L114" s="249">
        <f t="shared" ca="1" si="49"/>
        <v>0</v>
      </c>
      <c r="M114" s="249">
        <f t="shared" ca="1" si="49"/>
        <v>0</v>
      </c>
      <c r="N114" s="249">
        <f t="shared" ca="1" si="49"/>
        <v>0</v>
      </c>
      <c r="O114" s="249">
        <f t="shared" ca="1" si="49"/>
        <v>0</v>
      </c>
      <c r="P114" s="249">
        <f t="shared" ca="1" si="49"/>
        <v>0</v>
      </c>
      <c r="Q114" s="249">
        <f t="shared" ca="1" si="49"/>
        <v>0</v>
      </c>
      <c r="R114" s="249">
        <f t="shared" ca="1" si="49"/>
        <v>0</v>
      </c>
      <c r="S114" s="249">
        <f t="shared" ca="1" si="49"/>
        <v>0</v>
      </c>
      <c r="T114" s="249">
        <f t="shared" ca="1" si="49"/>
        <v>0</v>
      </c>
      <c r="U114" s="249">
        <f t="shared" ca="1" si="49"/>
        <v>0</v>
      </c>
      <c r="V114" s="249">
        <f t="shared" ca="1" si="49"/>
        <v>0</v>
      </c>
      <c r="W114" s="249">
        <f t="shared" ca="1" si="49"/>
        <v>0</v>
      </c>
      <c r="X114" s="249">
        <f t="shared" ca="1" si="49"/>
        <v>0</v>
      </c>
      <c r="Y114" s="264">
        <f t="shared" ca="1" si="49"/>
        <v>0</v>
      </c>
    </row>
    <row r="115" spans="3:25">
      <c r="C115" s="11" t="s">
        <v>657</v>
      </c>
      <c r="E115" s="249">
        <f t="shared" ref="E115:X115" ca="1" si="50">E78-E77</f>
        <v>0</v>
      </c>
      <c r="F115" s="249">
        <f t="shared" ca="1" si="50"/>
        <v>0</v>
      </c>
      <c r="G115" s="249">
        <f t="shared" ca="1" si="50"/>
        <v>0</v>
      </c>
      <c r="H115" s="249">
        <f t="shared" ca="1" si="50"/>
        <v>0</v>
      </c>
      <c r="I115" s="249">
        <f t="shared" ca="1" si="50"/>
        <v>0</v>
      </c>
      <c r="J115" s="249">
        <f t="shared" ca="1" si="50"/>
        <v>0</v>
      </c>
      <c r="K115" s="249">
        <f t="shared" ca="1" si="50"/>
        <v>0</v>
      </c>
      <c r="L115" s="249">
        <f t="shared" ca="1" si="50"/>
        <v>0</v>
      </c>
      <c r="M115" s="249">
        <f t="shared" ca="1" si="50"/>
        <v>0</v>
      </c>
      <c r="N115" s="249">
        <f t="shared" ca="1" si="50"/>
        <v>0</v>
      </c>
      <c r="O115" s="249">
        <f t="shared" ca="1" si="50"/>
        <v>0</v>
      </c>
      <c r="P115" s="249">
        <f t="shared" ca="1" si="50"/>
        <v>0</v>
      </c>
      <c r="Q115" s="249">
        <f t="shared" ca="1" si="50"/>
        <v>0</v>
      </c>
      <c r="R115" s="249">
        <f t="shared" ca="1" si="50"/>
        <v>0</v>
      </c>
      <c r="S115" s="249">
        <f t="shared" ca="1" si="50"/>
        <v>0</v>
      </c>
      <c r="T115" s="249">
        <f t="shared" ca="1" si="50"/>
        <v>0</v>
      </c>
      <c r="U115" s="249">
        <f t="shared" ca="1" si="50"/>
        <v>0</v>
      </c>
      <c r="V115" s="249">
        <f t="shared" ca="1" si="50"/>
        <v>0</v>
      </c>
      <c r="W115" s="249">
        <f t="shared" ca="1" si="50"/>
        <v>0</v>
      </c>
      <c r="X115" s="249">
        <f t="shared" ca="1" si="50"/>
        <v>0</v>
      </c>
      <c r="Y115" s="264">
        <f t="shared" ca="1" si="49"/>
        <v>0</v>
      </c>
    </row>
    <row r="116" spans="3:25">
      <c r="C116" s="11" t="s">
        <v>658</v>
      </c>
      <c r="E116" s="249">
        <f t="shared" ref="E116:X116" ca="1" si="51">E79-E78</f>
        <v>0</v>
      </c>
      <c r="F116" s="249">
        <f t="shared" ca="1" si="51"/>
        <v>0</v>
      </c>
      <c r="G116" s="249">
        <f t="shared" ca="1" si="51"/>
        <v>0</v>
      </c>
      <c r="H116" s="249">
        <f t="shared" ca="1" si="51"/>
        <v>0</v>
      </c>
      <c r="I116" s="249">
        <f t="shared" ca="1" si="51"/>
        <v>0</v>
      </c>
      <c r="J116" s="249">
        <f t="shared" ca="1" si="51"/>
        <v>0</v>
      </c>
      <c r="K116" s="249">
        <f t="shared" ca="1" si="51"/>
        <v>0</v>
      </c>
      <c r="L116" s="249">
        <f t="shared" ca="1" si="51"/>
        <v>0</v>
      </c>
      <c r="M116" s="249">
        <f t="shared" ca="1" si="51"/>
        <v>0</v>
      </c>
      <c r="N116" s="249">
        <f t="shared" ca="1" si="51"/>
        <v>0</v>
      </c>
      <c r="O116" s="249">
        <f t="shared" ca="1" si="51"/>
        <v>0</v>
      </c>
      <c r="P116" s="249">
        <f t="shared" ca="1" si="51"/>
        <v>0</v>
      </c>
      <c r="Q116" s="249">
        <f t="shared" ca="1" si="51"/>
        <v>0</v>
      </c>
      <c r="R116" s="249">
        <f t="shared" ca="1" si="51"/>
        <v>0</v>
      </c>
      <c r="S116" s="249">
        <f t="shared" ca="1" si="51"/>
        <v>0</v>
      </c>
      <c r="T116" s="249">
        <f t="shared" ca="1" si="51"/>
        <v>0</v>
      </c>
      <c r="U116" s="249">
        <f t="shared" ca="1" si="51"/>
        <v>0</v>
      </c>
      <c r="V116" s="249">
        <f t="shared" ca="1" si="51"/>
        <v>0</v>
      </c>
      <c r="W116" s="249">
        <f t="shared" ca="1" si="51"/>
        <v>0</v>
      </c>
      <c r="X116" s="249">
        <f t="shared" ca="1" si="51"/>
        <v>0</v>
      </c>
      <c r="Y116" s="264">
        <f t="shared" ca="1" si="49"/>
        <v>0</v>
      </c>
    </row>
    <row r="117" spans="3:25">
      <c r="C117" s="11" t="s">
        <v>659</v>
      </c>
      <c r="E117" s="249">
        <f t="shared" ref="E117:X117" ca="1" si="52">E80-E79</f>
        <v>0</v>
      </c>
      <c r="F117" s="249">
        <f t="shared" ca="1" si="52"/>
        <v>0</v>
      </c>
      <c r="G117" s="249">
        <f t="shared" ca="1" si="52"/>
        <v>0</v>
      </c>
      <c r="H117" s="249">
        <f t="shared" ca="1" si="52"/>
        <v>0</v>
      </c>
      <c r="I117" s="249">
        <f t="shared" ca="1" si="52"/>
        <v>0</v>
      </c>
      <c r="J117" s="249">
        <f t="shared" ca="1" si="52"/>
        <v>0</v>
      </c>
      <c r="K117" s="249">
        <f t="shared" ca="1" si="52"/>
        <v>0</v>
      </c>
      <c r="L117" s="249">
        <f t="shared" ca="1" si="52"/>
        <v>0</v>
      </c>
      <c r="M117" s="249">
        <f t="shared" ca="1" si="52"/>
        <v>0</v>
      </c>
      <c r="N117" s="249">
        <f t="shared" ca="1" si="52"/>
        <v>0</v>
      </c>
      <c r="O117" s="249">
        <f t="shared" ca="1" si="52"/>
        <v>0</v>
      </c>
      <c r="P117" s="249">
        <f t="shared" ca="1" si="52"/>
        <v>0</v>
      </c>
      <c r="Q117" s="249">
        <f t="shared" ca="1" si="52"/>
        <v>0</v>
      </c>
      <c r="R117" s="249">
        <f t="shared" ca="1" si="52"/>
        <v>0</v>
      </c>
      <c r="S117" s="249">
        <f t="shared" ca="1" si="52"/>
        <v>0</v>
      </c>
      <c r="T117" s="249">
        <f t="shared" ca="1" si="52"/>
        <v>0</v>
      </c>
      <c r="U117" s="249">
        <f t="shared" ca="1" si="52"/>
        <v>0</v>
      </c>
      <c r="V117" s="249">
        <f t="shared" ca="1" si="52"/>
        <v>0</v>
      </c>
      <c r="W117" s="249">
        <f t="shared" ca="1" si="52"/>
        <v>0</v>
      </c>
      <c r="X117" s="249">
        <f t="shared" ca="1" si="52"/>
        <v>0</v>
      </c>
      <c r="Y117" s="264">
        <f t="shared" ca="1" si="49"/>
        <v>0</v>
      </c>
    </row>
    <row r="118" spans="3:25">
      <c r="C118" s="11" t="s">
        <v>757</v>
      </c>
      <c r="E118" s="249">
        <f t="shared" ref="E118:X118" ca="1" si="53">E81-E80</f>
        <v>0</v>
      </c>
      <c r="F118" s="249">
        <f t="shared" ca="1" si="53"/>
        <v>0</v>
      </c>
      <c r="G118" s="249">
        <f t="shared" ca="1" si="53"/>
        <v>0</v>
      </c>
      <c r="H118" s="249">
        <f t="shared" ca="1" si="53"/>
        <v>0</v>
      </c>
      <c r="I118" s="249">
        <f t="shared" ca="1" si="53"/>
        <v>0</v>
      </c>
      <c r="J118" s="249">
        <f t="shared" ca="1" si="53"/>
        <v>0</v>
      </c>
      <c r="K118" s="249">
        <f t="shared" ca="1" si="53"/>
        <v>0</v>
      </c>
      <c r="L118" s="249">
        <f t="shared" ca="1" si="53"/>
        <v>0</v>
      </c>
      <c r="M118" s="249">
        <f t="shared" ca="1" si="53"/>
        <v>0</v>
      </c>
      <c r="N118" s="249">
        <f t="shared" ca="1" si="53"/>
        <v>0</v>
      </c>
      <c r="O118" s="249">
        <f t="shared" ca="1" si="53"/>
        <v>0</v>
      </c>
      <c r="P118" s="249">
        <f t="shared" ca="1" si="53"/>
        <v>0</v>
      </c>
      <c r="Q118" s="249">
        <f t="shared" ca="1" si="53"/>
        <v>0</v>
      </c>
      <c r="R118" s="249">
        <f t="shared" ca="1" si="53"/>
        <v>0</v>
      </c>
      <c r="S118" s="249">
        <f t="shared" ca="1" si="53"/>
        <v>0</v>
      </c>
      <c r="T118" s="249">
        <f t="shared" ca="1" si="53"/>
        <v>0</v>
      </c>
      <c r="U118" s="249">
        <f t="shared" ca="1" si="53"/>
        <v>0</v>
      </c>
      <c r="V118" s="249">
        <f t="shared" ca="1" si="53"/>
        <v>0</v>
      </c>
      <c r="W118" s="249">
        <f t="shared" ca="1" si="53"/>
        <v>0</v>
      </c>
      <c r="X118" s="249">
        <f t="shared" ca="1" si="53"/>
        <v>0</v>
      </c>
      <c r="Y118" s="264">
        <f t="shared" ca="1" si="49"/>
        <v>0</v>
      </c>
    </row>
    <row r="119" spans="3:25">
      <c r="C119" s="11" t="s">
        <v>758</v>
      </c>
      <c r="E119" s="249">
        <f t="shared" ref="E119:X119" ca="1" si="54">E82-E81</f>
        <v>0</v>
      </c>
      <c r="F119" s="249">
        <f t="shared" ca="1" si="54"/>
        <v>0</v>
      </c>
      <c r="G119" s="249">
        <f t="shared" ca="1" si="54"/>
        <v>0</v>
      </c>
      <c r="H119" s="249">
        <f t="shared" ca="1" si="54"/>
        <v>0</v>
      </c>
      <c r="I119" s="249">
        <f t="shared" ca="1" si="54"/>
        <v>0</v>
      </c>
      <c r="J119" s="249">
        <f t="shared" ca="1" si="54"/>
        <v>0</v>
      </c>
      <c r="K119" s="249">
        <f t="shared" ca="1" si="54"/>
        <v>0</v>
      </c>
      <c r="L119" s="249">
        <f t="shared" ca="1" si="54"/>
        <v>0</v>
      </c>
      <c r="M119" s="249">
        <f t="shared" ca="1" si="54"/>
        <v>0</v>
      </c>
      <c r="N119" s="249">
        <f t="shared" ca="1" si="54"/>
        <v>0</v>
      </c>
      <c r="O119" s="249">
        <f t="shared" ca="1" si="54"/>
        <v>0</v>
      </c>
      <c r="P119" s="249">
        <f t="shared" ca="1" si="54"/>
        <v>0</v>
      </c>
      <c r="Q119" s="249">
        <f t="shared" ca="1" si="54"/>
        <v>0</v>
      </c>
      <c r="R119" s="249">
        <f t="shared" ca="1" si="54"/>
        <v>0</v>
      </c>
      <c r="S119" s="249">
        <f t="shared" ca="1" si="54"/>
        <v>0</v>
      </c>
      <c r="T119" s="249">
        <f t="shared" ca="1" si="54"/>
        <v>0</v>
      </c>
      <c r="U119" s="249">
        <f t="shared" ca="1" si="54"/>
        <v>0</v>
      </c>
      <c r="V119" s="249">
        <f t="shared" ca="1" si="54"/>
        <v>0</v>
      </c>
      <c r="W119" s="249">
        <f t="shared" ca="1" si="54"/>
        <v>0</v>
      </c>
      <c r="X119" s="249">
        <f t="shared" ca="1" si="54"/>
        <v>0</v>
      </c>
      <c r="Y119" s="264">
        <f t="shared" ca="1" si="49"/>
        <v>0</v>
      </c>
    </row>
    <row r="120" spans="3:25">
      <c r="C120" s="11" t="s">
        <v>759</v>
      </c>
      <c r="E120" s="249">
        <f t="shared" ref="E120:X120" ca="1" si="55">E83-E82</f>
        <v>0</v>
      </c>
      <c r="F120" s="249">
        <f t="shared" ca="1" si="55"/>
        <v>0</v>
      </c>
      <c r="G120" s="249">
        <f t="shared" ca="1" si="55"/>
        <v>0</v>
      </c>
      <c r="H120" s="249">
        <f t="shared" ca="1" si="55"/>
        <v>0</v>
      </c>
      <c r="I120" s="249">
        <f t="shared" ca="1" si="55"/>
        <v>0</v>
      </c>
      <c r="J120" s="249">
        <f t="shared" ca="1" si="55"/>
        <v>0</v>
      </c>
      <c r="K120" s="249">
        <f t="shared" ca="1" si="55"/>
        <v>0</v>
      </c>
      <c r="L120" s="249">
        <f t="shared" ca="1" si="55"/>
        <v>0</v>
      </c>
      <c r="M120" s="249">
        <f t="shared" ca="1" si="55"/>
        <v>0</v>
      </c>
      <c r="N120" s="249">
        <f t="shared" ca="1" si="55"/>
        <v>0</v>
      </c>
      <c r="O120" s="249">
        <f t="shared" ca="1" si="55"/>
        <v>0</v>
      </c>
      <c r="P120" s="249">
        <f t="shared" ca="1" si="55"/>
        <v>0</v>
      </c>
      <c r="Q120" s="249">
        <f t="shared" ca="1" si="55"/>
        <v>0</v>
      </c>
      <c r="R120" s="249">
        <f t="shared" ca="1" si="55"/>
        <v>0</v>
      </c>
      <c r="S120" s="249">
        <f t="shared" ca="1" si="55"/>
        <v>0</v>
      </c>
      <c r="T120" s="249">
        <f t="shared" ca="1" si="55"/>
        <v>0</v>
      </c>
      <c r="U120" s="249">
        <f t="shared" ca="1" si="55"/>
        <v>0</v>
      </c>
      <c r="V120" s="249">
        <f t="shared" ca="1" si="55"/>
        <v>0</v>
      </c>
      <c r="W120" s="249">
        <f t="shared" ca="1" si="55"/>
        <v>0</v>
      </c>
      <c r="X120" s="249">
        <f t="shared" ca="1" si="55"/>
        <v>0</v>
      </c>
      <c r="Y120" s="264">
        <f t="shared" ca="1" si="49"/>
        <v>0</v>
      </c>
    </row>
    <row r="121" spans="3:25">
      <c r="C121" s="11" t="s">
        <v>760</v>
      </c>
      <c r="E121" s="249">
        <f t="shared" ref="E121:X121" ca="1" si="56">E84-E83</f>
        <v>0</v>
      </c>
      <c r="F121" s="249">
        <f t="shared" ca="1" si="56"/>
        <v>0</v>
      </c>
      <c r="G121" s="249">
        <f t="shared" ca="1" si="56"/>
        <v>0</v>
      </c>
      <c r="H121" s="249">
        <f t="shared" ca="1" si="56"/>
        <v>0</v>
      </c>
      <c r="I121" s="249">
        <f t="shared" ca="1" si="56"/>
        <v>0</v>
      </c>
      <c r="J121" s="249">
        <f t="shared" ca="1" si="56"/>
        <v>0</v>
      </c>
      <c r="K121" s="249">
        <f t="shared" ca="1" si="56"/>
        <v>0</v>
      </c>
      <c r="L121" s="249">
        <f t="shared" ca="1" si="56"/>
        <v>0</v>
      </c>
      <c r="M121" s="249">
        <f t="shared" ca="1" si="56"/>
        <v>0</v>
      </c>
      <c r="N121" s="249">
        <f t="shared" ca="1" si="56"/>
        <v>0</v>
      </c>
      <c r="O121" s="249">
        <f t="shared" ca="1" si="56"/>
        <v>0</v>
      </c>
      <c r="P121" s="249">
        <f t="shared" ca="1" si="56"/>
        <v>0</v>
      </c>
      <c r="Q121" s="249">
        <f t="shared" ca="1" si="56"/>
        <v>0</v>
      </c>
      <c r="R121" s="249">
        <f t="shared" ca="1" si="56"/>
        <v>0</v>
      </c>
      <c r="S121" s="249">
        <f t="shared" ca="1" si="56"/>
        <v>0</v>
      </c>
      <c r="T121" s="249">
        <f t="shared" ca="1" si="56"/>
        <v>0</v>
      </c>
      <c r="U121" s="249">
        <f t="shared" ca="1" si="56"/>
        <v>0</v>
      </c>
      <c r="V121" s="249">
        <f t="shared" ca="1" si="56"/>
        <v>0</v>
      </c>
      <c r="W121" s="249">
        <f t="shared" ca="1" si="56"/>
        <v>0</v>
      </c>
      <c r="X121" s="249">
        <f t="shared" ca="1" si="56"/>
        <v>0</v>
      </c>
      <c r="Y121" s="264">
        <f t="shared" ca="1" si="49"/>
        <v>0</v>
      </c>
    </row>
    <row r="122" spans="3:25">
      <c r="C122" s="11" t="s">
        <v>761</v>
      </c>
      <c r="E122" s="249">
        <f t="shared" ref="E122:X122" ca="1" si="57">E85-E84</f>
        <v>0</v>
      </c>
      <c r="F122" s="249">
        <f t="shared" ca="1" si="57"/>
        <v>0</v>
      </c>
      <c r="G122" s="249">
        <f t="shared" ca="1" si="57"/>
        <v>0</v>
      </c>
      <c r="H122" s="249">
        <f t="shared" ca="1" si="57"/>
        <v>0</v>
      </c>
      <c r="I122" s="249">
        <f t="shared" ca="1" si="57"/>
        <v>0</v>
      </c>
      <c r="J122" s="249">
        <f t="shared" ca="1" si="57"/>
        <v>0</v>
      </c>
      <c r="K122" s="249">
        <f t="shared" ca="1" si="57"/>
        <v>0</v>
      </c>
      <c r="L122" s="249">
        <f t="shared" ca="1" si="57"/>
        <v>0</v>
      </c>
      <c r="M122" s="249">
        <f t="shared" ca="1" si="57"/>
        <v>0</v>
      </c>
      <c r="N122" s="249">
        <f t="shared" ca="1" si="57"/>
        <v>0</v>
      </c>
      <c r="O122" s="249">
        <f t="shared" ca="1" si="57"/>
        <v>0</v>
      </c>
      <c r="P122" s="249">
        <f t="shared" ca="1" si="57"/>
        <v>0</v>
      </c>
      <c r="Q122" s="249">
        <f t="shared" ca="1" si="57"/>
        <v>0</v>
      </c>
      <c r="R122" s="249">
        <f t="shared" ca="1" si="57"/>
        <v>0</v>
      </c>
      <c r="S122" s="249">
        <f t="shared" ca="1" si="57"/>
        <v>0</v>
      </c>
      <c r="T122" s="249">
        <f t="shared" ca="1" si="57"/>
        <v>0</v>
      </c>
      <c r="U122" s="249">
        <f t="shared" ca="1" si="57"/>
        <v>0</v>
      </c>
      <c r="V122" s="249">
        <f t="shared" ca="1" si="57"/>
        <v>0</v>
      </c>
      <c r="W122" s="249">
        <f t="shared" ca="1" si="57"/>
        <v>0</v>
      </c>
      <c r="X122" s="249">
        <f t="shared" ca="1" si="57"/>
        <v>0</v>
      </c>
      <c r="Y122" s="264">
        <f t="shared" ca="1" si="49"/>
        <v>0</v>
      </c>
    </row>
    <row r="123" spans="3:25">
      <c r="C123" s="11" t="s">
        <v>762</v>
      </c>
      <c r="E123" s="249">
        <f t="shared" ref="E123:X123" ca="1" si="58">E86-E85</f>
        <v>0</v>
      </c>
      <c r="F123" s="249">
        <f t="shared" ca="1" si="58"/>
        <v>0</v>
      </c>
      <c r="G123" s="249">
        <f t="shared" ca="1" si="58"/>
        <v>0</v>
      </c>
      <c r="H123" s="249">
        <f t="shared" ca="1" si="58"/>
        <v>0</v>
      </c>
      <c r="I123" s="249">
        <f t="shared" ca="1" si="58"/>
        <v>0</v>
      </c>
      <c r="J123" s="249">
        <f t="shared" ca="1" si="58"/>
        <v>0</v>
      </c>
      <c r="K123" s="249">
        <f t="shared" ca="1" si="58"/>
        <v>0</v>
      </c>
      <c r="L123" s="249">
        <f t="shared" ca="1" si="58"/>
        <v>0</v>
      </c>
      <c r="M123" s="249">
        <f t="shared" ca="1" si="58"/>
        <v>0</v>
      </c>
      <c r="N123" s="249">
        <f t="shared" ca="1" si="58"/>
        <v>0</v>
      </c>
      <c r="O123" s="249">
        <f t="shared" ca="1" si="58"/>
        <v>0</v>
      </c>
      <c r="P123" s="249">
        <f t="shared" ca="1" si="58"/>
        <v>0</v>
      </c>
      <c r="Q123" s="249">
        <f t="shared" ca="1" si="58"/>
        <v>0</v>
      </c>
      <c r="R123" s="249">
        <f t="shared" ca="1" si="58"/>
        <v>0</v>
      </c>
      <c r="S123" s="249">
        <f t="shared" ca="1" si="58"/>
        <v>0</v>
      </c>
      <c r="T123" s="249">
        <f t="shared" ca="1" si="58"/>
        <v>0</v>
      </c>
      <c r="U123" s="249">
        <f t="shared" ca="1" si="58"/>
        <v>0</v>
      </c>
      <c r="V123" s="249">
        <f t="shared" ca="1" si="58"/>
        <v>0</v>
      </c>
      <c r="W123" s="249">
        <f t="shared" ca="1" si="58"/>
        <v>0</v>
      </c>
      <c r="X123" s="249">
        <f t="shared" ca="1" si="58"/>
        <v>0</v>
      </c>
      <c r="Y123" s="264">
        <f t="shared" ca="1" si="49"/>
        <v>0</v>
      </c>
    </row>
    <row r="124" spans="3:25">
      <c r="C124" s="11" t="s">
        <v>763</v>
      </c>
      <c r="E124" s="249">
        <f t="shared" ref="E124:X124" ca="1" si="59">E87-E86</f>
        <v>0</v>
      </c>
      <c r="F124" s="249">
        <f t="shared" ca="1" si="59"/>
        <v>0</v>
      </c>
      <c r="G124" s="249">
        <f t="shared" ca="1" si="59"/>
        <v>0</v>
      </c>
      <c r="H124" s="249">
        <f t="shared" ca="1" si="59"/>
        <v>0</v>
      </c>
      <c r="I124" s="249">
        <f t="shared" ca="1" si="59"/>
        <v>0</v>
      </c>
      <c r="J124" s="249">
        <f t="shared" ca="1" si="59"/>
        <v>0</v>
      </c>
      <c r="K124" s="249">
        <f t="shared" ca="1" si="59"/>
        <v>0</v>
      </c>
      <c r="L124" s="249">
        <f t="shared" ca="1" si="59"/>
        <v>0</v>
      </c>
      <c r="M124" s="249">
        <f t="shared" ca="1" si="59"/>
        <v>0</v>
      </c>
      <c r="N124" s="249">
        <f t="shared" ca="1" si="59"/>
        <v>0</v>
      </c>
      <c r="O124" s="249">
        <f t="shared" ca="1" si="59"/>
        <v>0</v>
      </c>
      <c r="P124" s="249">
        <f t="shared" ca="1" si="59"/>
        <v>0</v>
      </c>
      <c r="Q124" s="249">
        <f t="shared" ca="1" si="59"/>
        <v>0</v>
      </c>
      <c r="R124" s="249">
        <f t="shared" ca="1" si="59"/>
        <v>0</v>
      </c>
      <c r="S124" s="249">
        <f t="shared" ca="1" si="59"/>
        <v>0</v>
      </c>
      <c r="T124" s="249">
        <f t="shared" ca="1" si="59"/>
        <v>0</v>
      </c>
      <c r="U124" s="249">
        <f t="shared" ca="1" si="59"/>
        <v>0</v>
      </c>
      <c r="V124" s="249">
        <f t="shared" ca="1" si="59"/>
        <v>0</v>
      </c>
      <c r="W124" s="249">
        <f t="shared" ca="1" si="59"/>
        <v>0</v>
      </c>
      <c r="X124" s="249">
        <f t="shared" ca="1" si="59"/>
        <v>0</v>
      </c>
      <c r="Y124" s="264">
        <f t="shared" ca="1" si="49"/>
        <v>0</v>
      </c>
    </row>
    <row r="125" spans="3:25">
      <c r="C125" s="11" t="s">
        <v>764</v>
      </c>
      <c r="E125" s="249">
        <f t="shared" ref="E125:X125" ca="1" si="60">E88-E87</f>
        <v>0</v>
      </c>
      <c r="F125" s="249">
        <f t="shared" ca="1" si="60"/>
        <v>0</v>
      </c>
      <c r="G125" s="249">
        <f t="shared" ca="1" si="60"/>
        <v>0</v>
      </c>
      <c r="H125" s="249">
        <f t="shared" ca="1" si="60"/>
        <v>0</v>
      </c>
      <c r="I125" s="249">
        <f t="shared" ca="1" si="60"/>
        <v>0</v>
      </c>
      <c r="J125" s="249">
        <f t="shared" ca="1" si="60"/>
        <v>0</v>
      </c>
      <c r="K125" s="249">
        <f t="shared" ca="1" si="60"/>
        <v>0</v>
      </c>
      <c r="L125" s="249">
        <f t="shared" ca="1" si="60"/>
        <v>0</v>
      </c>
      <c r="M125" s="249">
        <f t="shared" ca="1" si="60"/>
        <v>0</v>
      </c>
      <c r="N125" s="249">
        <f t="shared" ca="1" si="60"/>
        <v>0</v>
      </c>
      <c r="O125" s="249">
        <f t="shared" ca="1" si="60"/>
        <v>0</v>
      </c>
      <c r="P125" s="249">
        <f t="shared" ca="1" si="60"/>
        <v>0</v>
      </c>
      <c r="Q125" s="249">
        <f t="shared" ca="1" si="60"/>
        <v>0</v>
      </c>
      <c r="R125" s="249">
        <f t="shared" ca="1" si="60"/>
        <v>0</v>
      </c>
      <c r="S125" s="249">
        <f t="shared" ca="1" si="60"/>
        <v>0</v>
      </c>
      <c r="T125" s="249">
        <f t="shared" ca="1" si="60"/>
        <v>0</v>
      </c>
      <c r="U125" s="249">
        <f t="shared" ca="1" si="60"/>
        <v>0</v>
      </c>
      <c r="V125" s="249">
        <f t="shared" ca="1" si="60"/>
        <v>0</v>
      </c>
      <c r="W125" s="249">
        <f t="shared" ca="1" si="60"/>
        <v>0</v>
      </c>
      <c r="X125" s="249">
        <f t="shared" ca="1" si="60"/>
        <v>0</v>
      </c>
      <c r="Y125" s="264">
        <f t="shared" ca="1" si="49"/>
        <v>0</v>
      </c>
    </row>
    <row r="126" spans="3:25">
      <c r="C126" s="11" t="s">
        <v>765</v>
      </c>
      <c r="E126" s="249">
        <f t="shared" ref="E126:X126" ca="1" si="61">E89-E88</f>
        <v>0</v>
      </c>
      <c r="F126" s="249">
        <f t="shared" ca="1" si="61"/>
        <v>0</v>
      </c>
      <c r="G126" s="249">
        <f t="shared" ca="1" si="61"/>
        <v>0</v>
      </c>
      <c r="H126" s="249">
        <f t="shared" ca="1" si="61"/>
        <v>0</v>
      </c>
      <c r="I126" s="249">
        <f t="shared" ca="1" si="61"/>
        <v>0</v>
      </c>
      <c r="J126" s="249">
        <f t="shared" ca="1" si="61"/>
        <v>0</v>
      </c>
      <c r="K126" s="249">
        <f t="shared" ca="1" si="61"/>
        <v>0</v>
      </c>
      <c r="L126" s="249">
        <f t="shared" ca="1" si="61"/>
        <v>0</v>
      </c>
      <c r="M126" s="249">
        <f t="shared" ca="1" si="61"/>
        <v>0</v>
      </c>
      <c r="N126" s="249">
        <f t="shared" ca="1" si="61"/>
        <v>0</v>
      </c>
      <c r="O126" s="249">
        <f t="shared" ca="1" si="61"/>
        <v>0</v>
      </c>
      <c r="P126" s="249">
        <f t="shared" ca="1" si="61"/>
        <v>0</v>
      </c>
      <c r="Q126" s="249">
        <f t="shared" ca="1" si="61"/>
        <v>0</v>
      </c>
      <c r="R126" s="249">
        <f t="shared" ca="1" si="61"/>
        <v>0</v>
      </c>
      <c r="S126" s="249">
        <f t="shared" ca="1" si="61"/>
        <v>0</v>
      </c>
      <c r="T126" s="249">
        <f t="shared" ca="1" si="61"/>
        <v>0</v>
      </c>
      <c r="U126" s="249">
        <f t="shared" ca="1" si="61"/>
        <v>0</v>
      </c>
      <c r="V126" s="249">
        <f t="shared" ca="1" si="61"/>
        <v>0</v>
      </c>
      <c r="W126" s="249">
        <f t="shared" ca="1" si="61"/>
        <v>0</v>
      </c>
      <c r="X126" s="249">
        <f t="shared" ca="1" si="61"/>
        <v>0</v>
      </c>
      <c r="Y126" s="264">
        <f t="shared" ca="1" si="49"/>
        <v>0</v>
      </c>
    </row>
    <row r="127" spans="3:25">
      <c r="C127" s="11" t="s">
        <v>766</v>
      </c>
      <c r="E127" s="249">
        <f t="shared" ref="E127:X127" ca="1" si="62">E90-E89</f>
        <v>0</v>
      </c>
      <c r="F127" s="249">
        <f t="shared" ca="1" si="62"/>
        <v>0</v>
      </c>
      <c r="G127" s="249">
        <f t="shared" ca="1" si="62"/>
        <v>0</v>
      </c>
      <c r="H127" s="249">
        <f t="shared" ca="1" si="62"/>
        <v>0</v>
      </c>
      <c r="I127" s="249">
        <f t="shared" ca="1" si="62"/>
        <v>0</v>
      </c>
      <c r="J127" s="249">
        <f t="shared" ca="1" si="62"/>
        <v>0</v>
      </c>
      <c r="K127" s="249">
        <f t="shared" ca="1" si="62"/>
        <v>0</v>
      </c>
      <c r="L127" s="249">
        <f t="shared" ca="1" si="62"/>
        <v>0</v>
      </c>
      <c r="M127" s="249">
        <f t="shared" ca="1" si="62"/>
        <v>0</v>
      </c>
      <c r="N127" s="249">
        <f t="shared" ca="1" si="62"/>
        <v>0</v>
      </c>
      <c r="O127" s="249">
        <f t="shared" ca="1" si="62"/>
        <v>0</v>
      </c>
      <c r="P127" s="249">
        <f t="shared" ca="1" si="62"/>
        <v>0</v>
      </c>
      <c r="Q127" s="249">
        <f t="shared" ca="1" si="62"/>
        <v>0</v>
      </c>
      <c r="R127" s="249">
        <f t="shared" ca="1" si="62"/>
        <v>0</v>
      </c>
      <c r="S127" s="249">
        <f t="shared" ca="1" si="62"/>
        <v>0</v>
      </c>
      <c r="T127" s="249">
        <f t="shared" ca="1" si="62"/>
        <v>0</v>
      </c>
      <c r="U127" s="249">
        <f t="shared" ca="1" si="62"/>
        <v>0</v>
      </c>
      <c r="V127" s="249">
        <f t="shared" ca="1" si="62"/>
        <v>0</v>
      </c>
      <c r="W127" s="249">
        <f t="shared" ca="1" si="62"/>
        <v>0</v>
      </c>
      <c r="X127" s="249">
        <f t="shared" ca="1" si="62"/>
        <v>0</v>
      </c>
      <c r="Y127" s="264">
        <f t="shared" ca="1" si="49"/>
        <v>0</v>
      </c>
    </row>
    <row r="128" spans="3:25">
      <c r="C128" s="11" t="s">
        <v>767</v>
      </c>
      <c r="E128" s="249">
        <f t="shared" ref="E128:X128" ca="1" si="63">E91-E90</f>
        <v>0</v>
      </c>
      <c r="F128" s="249">
        <f t="shared" ca="1" si="63"/>
        <v>0</v>
      </c>
      <c r="G128" s="249">
        <f t="shared" ca="1" si="63"/>
        <v>0</v>
      </c>
      <c r="H128" s="249">
        <f t="shared" ca="1" si="63"/>
        <v>0</v>
      </c>
      <c r="I128" s="249">
        <f t="shared" ca="1" si="63"/>
        <v>0</v>
      </c>
      <c r="J128" s="249">
        <f t="shared" ca="1" si="63"/>
        <v>0</v>
      </c>
      <c r="K128" s="249">
        <f t="shared" ca="1" si="63"/>
        <v>0</v>
      </c>
      <c r="L128" s="249">
        <f t="shared" ca="1" si="63"/>
        <v>0</v>
      </c>
      <c r="M128" s="249">
        <f t="shared" ca="1" si="63"/>
        <v>0</v>
      </c>
      <c r="N128" s="249">
        <f t="shared" ca="1" si="63"/>
        <v>0</v>
      </c>
      <c r="O128" s="249">
        <f t="shared" ca="1" si="63"/>
        <v>0</v>
      </c>
      <c r="P128" s="249">
        <f t="shared" ca="1" si="63"/>
        <v>0</v>
      </c>
      <c r="Q128" s="249">
        <f t="shared" ca="1" si="63"/>
        <v>0</v>
      </c>
      <c r="R128" s="249">
        <f t="shared" ca="1" si="63"/>
        <v>0</v>
      </c>
      <c r="S128" s="249">
        <f t="shared" ca="1" si="63"/>
        <v>0</v>
      </c>
      <c r="T128" s="249">
        <f t="shared" ca="1" si="63"/>
        <v>0</v>
      </c>
      <c r="U128" s="249">
        <f t="shared" ca="1" si="63"/>
        <v>0</v>
      </c>
      <c r="V128" s="249">
        <f t="shared" ca="1" si="63"/>
        <v>0</v>
      </c>
      <c r="W128" s="249">
        <f t="shared" ca="1" si="63"/>
        <v>0</v>
      </c>
      <c r="X128" s="249">
        <f t="shared" ca="1" si="63"/>
        <v>0</v>
      </c>
      <c r="Y128" s="264">
        <f t="shared" ca="1" si="49"/>
        <v>0</v>
      </c>
    </row>
    <row r="129" spans="1:28">
      <c r="E129" s="170"/>
    </row>
    <row r="130" spans="1:28" ht="15">
      <c r="C130" s="415" t="s">
        <v>969</v>
      </c>
      <c r="D130" s="416">
        <f t="shared" ref="D130:X130" si="64">SUM(D97:D128)</f>
        <v>0</v>
      </c>
      <c r="E130" s="416">
        <f t="shared" ca="1" si="64"/>
        <v>0.17543437685372384</v>
      </c>
      <c r="F130" s="416">
        <f t="shared" ca="1" si="64"/>
        <v>0.26025759006813087</v>
      </c>
      <c r="G130" s="416">
        <f t="shared" ca="1" si="64"/>
        <v>0.31701012121926192</v>
      </c>
      <c r="H130" s="416">
        <f t="shared" ca="1" si="64"/>
        <v>0.34952592633113422</v>
      </c>
      <c r="I130" s="416">
        <f t="shared" ca="1" si="64"/>
        <v>0.367444281035892</v>
      </c>
      <c r="J130" s="416">
        <f t="shared" ca="1" si="64"/>
        <v>0.37182255790027335</v>
      </c>
      <c r="K130" s="416">
        <f t="shared" ca="1" si="64"/>
        <v>0.36932970203683829</v>
      </c>
      <c r="L130" s="416">
        <f t="shared" ca="1" si="64"/>
        <v>0.36381542463475597</v>
      </c>
      <c r="M130" s="416">
        <f t="shared" ca="1" si="64"/>
        <v>0.35743716814880361</v>
      </c>
      <c r="N130" s="416">
        <f t="shared" ca="1" si="64"/>
        <v>0.35163473707741277</v>
      </c>
      <c r="O130" s="416">
        <f t="shared" ca="1" si="64"/>
        <v>0.3468107639089878</v>
      </c>
      <c r="P130" s="416">
        <f t="shared" ca="1" si="64"/>
        <v>0.34314999766906579</v>
      </c>
      <c r="Q130" s="416">
        <f t="shared" ca="1" si="64"/>
        <v>0.33998080573851275</v>
      </c>
      <c r="R130" s="416">
        <f t="shared" ca="1" si="64"/>
        <v>0.3368289389904095</v>
      </c>
      <c r="S130" s="416">
        <f t="shared" ca="1" si="64"/>
        <v>0.33385138890265548</v>
      </c>
      <c r="T130" s="416">
        <f t="shared" ca="1" si="64"/>
        <v>0.33115390011085655</v>
      </c>
      <c r="U130" s="416">
        <f t="shared" ca="1" si="64"/>
        <v>0.32873665339793112</v>
      </c>
      <c r="V130" s="416">
        <f t="shared" ca="1" si="64"/>
        <v>0.32655974360196743</v>
      </c>
      <c r="W130" s="416">
        <f t="shared" ca="1" si="64"/>
        <v>0.32459324085019153</v>
      </c>
      <c r="X130" s="416">
        <f t="shared" ca="1" si="64"/>
        <v>0.32322618181196971</v>
      </c>
      <c r="Y130" s="416"/>
    </row>
    <row r="131" spans="1:28" ht="15">
      <c r="C131" s="415" t="s">
        <v>970</v>
      </c>
      <c r="D131" s="416">
        <f>D130</f>
        <v>0</v>
      </c>
      <c r="E131" s="416">
        <f t="shared" ref="E131:X131" ca="1" si="65">D131+E130</f>
        <v>0.17543437685372384</v>
      </c>
      <c r="F131" s="416">
        <f t="shared" ca="1" si="65"/>
        <v>0.43569196692185475</v>
      </c>
      <c r="G131" s="416">
        <f t="shared" ca="1" si="65"/>
        <v>0.75270208814111661</v>
      </c>
      <c r="H131" s="416">
        <f t="shared" ca="1" si="65"/>
        <v>1.1022280144722507</v>
      </c>
      <c r="I131" s="416">
        <f t="shared" ca="1" si="65"/>
        <v>1.4696722955081427</v>
      </c>
      <c r="J131" s="416">
        <f t="shared" ca="1" si="65"/>
        <v>1.8414948534084161</v>
      </c>
      <c r="K131" s="416">
        <f t="shared" ca="1" si="65"/>
        <v>2.2108245554452544</v>
      </c>
      <c r="L131" s="416">
        <f t="shared" ca="1" si="65"/>
        <v>2.5746399800800104</v>
      </c>
      <c r="M131" s="416">
        <f t="shared" ca="1" si="65"/>
        <v>2.9320771482288142</v>
      </c>
      <c r="N131" s="416">
        <f t="shared" ca="1" si="65"/>
        <v>3.2837118853062268</v>
      </c>
      <c r="O131" s="416">
        <f t="shared" ca="1" si="65"/>
        <v>3.6305226492152145</v>
      </c>
      <c r="P131" s="416">
        <f t="shared" ca="1" si="65"/>
        <v>3.9736726468842805</v>
      </c>
      <c r="Q131" s="416">
        <f t="shared" ca="1" si="65"/>
        <v>4.313653452622793</v>
      </c>
      <c r="R131" s="416">
        <f t="shared" ca="1" si="65"/>
        <v>4.6504823916132025</v>
      </c>
      <c r="S131" s="416">
        <f t="shared" ca="1" si="65"/>
        <v>4.9843337805158576</v>
      </c>
      <c r="T131" s="416">
        <f t="shared" ca="1" si="65"/>
        <v>5.3154876806267142</v>
      </c>
      <c r="U131" s="416">
        <f t="shared" ca="1" si="65"/>
        <v>5.6442243340246456</v>
      </c>
      <c r="V131" s="416">
        <f t="shared" ca="1" si="65"/>
        <v>5.9707840776266128</v>
      </c>
      <c r="W131" s="416">
        <f t="shared" ca="1" si="65"/>
        <v>6.2953773184768043</v>
      </c>
      <c r="X131" s="416">
        <f t="shared" ca="1" si="65"/>
        <v>6.6186035002887742</v>
      </c>
      <c r="Y131" s="416">
        <f ca="1">SUM(Y97:Y128)</f>
        <v>6.6186035002887751</v>
      </c>
    </row>
    <row r="132" spans="1:28">
      <c r="C132" s="243"/>
      <c r="D132" s="243"/>
      <c r="E132" s="419"/>
      <c r="F132" s="419"/>
      <c r="G132" s="419"/>
      <c r="H132" s="419"/>
      <c r="I132" s="419"/>
      <c r="J132" s="419"/>
      <c r="K132" s="419"/>
      <c r="L132" s="419"/>
      <c r="M132" s="419"/>
      <c r="N132" s="419"/>
      <c r="O132" s="419"/>
      <c r="P132" s="419"/>
      <c r="Q132" s="419"/>
      <c r="R132" s="419"/>
      <c r="S132" s="419"/>
      <c r="T132" s="419"/>
      <c r="U132" s="419"/>
      <c r="V132" s="419"/>
      <c r="W132" s="419"/>
      <c r="X132" s="419"/>
    </row>
    <row r="136" spans="1:28" ht="15">
      <c r="A136" s="420" t="s">
        <v>972</v>
      </c>
      <c r="B136" s="334"/>
      <c r="C136" s="405" t="s">
        <v>440</v>
      </c>
      <c r="H136" s="158"/>
      <c r="L136" s="158"/>
      <c r="P136" s="158"/>
      <c r="T136" s="158"/>
      <c r="X136" s="158"/>
    </row>
    <row r="137" spans="1:28">
      <c r="A137" s="272" t="s">
        <v>864</v>
      </c>
      <c r="B137" s="318">
        <f ca="1">1/VLOOKUP($C$14,[1]TURN!TURN,MATCH($C$15,[1]!BLDGTYPE,0),FALSE)</f>
        <v>5</v>
      </c>
      <c r="E137" s="258">
        <f>E14</f>
        <v>2016</v>
      </c>
      <c r="F137" s="258">
        <f t="shared" ref="F137:X137" si="66">F14</f>
        <v>2017</v>
      </c>
      <c r="G137" s="258">
        <f t="shared" si="66"/>
        <v>2018</v>
      </c>
      <c r="H137" s="258">
        <f t="shared" si="66"/>
        <v>2019</v>
      </c>
      <c r="I137" s="258">
        <f t="shared" si="66"/>
        <v>2020</v>
      </c>
      <c r="J137" s="258">
        <f t="shared" si="66"/>
        <v>2021</v>
      </c>
      <c r="K137" s="258">
        <f t="shared" si="66"/>
        <v>2022</v>
      </c>
      <c r="L137" s="258">
        <f t="shared" si="66"/>
        <v>2023</v>
      </c>
      <c r="M137" s="258">
        <f t="shared" si="66"/>
        <v>2024</v>
      </c>
      <c r="N137" s="258">
        <f t="shared" si="66"/>
        <v>2025</v>
      </c>
      <c r="O137" s="258">
        <f t="shared" si="66"/>
        <v>2026</v>
      </c>
      <c r="P137" s="258">
        <f t="shared" si="66"/>
        <v>2027</v>
      </c>
      <c r="Q137" s="258">
        <f t="shared" si="66"/>
        <v>2028</v>
      </c>
      <c r="R137" s="258">
        <f t="shared" si="66"/>
        <v>2029</v>
      </c>
      <c r="S137" s="258">
        <f t="shared" si="66"/>
        <v>2030</v>
      </c>
      <c r="T137" s="258">
        <f t="shared" si="66"/>
        <v>2031</v>
      </c>
      <c r="U137" s="258">
        <f t="shared" si="66"/>
        <v>2032</v>
      </c>
      <c r="V137" s="258">
        <f t="shared" si="66"/>
        <v>2033</v>
      </c>
      <c r="W137" s="258">
        <f t="shared" si="66"/>
        <v>2034</v>
      </c>
      <c r="X137" s="258">
        <f t="shared" si="66"/>
        <v>2035</v>
      </c>
      <c r="Y137" s="418" t="s">
        <v>971</v>
      </c>
    </row>
    <row r="138" spans="1:28">
      <c r="C138" s="11" t="s">
        <v>897</v>
      </c>
      <c r="E138" s="245">
        <f ca="1">E31-E43</f>
        <v>4188.1777493399604</v>
      </c>
      <c r="F138" s="245">
        <f t="shared" ref="F138:X138" ca="1" si="67">F31-F43</f>
        <v>3011.6877823259674</v>
      </c>
      <c r="G138" s="245">
        <f t="shared" ca="1" si="67"/>
        <v>2206.068929280038</v>
      </c>
      <c r="H138" s="245">
        <f t="shared" ca="1" si="67"/>
        <v>1663.6973035229794</v>
      </c>
      <c r="I138" s="245">
        <f t="shared" ca="1" si="67"/>
        <v>1298.5996789591709</v>
      </c>
      <c r="J138" s="245">
        <f t="shared" ca="1" si="67"/>
        <v>1106.9782681681072</v>
      </c>
      <c r="K138" s="245">
        <f t="shared" ca="1" si="67"/>
        <v>1012.0924938018698</v>
      </c>
      <c r="L138" s="245">
        <f t="shared" ca="1" si="67"/>
        <v>963.15792224461984</v>
      </c>
      <c r="M138" s="245">
        <f t="shared" ca="1" si="67"/>
        <v>934.2756452955291</v>
      </c>
      <c r="N138" s="245">
        <f t="shared" ca="1" si="67"/>
        <v>915.18528548059112</v>
      </c>
      <c r="O138" s="245">
        <f t="shared" ca="1" si="67"/>
        <v>901.44034804657713</v>
      </c>
      <c r="P138" s="245">
        <f t="shared" ca="1" si="67"/>
        <v>891.58891707586099</v>
      </c>
      <c r="Q138" s="245">
        <f t="shared" ca="1" si="67"/>
        <v>883.26573350718536</v>
      </c>
      <c r="R138" s="245">
        <f t="shared" ca="1" si="67"/>
        <v>875.05522182950972</v>
      </c>
      <c r="S138" s="245">
        <f t="shared" ca="1" si="67"/>
        <v>867.31464843094727</v>
      </c>
      <c r="T138" s="245">
        <f t="shared" ca="1" si="67"/>
        <v>860.30569405167444</v>
      </c>
      <c r="U138" s="245">
        <f t="shared" ca="1" si="67"/>
        <v>854.02568530195276</v>
      </c>
      <c r="V138" s="245">
        <f t="shared" ca="1" si="67"/>
        <v>848.37023952262371</v>
      </c>
      <c r="W138" s="245">
        <f t="shared" ca="1" si="67"/>
        <v>843.2614490275937</v>
      </c>
      <c r="X138" s="245">
        <f t="shared" ca="1" si="67"/>
        <v>839.70996192638177</v>
      </c>
      <c r="Y138" s="266">
        <f t="shared" ref="Y138:Y139" ca="1" si="68">SUM(E138:X138)</f>
        <v>25964.258957139136</v>
      </c>
      <c r="Z138" s="11" t="s">
        <v>908</v>
      </c>
    </row>
    <row r="139" spans="1:28">
      <c r="E139" s="245"/>
      <c r="F139" s="245"/>
      <c r="G139" s="245"/>
      <c r="H139" s="245"/>
      <c r="I139" s="245"/>
      <c r="J139" s="245"/>
      <c r="K139" s="245"/>
      <c r="L139" s="245"/>
      <c r="M139" s="245"/>
      <c r="N139" s="245"/>
      <c r="O139" s="245"/>
      <c r="P139" s="245"/>
      <c r="Q139" s="245"/>
      <c r="R139" s="245"/>
      <c r="S139" s="245"/>
      <c r="T139" s="245"/>
      <c r="U139" s="245"/>
      <c r="V139" s="245"/>
      <c r="W139" s="245"/>
      <c r="X139" s="245"/>
      <c r="Y139" s="266">
        <f t="shared" si="68"/>
        <v>0</v>
      </c>
    </row>
    <row r="140" spans="1:28">
      <c r="C140" s="11" t="s">
        <v>865</v>
      </c>
      <c r="E140" s="245">
        <f ca="1">E138</f>
        <v>4188.1777493399604</v>
      </c>
      <c r="F140" s="245">
        <f t="shared" ref="F140:X140" ca="1" si="69">F138</f>
        <v>3011.6877823259674</v>
      </c>
      <c r="G140" s="245">
        <f t="shared" ca="1" si="69"/>
        <v>2206.068929280038</v>
      </c>
      <c r="H140" s="245">
        <f t="shared" ca="1" si="69"/>
        <v>1663.6973035229794</v>
      </c>
      <c r="I140" s="245">
        <f t="shared" ca="1" si="69"/>
        <v>1298.5996789591709</v>
      </c>
      <c r="J140" s="245">
        <f t="shared" ca="1" si="69"/>
        <v>1106.9782681681072</v>
      </c>
      <c r="K140" s="245">
        <f t="shared" ca="1" si="69"/>
        <v>1012.0924938018698</v>
      </c>
      <c r="L140" s="245">
        <f t="shared" ca="1" si="69"/>
        <v>963.15792224461984</v>
      </c>
      <c r="M140" s="245">
        <f t="shared" ca="1" si="69"/>
        <v>934.2756452955291</v>
      </c>
      <c r="N140" s="245">
        <f t="shared" ca="1" si="69"/>
        <v>915.18528548059112</v>
      </c>
      <c r="O140" s="245">
        <f t="shared" ca="1" si="69"/>
        <v>901.44034804657713</v>
      </c>
      <c r="P140" s="245">
        <f t="shared" ca="1" si="69"/>
        <v>891.58891707586099</v>
      </c>
      <c r="Q140" s="245">
        <f t="shared" ca="1" si="69"/>
        <v>883.26573350718536</v>
      </c>
      <c r="R140" s="245">
        <f t="shared" ca="1" si="69"/>
        <v>875.05522182950972</v>
      </c>
      <c r="S140" s="245">
        <f t="shared" ca="1" si="69"/>
        <v>867.31464843094727</v>
      </c>
      <c r="T140" s="245">
        <f t="shared" ca="1" si="69"/>
        <v>860.30569405167444</v>
      </c>
      <c r="U140" s="245">
        <f t="shared" ca="1" si="69"/>
        <v>854.02568530195276</v>
      </c>
      <c r="V140" s="245">
        <f t="shared" ca="1" si="69"/>
        <v>848.37023952262371</v>
      </c>
      <c r="W140" s="245">
        <f t="shared" ca="1" si="69"/>
        <v>843.2614490275937</v>
      </c>
      <c r="X140" s="245">
        <f t="shared" ca="1" si="69"/>
        <v>839.70996192638177</v>
      </c>
      <c r="Y140" s="266">
        <f ca="1">SUM(E140:X140)</f>
        <v>25964.258957139136</v>
      </c>
    </row>
    <row r="144" spans="1:28">
      <c r="C144" s="335" t="s">
        <v>903</v>
      </c>
      <c r="D144" s="335"/>
      <c r="E144" s="335"/>
      <c r="F144" s="335"/>
      <c r="G144" s="335"/>
      <c r="H144" s="335"/>
      <c r="I144" s="335"/>
      <c r="J144" s="335"/>
      <c r="K144" s="335"/>
      <c r="L144" s="335"/>
      <c r="M144" s="335"/>
      <c r="N144" s="335"/>
      <c r="O144" s="335"/>
      <c r="P144" s="335"/>
      <c r="Q144" s="335"/>
      <c r="R144" s="335"/>
      <c r="S144" s="335"/>
      <c r="T144" s="335"/>
      <c r="U144" s="335"/>
      <c r="V144" s="335"/>
      <c r="W144" s="335"/>
      <c r="X144" s="335"/>
      <c r="Y144" s="335"/>
      <c r="Z144" s="335"/>
      <c r="AA144" s="335"/>
      <c r="AB144" s="335"/>
    </row>
    <row r="145" spans="3:28">
      <c r="C145" s="335" t="s">
        <v>902</v>
      </c>
      <c r="D145" s="335"/>
      <c r="E145" s="336">
        <f ca="1">E138</f>
        <v>4188.1777493399604</v>
      </c>
      <c r="F145" s="336">
        <f t="shared" ref="F145:X145" ca="1" si="70">F138</f>
        <v>3011.6877823259674</v>
      </c>
      <c r="G145" s="336">
        <f t="shared" ca="1" si="70"/>
        <v>2206.068929280038</v>
      </c>
      <c r="H145" s="336">
        <f t="shared" ca="1" si="70"/>
        <v>1663.6973035229794</v>
      </c>
      <c r="I145" s="336">
        <f t="shared" ca="1" si="70"/>
        <v>1298.5996789591709</v>
      </c>
      <c r="J145" s="336">
        <f t="shared" ca="1" si="70"/>
        <v>1106.9782681681072</v>
      </c>
      <c r="K145" s="336">
        <f t="shared" ca="1" si="70"/>
        <v>1012.0924938018698</v>
      </c>
      <c r="L145" s="336">
        <f t="shared" ca="1" si="70"/>
        <v>963.15792224461984</v>
      </c>
      <c r="M145" s="336">
        <f t="shared" ca="1" si="70"/>
        <v>934.2756452955291</v>
      </c>
      <c r="N145" s="336">
        <f t="shared" ca="1" si="70"/>
        <v>915.18528548059112</v>
      </c>
      <c r="O145" s="336">
        <f t="shared" ca="1" si="70"/>
        <v>901.44034804657713</v>
      </c>
      <c r="P145" s="336">
        <f t="shared" ca="1" si="70"/>
        <v>891.58891707586099</v>
      </c>
      <c r="Q145" s="336">
        <f t="shared" ca="1" si="70"/>
        <v>883.26573350718536</v>
      </c>
      <c r="R145" s="336">
        <f t="shared" ca="1" si="70"/>
        <v>875.05522182950972</v>
      </c>
      <c r="S145" s="336">
        <f t="shared" ca="1" si="70"/>
        <v>867.31464843094727</v>
      </c>
      <c r="T145" s="336">
        <f t="shared" ca="1" si="70"/>
        <v>860.30569405167444</v>
      </c>
      <c r="U145" s="336">
        <f t="shared" ca="1" si="70"/>
        <v>854.02568530195276</v>
      </c>
      <c r="V145" s="336">
        <f t="shared" ca="1" si="70"/>
        <v>848.37023952262371</v>
      </c>
      <c r="W145" s="336">
        <f t="shared" ca="1" si="70"/>
        <v>843.2614490275937</v>
      </c>
      <c r="X145" s="336">
        <f t="shared" ca="1" si="70"/>
        <v>839.70996192638177</v>
      </c>
      <c r="Y145" s="337">
        <f t="shared" ref="Y145:Y146" ca="1" si="71">SUM(E145:X145)</f>
        <v>25964.258957139136</v>
      </c>
      <c r="Z145" s="335"/>
      <c r="AA145" s="335"/>
      <c r="AB145" s="335"/>
    </row>
    <row r="146" spans="3:28">
      <c r="C146" s="335" t="s">
        <v>900</v>
      </c>
      <c r="D146" s="335"/>
      <c r="E146" s="336">
        <f ca="1">E43+E145</f>
        <v>6782.4740879999354</v>
      </c>
      <c r="F146" s="336">
        <f t="shared" ref="F146:X146" ca="1" si="72">F43+F145</f>
        <v>6860.3366339999266</v>
      </c>
      <c r="G146" s="336">
        <f t="shared" ca="1" si="72"/>
        <v>6893.9654040001205</v>
      </c>
      <c r="H146" s="336">
        <f t="shared" ca="1" si="72"/>
        <v>6832.4324579999202</v>
      </c>
      <c r="I146" s="336">
        <f t="shared" ca="1" si="72"/>
        <v>6732.3086820001427</v>
      </c>
      <c r="J146" s="336">
        <f t="shared" ca="1" si="72"/>
        <v>6605.4325499999904</v>
      </c>
      <c r="K146" s="336">
        <f t="shared" ca="1" si="72"/>
        <v>6473.6828099999875</v>
      </c>
      <c r="L146" s="336">
        <f t="shared" ca="1" si="72"/>
        <v>6343.2039600000599</v>
      </c>
      <c r="M146" s="336">
        <f t="shared" ca="1" si="72"/>
        <v>6220.001015999851</v>
      </c>
      <c r="N146" s="336">
        <f t="shared" ca="1" si="72"/>
        <v>6115.1052060000429</v>
      </c>
      <c r="O146" s="336">
        <f t="shared" ca="1" si="72"/>
        <v>6030.024102000034</v>
      </c>
      <c r="P146" s="336">
        <f t="shared" ca="1" si="72"/>
        <v>5966.0378280000159</v>
      </c>
      <c r="Q146" s="336">
        <f t="shared" ca="1" si="72"/>
        <v>5910.84912599991</v>
      </c>
      <c r="R146" s="336">
        <f t="shared" ca="1" si="72"/>
        <v>5856.0292980001204</v>
      </c>
      <c r="S146" s="336">
        <f t="shared" ca="1" si="72"/>
        <v>5804.2571759998955</v>
      </c>
      <c r="T146" s="336">
        <f t="shared" ca="1" si="72"/>
        <v>5757.3581759998879</v>
      </c>
      <c r="U146" s="336">
        <f t="shared" ca="1" si="72"/>
        <v>5715.3322980000985</v>
      </c>
      <c r="V146" s="336">
        <f t="shared" ca="1" si="72"/>
        <v>5677.485048000035</v>
      </c>
      <c r="W146" s="336">
        <f t="shared" ca="1" si="72"/>
        <v>5643.2959199999405</v>
      </c>
      <c r="X146" s="336">
        <f t="shared" ca="1" si="72"/>
        <v>5619.5285760000097</v>
      </c>
      <c r="Y146" s="337">
        <f t="shared" ca="1" si="71"/>
        <v>123839.14035599993</v>
      </c>
      <c r="Z146" s="335" t="s">
        <v>904</v>
      </c>
      <c r="AA146" s="335"/>
      <c r="AB146" s="335"/>
    </row>
    <row r="147" spans="3:28">
      <c r="C147" s="335" t="s">
        <v>901</v>
      </c>
      <c r="D147" s="335"/>
      <c r="E147" s="336">
        <f ca="1">E20*(1-$A$25)-E146</f>
        <v>-2260.8246959999778</v>
      </c>
      <c r="F147" s="336">
        <f t="shared" ref="F147:X147" ca="1" si="73">F20*(1-$A$25)-F146</f>
        <v>-2286.7788779999755</v>
      </c>
      <c r="G147" s="336">
        <f t="shared" ca="1" si="73"/>
        <v>-2297.9884680000396</v>
      </c>
      <c r="H147" s="336">
        <f t="shared" ca="1" si="73"/>
        <v>-2277.4774859999725</v>
      </c>
      <c r="I147" s="336">
        <f t="shared" ca="1" si="73"/>
        <v>-2244.1028940000479</v>
      </c>
      <c r="J147" s="336">
        <f t="shared" ca="1" si="73"/>
        <v>-2201.8108499999962</v>
      </c>
      <c r="K147" s="336">
        <f t="shared" ca="1" si="73"/>
        <v>-2157.8942699999943</v>
      </c>
      <c r="L147" s="336">
        <f t="shared" ca="1" si="73"/>
        <v>-2114.401320000019</v>
      </c>
      <c r="M147" s="336">
        <f t="shared" ca="1" si="73"/>
        <v>-2073.3336719999497</v>
      </c>
      <c r="N147" s="336">
        <f t="shared" ca="1" si="73"/>
        <v>-2038.3684020000142</v>
      </c>
      <c r="O147" s="336">
        <f t="shared" ca="1" si="73"/>
        <v>-2010.0080340000118</v>
      </c>
      <c r="P147" s="336">
        <f t="shared" ca="1" si="73"/>
        <v>-1988.6792760000053</v>
      </c>
      <c r="Q147" s="336">
        <f t="shared" ca="1" si="73"/>
        <v>-1970.2830419999705</v>
      </c>
      <c r="R147" s="336">
        <f t="shared" ca="1" si="73"/>
        <v>-1952.0097660000401</v>
      </c>
      <c r="S147" s="336">
        <f t="shared" ca="1" si="73"/>
        <v>-1934.7523919999644</v>
      </c>
      <c r="T147" s="336">
        <f t="shared" ca="1" si="73"/>
        <v>-1919.1193919999614</v>
      </c>
      <c r="U147" s="336">
        <f t="shared" ca="1" si="73"/>
        <v>-1905.1107660000325</v>
      </c>
      <c r="V147" s="336">
        <f t="shared" ca="1" si="73"/>
        <v>-1892.4950160000117</v>
      </c>
      <c r="W147" s="336">
        <f t="shared" ca="1" si="73"/>
        <v>-1881.0986399999802</v>
      </c>
      <c r="X147" s="336">
        <f t="shared" ca="1" si="73"/>
        <v>-1873.1761920000026</v>
      </c>
      <c r="Y147" s="335"/>
      <c r="Z147" s="335"/>
      <c r="AA147" s="335"/>
      <c r="AB147" s="335"/>
    </row>
    <row r="148" spans="3:28">
      <c r="C148" s="335"/>
      <c r="D148" s="335"/>
      <c r="E148" s="335"/>
      <c r="F148" s="335"/>
      <c r="G148" s="335"/>
      <c r="H148" s="335"/>
      <c r="I148" s="335"/>
      <c r="J148" s="335"/>
      <c r="K148" s="335"/>
      <c r="L148" s="335"/>
      <c r="M148" s="335"/>
      <c r="N148" s="335"/>
      <c r="O148" s="335"/>
      <c r="P148" s="335"/>
      <c r="Q148" s="335"/>
      <c r="R148" s="335"/>
      <c r="S148" s="335"/>
      <c r="T148" s="335"/>
      <c r="U148" s="335"/>
      <c r="V148" s="335"/>
      <c r="W148" s="335"/>
      <c r="X148" s="335"/>
      <c r="Y148" s="335"/>
      <c r="Z148" s="335"/>
      <c r="AA148" s="335"/>
      <c r="AB148" s="335"/>
    </row>
    <row r="149" spans="3:28">
      <c r="C149" s="335" t="s">
        <v>905</v>
      </c>
      <c r="D149" s="335"/>
      <c r="E149" s="336">
        <f ca="1">E146*$Y$15</f>
        <v>5765.1029747999446</v>
      </c>
      <c r="F149" s="336">
        <f t="shared" ref="F149:X149" ca="1" si="74">F146*$Y$15</f>
        <v>5831.2861388999372</v>
      </c>
      <c r="G149" s="336">
        <f t="shared" ca="1" si="74"/>
        <v>5859.8705934001027</v>
      </c>
      <c r="H149" s="336">
        <f t="shared" ca="1" si="74"/>
        <v>5807.5675892999316</v>
      </c>
      <c r="I149" s="336">
        <f t="shared" ca="1" si="74"/>
        <v>5722.4623797001213</v>
      </c>
      <c r="J149" s="336">
        <f t="shared" ca="1" si="74"/>
        <v>5614.6176674999915</v>
      </c>
      <c r="K149" s="336">
        <f t="shared" ca="1" si="74"/>
        <v>5502.6303884999888</v>
      </c>
      <c r="L149" s="336">
        <f t="shared" ca="1" si="74"/>
        <v>5391.7233660000511</v>
      </c>
      <c r="M149" s="336">
        <f t="shared" ca="1" si="74"/>
        <v>5287.0008635998729</v>
      </c>
      <c r="N149" s="336">
        <f t="shared" ca="1" si="74"/>
        <v>5197.8394251000364</v>
      </c>
      <c r="O149" s="336">
        <f t="shared" ca="1" si="74"/>
        <v>5125.5204867000284</v>
      </c>
      <c r="P149" s="336">
        <f t="shared" ca="1" si="74"/>
        <v>5071.1321538000138</v>
      </c>
      <c r="Q149" s="336">
        <f t="shared" ca="1" si="74"/>
        <v>5024.2217570999237</v>
      </c>
      <c r="R149" s="336">
        <f t="shared" ca="1" si="74"/>
        <v>4977.6249033001022</v>
      </c>
      <c r="S149" s="336">
        <f t="shared" ca="1" si="74"/>
        <v>4933.6185995999112</v>
      </c>
      <c r="T149" s="336">
        <f t="shared" ca="1" si="74"/>
        <v>4893.7544495999045</v>
      </c>
      <c r="U149" s="336">
        <f t="shared" ca="1" si="74"/>
        <v>4858.0324533000839</v>
      </c>
      <c r="V149" s="336">
        <f t="shared" ca="1" si="74"/>
        <v>4825.8622908000298</v>
      </c>
      <c r="W149" s="336">
        <f t="shared" ca="1" si="74"/>
        <v>4796.8015319999495</v>
      </c>
      <c r="X149" s="336">
        <f t="shared" ca="1" si="74"/>
        <v>4776.599289600008</v>
      </c>
      <c r="Y149" s="337">
        <f t="shared" ref="Y149" ca="1" si="75">SUM(E149:X149)</f>
        <v>105263.26930259993</v>
      </c>
      <c r="Z149" s="335" t="s">
        <v>906</v>
      </c>
      <c r="AA149" s="335"/>
      <c r="AB149" s="335"/>
    </row>
    <row r="150" spans="3:28">
      <c r="C150" s="335"/>
      <c r="D150" s="335"/>
      <c r="E150" s="335"/>
      <c r="F150" s="335"/>
      <c r="G150" s="335"/>
      <c r="H150" s="335"/>
      <c r="I150" s="335"/>
      <c r="J150" s="335"/>
      <c r="K150" s="335"/>
      <c r="L150" s="335"/>
      <c r="M150" s="335"/>
      <c r="N150" s="335"/>
      <c r="O150" s="335"/>
      <c r="P150" s="335"/>
      <c r="Q150" s="335"/>
      <c r="R150" s="335"/>
      <c r="S150" s="335"/>
      <c r="T150" s="335"/>
      <c r="U150" s="335"/>
      <c r="V150" s="335"/>
      <c r="W150" s="335"/>
      <c r="X150" s="335"/>
      <c r="Y150" s="336">
        <f ca="1">Y138+Y43</f>
        <v>123839.1403559999</v>
      </c>
      <c r="Z150" s="335" t="s">
        <v>907</v>
      </c>
      <c r="AA150" s="335"/>
      <c r="AB150" s="335"/>
    </row>
  </sheetData>
  <mergeCells count="1">
    <mergeCell ref="B1:S5"/>
  </mergeCells>
  <dataValidations count="1">
    <dataValidation type="list" allowBlank="1" showInputMessage="1" showErrorMessage="1" sqref="D8">
      <formula1>"ID, MT, OR, WA, Region"</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sheetPr codeName="Sheet17"/>
  <dimension ref="A1:AG158"/>
  <sheetViews>
    <sheetView workbookViewId="0">
      <selection activeCell="A41" sqref="A41:A45"/>
    </sheetView>
  </sheetViews>
  <sheetFormatPr defaultRowHeight="12.75"/>
  <cols>
    <col min="1" max="1" width="40.5703125" style="11" customWidth="1"/>
    <col min="2" max="2" width="18.7109375" style="11" customWidth="1"/>
    <col min="3" max="3" width="28.7109375" style="11" customWidth="1"/>
    <col min="4" max="4" width="24.5703125" style="11" customWidth="1"/>
    <col min="5" max="5" width="11" style="11" customWidth="1"/>
    <col min="6" max="6" width="10.28515625" style="11" bestFit="1" customWidth="1"/>
    <col min="7" max="24" width="11.140625" style="11" customWidth="1"/>
    <col min="25" max="25" width="11.5703125" style="11" customWidth="1"/>
    <col min="26" max="26" width="12.140625" style="11" customWidth="1"/>
    <col min="27" max="27" width="17.42578125" style="11" customWidth="1"/>
    <col min="28" max="28" width="12" style="11" customWidth="1"/>
    <col min="29" max="29" width="9.140625" style="11"/>
    <col min="30" max="30" width="11.7109375" style="11" customWidth="1"/>
    <col min="31" max="31" width="13" style="11" customWidth="1"/>
    <col min="32" max="32" width="9.140625" style="11"/>
    <col min="33" max="33" width="10.5703125" style="11" customWidth="1"/>
    <col min="34" max="255" width="9.140625" style="11"/>
    <col min="256" max="256" width="35" style="11" customWidth="1"/>
    <col min="257" max="257" width="16" style="11" customWidth="1"/>
    <col min="258" max="258" width="29.140625" style="11" customWidth="1"/>
    <col min="259" max="259" width="12.85546875" style="11" bestFit="1" customWidth="1"/>
    <col min="260" max="260" width="9.42578125" style="11" customWidth="1"/>
    <col min="261" max="511" width="9.140625" style="11"/>
    <col min="512" max="512" width="35" style="11" customWidth="1"/>
    <col min="513" max="513" width="16" style="11" customWidth="1"/>
    <col min="514" max="514" width="29.140625" style="11" customWidth="1"/>
    <col min="515" max="515" width="12.85546875" style="11" bestFit="1" customWidth="1"/>
    <col min="516" max="516" width="9.42578125" style="11" customWidth="1"/>
    <col min="517" max="767" width="9.140625" style="11"/>
    <col min="768" max="768" width="35" style="11" customWidth="1"/>
    <col min="769" max="769" width="16" style="11" customWidth="1"/>
    <col min="770" max="770" width="29.140625" style="11" customWidth="1"/>
    <col min="771" max="771" width="12.85546875" style="11" bestFit="1" customWidth="1"/>
    <col min="772" max="772" width="9.42578125" style="11" customWidth="1"/>
    <col min="773" max="1023" width="9.140625" style="11"/>
    <col min="1024" max="1024" width="35" style="11" customWidth="1"/>
    <col min="1025" max="1025" width="16" style="11" customWidth="1"/>
    <col min="1026" max="1026" width="29.140625" style="11" customWidth="1"/>
    <col min="1027" max="1027" width="12.85546875" style="11" bestFit="1" customWidth="1"/>
    <col min="1028" max="1028" width="9.42578125" style="11" customWidth="1"/>
    <col min="1029" max="1279" width="9.140625" style="11"/>
    <col min="1280" max="1280" width="35" style="11" customWidth="1"/>
    <col min="1281" max="1281" width="16" style="11" customWidth="1"/>
    <col min="1282" max="1282" width="29.140625" style="11" customWidth="1"/>
    <col min="1283" max="1283" width="12.85546875" style="11" bestFit="1" customWidth="1"/>
    <col min="1284" max="1284" width="9.42578125" style="11" customWidth="1"/>
    <col min="1285" max="1535" width="9.140625" style="11"/>
    <col min="1536" max="1536" width="35" style="11" customWidth="1"/>
    <col min="1537" max="1537" width="16" style="11" customWidth="1"/>
    <col min="1538" max="1538" width="29.140625" style="11" customWidth="1"/>
    <col min="1539" max="1539" width="12.85546875" style="11" bestFit="1" customWidth="1"/>
    <col min="1540" max="1540" width="9.42578125" style="11" customWidth="1"/>
    <col min="1541" max="1791" width="9.140625" style="11"/>
    <col min="1792" max="1792" width="35" style="11" customWidth="1"/>
    <col min="1793" max="1793" width="16" style="11" customWidth="1"/>
    <col min="1794" max="1794" width="29.140625" style="11" customWidth="1"/>
    <col min="1795" max="1795" width="12.85546875" style="11" bestFit="1" customWidth="1"/>
    <col min="1796" max="1796" width="9.42578125" style="11" customWidth="1"/>
    <col min="1797" max="2047" width="9.140625" style="11"/>
    <col min="2048" max="2048" width="35" style="11" customWidth="1"/>
    <col min="2049" max="2049" width="16" style="11" customWidth="1"/>
    <col min="2050" max="2050" width="29.140625" style="11" customWidth="1"/>
    <col min="2051" max="2051" width="12.85546875" style="11" bestFit="1" customWidth="1"/>
    <col min="2052" max="2052" width="9.42578125" style="11" customWidth="1"/>
    <col min="2053" max="2303" width="9.140625" style="11"/>
    <col min="2304" max="2304" width="35" style="11" customWidth="1"/>
    <col min="2305" max="2305" width="16" style="11" customWidth="1"/>
    <col min="2306" max="2306" width="29.140625" style="11" customWidth="1"/>
    <col min="2307" max="2307" width="12.85546875" style="11" bestFit="1" customWidth="1"/>
    <col min="2308" max="2308" width="9.42578125" style="11" customWidth="1"/>
    <col min="2309" max="2559" width="9.140625" style="11"/>
    <col min="2560" max="2560" width="35" style="11" customWidth="1"/>
    <col min="2561" max="2561" width="16" style="11" customWidth="1"/>
    <col min="2562" max="2562" width="29.140625" style="11" customWidth="1"/>
    <col min="2563" max="2563" width="12.85546875" style="11" bestFit="1" customWidth="1"/>
    <col min="2564" max="2564" width="9.42578125" style="11" customWidth="1"/>
    <col min="2565" max="2815" width="9.140625" style="11"/>
    <col min="2816" max="2816" width="35" style="11" customWidth="1"/>
    <col min="2817" max="2817" width="16" style="11" customWidth="1"/>
    <col min="2818" max="2818" width="29.140625" style="11" customWidth="1"/>
    <col min="2819" max="2819" width="12.85546875" style="11" bestFit="1" customWidth="1"/>
    <col min="2820" max="2820" width="9.42578125" style="11" customWidth="1"/>
    <col min="2821" max="3071" width="9.140625" style="11"/>
    <col min="3072" max="3072" width="35" style="11" customWidth="1"/>
    <col min="3073" max="3073" width="16" style="11" customWidth="1"/>
    <col min="3074" max="3074" width="29.140625" style="11" customWidth="1"/>
    <col min="3075" max="3075" width="12.85546875" style="11" bestFit="1" customWidth="1"/>
    <col min="3076" max="3076" width="9.42578125" style="11" customWidth="1"/>
    <col min="3077" max="3327" width="9.140625" style="11"/>
    <col min="3328" max="3328" width="35" style="11" customWidth="1"/>
    <col min="3329" max="3329" width="16" style="11" customWidth="1"/>
    <col min="3330" max="3330" width="29.140625" style="11" customWidth="1"/>
    <col min="3331" max="3331" width="12.85546875" style="11" bestFit="1" customWidth="1"/>
    <col min="3332" max="3332" width="9.42578125" style="11" customWidth="1"/>
    <col min="3333" max="3583" width="9.140625" style="11"/>
    <col min="3584" max="3584" width="35" style="11" customWidth="1"/>
    <col min="3585" max="3585" width="16" style="11" customWidth="1"/>
    <col min="3586" max="3586" width="29.140625" style="11" customWidth="1"/>
    <col min="3587" max="3587" width="12.85546875" style="11" bestFit="1" customWidth="1"/>
    <col min="3588" max="3588" width="9.42578125" style="11" customWidth="1"/>
    <col min="3589" max="3839" width="9.140625" style="11"/>
    <col min="3840" max="3840" width="35" style="11" customWidth="1"/>
    <col min="3841" max="3841" width="16" style="11" customWidth="1"/>
    <col min="3842" max="3842" width="29.140625" style="11" customWidth="1"/>
    <col min="3843" max="3843" width="12.85546875" style="11" bestFit="1" customWidth="1"/>
    <col min="3844" max="3844" width="9.42578125" style="11" customWidth="1"/>
    <col min="3845" max="4095" width="9.140625" style="11"/>
    <col min="4096" max="4096" width="35" style="11" customWidth="1"/>
    <col min="4097" max="4097" width="16" style="11" customWidth="1"/>
    <col min="4098" max="4098" width="29.140625" style="11" customWidth="1"/>
    <col min="4099" max="4099" width="12.85546875" style="11" bestFit="1" customWidth="1"/>
    <col min="4100" max="4100" width="9.42578125" style="11" customWidth="1"/>
    <col min="4101" max="4351" width="9.140625" style="11"/>
    <col min="4352" max="4352" width="35" style="11" customWidth="1"/>
    <col min="4353" max="4353" width="16" style="11" customWidth="1"/>
    <col min="4354" max="4354" width="29.140625" style="11" customWidth="1"/>
    <col min="4355" max="4355" width="12.85546875" style="11" bestFit="1" customWidth="1"/>
    <col min="4356" max="4356" width="9.42578125" style="11" customWidth="1"/>
    <col min="4357" max="4607" width="9.140625" style="11"/>
    <col min="4608" max="4608" width="35" style="11" customWidth="1"/>
    <col min="4609" max="4609" width="16" style="11" customWidth="1"/>
    <col min="4610" max="4610" width="29.140625" style="11" customWidth="1"/>
    <col min="4611" max="4611" width="12.85546875" style="11" bestFit="1" customWidth="1"/>
    <col min="4612" max="4612" width="9.42578125" style="11" customWidth="1"/>
    <col min="4613" max="4863" width="9.140625" style="11"/>
    <col min="4864" max="4864" width="35" style="11" customWidth="1"/>
    <col min="4865" max="4865" width="16" style="11" customWidth="1"/>
    <col min="4866" max="4866" width="29.140625" style="11" customWidth="1"/>
    <col min="4867" max="4867" width="12.85546875" style="11" bestFit="1" customWidth="1"/>
    <col min="4868" max="4868" width="9.42578125" style="11" customWidth="1"/>
    <col min="4869" max="5119" width="9.140625" style="11"/>
    <col min="5120" max="5120" width="35" style="11" customWidth="1"/>
    <col min="5121" max="5121" width="16" style="11" customWidth="1"/>
    <col min="5122" max="5122" width="29.140625" style="11" customWidth="1"/>
    <col min="5123" max="5123" width="12.85546875" style="11" bestFit="1" customWidth="1"/>
    <col min="5124" max="5124" width="9.42578125" style="11" customWidth="1"/>
    <col min="5125" max="5375" width="9.140625" style="11"/>
    <col min="5376" max="5376" width="35" style="11" customWidth="1"/>
    <col min="5377" max="5377" width="16" style="11" customWidth="1"/>
    <col min="5378" max="5378" width="29.140625" style="11" customWidth="1"/>
    <col min="5379" max="5379" width="12.85546875" style="11" bestFit="1" customWidth="1"/>
    <col min="5380" max="5380" width="9.42578125" style="11" customWidth="1"/>
    <col min="5381" max="5631" width="9.140625" style="11"/>
    <col min="5632" max="5632" width="35" style="11" customWidth="1"/>
    <col min="5633" max="5633" width="16" style="11" customWidth="1"/>
    <col min="5634" max="5634" width="29.140625" style="11" customWidth="1"/>
    <col min="5635" max="5635" width="12.85546875" style="11" bestFit="1" customWidth="1"/>
    <col min="5636" max="5636" width="9.42578125" style="11" customWidth="1"/>
    <col min="5637" max="5887" width="9.140625" style="11"/>
    <col min="5888" max="5888" width="35" style="11" customWidth="1"/>
    <col min="5889" max="5889" width="16" style="11" customWidth="1"/>
    <col min="5890" max="5890" width="29.140625" style="11" customWidth="1"/>
    <col min="5891" max="5891" width="12.85546875" style="11" bestFit="1" customWidth="1"/>
    <col min="5892" max="5892" width="9.42578125" style="11" customWidth="1"/>
    <col min="5893" max="6143" width="9.140625" style="11"/>
    <col min="6144" max="6144" width="35" style="11" customWidth="1"/>
    <col min="6145" max="6145" width="16" style="11" customWidth="1"/>
    <col min="6146" max="6146" width="29.140625" style="11" customWidth="1"/>
    <col min="6147" max="6147" width="12.85546875" style="11" bestFit="1" customWidth="1"/>
    <col min="6148" max="6148" width="9.42578125" style="11" customWidth="1"/>
    <col min="6149" max="6399" width="9.140625" style="11"/>
    <col min="6400" max="6400" width="35" style="11" customWidth="1"/>
    <col min="6401" max="6401" width="16" style="11" customWidth="1"/>
    <col min="6402" max="6402" width="29.140625" style="11" customWidth="1"/>
    <col min="6403" max="6403" width="12.85546875" style="11" bestFit="1" customWidth="1"/>
    <col min="6404" max="6404" width="9.42578125" style="11" customWidth="1"/>
    <col min="6405" max="6655" width="9.140625" style="11"/>
    <col min="6656" max="6656" width="35" style="11" customWidth="1"/>
    <col min="6657" max="6657" width="16" style="11" customWidth="1"/>
    <col min="6658" max="6658" width="29.140625" style="11" customWidth="1"/>
    <col min="6659" max="6659" width="12.85546875" style="11" bestFit="1" customWidth="1"/>
    <col min="6660" max="6660" width="9.42578125" style="11" customWidth="1"/>
    <col min="6661" max="6911" width="9.140625" style="11"/>
    <col min="6912" max="6912" width="35" style="11" customWidth="1"/>
    <col min="6913" max="6913" width="16" style="11" customWidth="1"/>
    <col min="6914" max="6914" width="29.140625" style="11" customWidth="1"/>
    <col min="6915" max="6915" width="12.85546875" style="11" bestFit="1" customWidth="1"/>
    <col min="6916" max="6916" width="9.42578125" style="11" customWidth="1"/>
    <col min="6917" max="7167" width="9.140625" style="11"/>
    <col min="7168" max="7168" width="35" style="11" customWidth="1"/>
    <col min="7169" max="7169" width="16" style="11" customWidth="1"/>
    <col min="7170" max="7170" width="29.140625" style="11" customWidth="1"/>
    <col min="7171" max="7171" width="12.85546875" style="11" bestFit="1" customWidth="1"/>
    <col min="7172" max="7172" width="9.42578125" style="11" customWidth="1"/>
    <col min="7173" max="7423" width="9.140625" style="11"/>
    <col min="7424" max="7424" width="35" style="11" customWidth="1"/>
    <col min="7425" max="7425" width="16" style="11" customWidth="1"/>
    <col min="7426" max="7426" width="29.140625" style="11" customWidth="1"/>
    <col min="7427" max="7427" width="12.85546875" style="11" bestFit="1" customWidth="1"/>
    <col min="7428" max="7428" width="9.42578125" style="11" customWidth="1"/>
    <col min="7429" max="7679" width="9.140625" style="11"/>
    <col min="7680" max="7680" width="35" style="11" customWidth="1"/>
    <col min="7681" max="7681" width="16" style="11" customWidth="1"/>
    <col min="7682" max="7682" width="29.140625" style="11" customWidth="1"/>
    <col min="7683" max="7683" width="12.85546875" style="11" bestFit="1" customWidth="1"/>
    <col min="7684" max="7684" width="9.42578125" style="11" customWidth="1"/>
    <col min="7685" max="7935" width="9.140625" style="11"/>
    <col min="7936" max="7936" width="35" style="11" customWidth="1"/>
    <col min="7937" max="7937" width="16" style="11" customWidth="1"/>
    <col min="7938" max="7938" width="29.140625" style="11" customWidth="1"/>
    <col min="7939" max="7939" width="12.85546875" style="11" bestFit="1" customWidth="1"/>
    <col min="7940" max="7940" width="9.42578125" style="11" customWidth="1"/>
    <col min="7941" max="8191" width="9.140625" style="11"/>
    <col min="8192" max="8192" width="35" style="11" customWidth="1"/>
    <col min="8193" max="8193" width="16" style="11" customWidth="1"/>
    <col min="8194" max="8194" width="29.140625" style="11" customWidth="1"/>
    <col min="8195" max="8195" width="12.85546875" style="11" bestFit="1" customWidth="1"/>
    <col min="8196" max="8196" width="9.42578125" style="11" customWidth="1"/>
    <col min="8197" max="8447" width="9.140625" style="11"/>
    <col min="8448" max="8448" width="35" style="11" customWidth="1"/>
    <col min="8449" max="8449" width="16" style="11" customWidth="1"/>
    <col min="8450" max="8450" width="29.140625" style="11" customWidth="1"/>
    <col min="8451" max="8451" width="12.85546875" style="11" bestFit="1" customWidth="1"/>
    <col min="8452" max="8452" width="9.42578125" style="11" customWidth="1"/>
    <col min="8453" max="8703" width="9.140625" style="11"/>
    <col min="8704" max="8704" width="35" style="11" customWidth="1"/>
    <col min="8705" max="8705" width="16" style="11" customWidth="1"/>
    <col min="8706" max="8706" width="29.140625" style="11" customWidth="1"/>
    <col min="8707" max="8707" width="12.85546875" style="11" bestFit="1" customWidth="1"/>
    <col min="8708" max="8708" width="9.42578125" style="11" customWidth="1"/>
    <col min="8709" max="8959" width="9.140625" style="11"/>
    <col min="8960" max="8960" width="35" style="11" customWidth="1"/>
    <col min="8961" max="8961" width="16" style="11" customWidth="1"/>
    <col min="8962" max="8962" width="29.140625" style="11" customWidth="1"/>
    <col min="8963" max="8963" width="12.85546875" style="11" bestFit="1" customWidth="1"/>
    <col min="8964" max="8964" width="9.42578125" style="11" customWidth="1"/>
    <col min="8965" max="9215" width="9.140625" style="11"/>
    <col min="9216" max="9216" width="35" style="11" customWidth="1"/>
    <col min="9217" max="9217" width="16" style="11" customWidth="1"/>
    <col min="9218" max="9218" width="29.140625" style="11" customWidth="1"/>
    <col min="9219" max="9219" width="12.85546875" style="11" bestFit="1" customWidth="1"/>
    <col min="9220" max="9220" width="9.42578125" style="11" customWidth="1"/>
    <col min="9221" max="9471" width="9.140625" style="11"/>
    <col min="9472" max="9472" width="35" style="11" customWidth="1"/>
    <col min="9473" max="9473" width="16" style="11" customWidth="1"/>
    <col min="9474" max="9474" width="29.140625" style="11" customWidth="1"/>
    <col min="9475" max="9475" width="12.85546875" style="11" bestFit="1" customWidth="1"/>
    <col min="9476" max="9476" width="9.42578125" style="11" customWidth="1"/>
    <col min="9477" max="9727" width="9.140625" style="11"/>
    <col min="9728" max="9728" width="35" style="11" customWidth="1"/>
    <col min="9729" max="9729" width="16" style="11" customWidth="1"/>
    <col min="9730" max="9730" width="29.140625" style="11" customWidth="1"/>
    <col min="9731" max="9731" width="12.85546875" style="11" bestFit="1" customWidth="1"/>
    <col min="9732" max="9732" width="9.42578125" style="11" customWidth="1"/>
    <col min="9733" max="9983" width="9.140625" style="11"/>
    <col min="9984" max="9984" width="35" style="11" customWidth="1"/>
    <col min="9985" max="9985" width="16" style="11" customWidth="1"/>
    <col min="9986" max="9986" width="29.140625" style="11" customWidth="1"/>
    <col min="9987" max="9987" width="12.85546875" style="11" bestFit="1" customWidth="1"/>
    <col min="9988" max="9988" width="9.42578125" style="11" customWidth="1"/>
    <col min="9989" max="10239" width="9.140625" style="11"/>
    <col min="10240" max="10240" width="35" style="11" customWidth="1"/>
    <col min="10241" max="10241" width="16" style="11" customWidth="1"/>
    <col min="10242" max="10242" width="29.140625" style="11" customWidth="1"/>
    <col min="10243" max="10243" width="12.85546875" style="11" bestFit="1" customWidth="1"/>
    <col min="10244" max="10244" width="9.42578125" style="11" customWidth="1"/>
    <col min="10245" max="10495" width="9.140625" style="11"/>
    <col min="10496" max="10496" width="35" style="11" customWidth="1"/>
    <col min="10497" max="10497" width="16" style="11" customWidth="1"/>
    <col min="10498" max="10498" width="29.140625" style="11" customWidth="1"/>
    <col min="10499" max="10499" width="12.85546875" style="11" bestFit="1" customWidth="1"/>
    <col min="10500" max="10500" width="9.42578125" style="11" customWidth="1"/>
    <col min="10501" max="10751" width="9.140625" style="11"/>
    <col min="10752" max="10752" width="35" style="11" customWidth="1"/>
    <col min="10753" max="10753" width="16" style="11" customWidth="1"/>
    <col min="10754" max="10754" width="29.140625" style="11" customWidth="1"/>
    <col min="10755" max="10755" width="12.85546875" style="11" bestFit="1" customWidth="1"/>
    <col min="10756" max="10756" width="9.42578125" style="11" customWidth="1"/>
    <col min="10757" max="11007" width="9.140625" style="11"/>
    <col min="11008" max="11008" width="35" style="11" customWidth="1"/>
    <col min="11009" max="11009" width="16" style="11" customWidth="1"/>
    <col min="11010" max="11010" width="29.140625" style="11" customWidth="1"/>
    <col min="11011" max="11011" width="12.85546875" style="11" bestFit="1" customWidth="1"/>
    <col min="11012" max="11012" width="9.42578125" style="11" customWidth="1"/>
    <col min="11013" max="11263" width="9.140625" style="11"/>
    <col min="11264" max="11264" width="35" style="11" customWidth="1"/>
    <col min="11265" max="11265" width="16" style="11" customWidth="1"/>
    <col min="11266" max="11266" width="29.140625" style="11" customWidth="1"/>
    <col min="11267" max="11267" width="12.85546875" style="11" bestFit="1" customWidth="1"/>
    <col min="11268" max="11268" width="9.42578125" style="11" customWidth="1"/>
    <col min="11269" max="11519" width="9.140625" style="11"/>
    <col min="11520" max="11520" width="35" style="11" customWidth="1"/>
    <col min="11521" max="11521" width="16" style="11" customWidth="1"/>
    <col min="11522" max="11522" width="29.140625" style="11" customWidth="1"/>
    <col min="11523" max="11523" width="12.85546875" style="11" bestFit="1" customWidth="1"/>
    <col min="11524" max="11524" width="9.42578125" style="11" customWidth="1"/>
    <col min="11525" max="11775" width="9.140625" style="11"/>
    <col min="11776" max="11776" width="35" style="11" customWidth="1"/>
    <col min="11777" max="11777" width="16" style="11" customWidth="1"/>
    <col min="11778" max="11778" width="29.140625" style="11" customWidth="1"/>
    <col min="11779" max="11779" width="12.85546875" style="11" bestFit="1" customWidth="1"/>
    <col min="11780" max="11780" width="9.42578125" style="11" customWidth="1"/>
    <col min="11781" max="12031" width="9.140625" style="11"/>
    <col min="12032" max="12032" width="35" style="11" customWidth="1"/>
    <col min="12033" max="12033" width="16" style="11" customWidth="1"/>
    <col min="12034" max="12034" width="29.140625" style="11" customWidth="1"/>
    <col min="12035" max="12035" width="12.85546875" style="11" bestFit="1" customWidth="1"/>
    <col min="12036" max="12036" width="9.42578125" style="11" customWidth="1"/>
    <col min="12037" max="12287" width="9.140625" style="11"/>
    <col min="12288" max="12288" width="35" style="11" customWidth="1"/>
    <col min="12289" max="12289" width="16" style="11" customWidth="1"/>
    <col min="12290" max="12290" width="29.140625" style="11" customWidth="1"/>
    <col min="12291" max="12291" width="12.85546875" style="11" bestFit="1" customWidth="1"/>
    <col min="12292" max="12292" width="9.42578125" style="11" customWidth="1"/>
    <col min="12293" max="12543" width="9.140625" style="11"/>
    <col min="12544" max="12544" width="35" style="11" customWidth="1"/>
    <col min="12545" max="12545" width="16" style="11" customWidth="1"/>
    <col min="12546" max="12546" width="29.140625" style="11" customWidth="1"/>
    <col min="12547" max="12547" width="12.85546875" style="11" bestFit="1" customWidth="1"/>
    <col min="12548" max="12548" width="9.42578125" style="11" customWidth="1"/>
    <col min="12549" max="12799" width="9.140625" style="11"/>
    <col min="12800" max="12800" width="35" style="11" customWidth="1"/>
    <col min="12801" max="12801" width="16" style="11" customWidth="1"/>
    <col min="12802" max="12802" width="29.140625" style="11" customWidth="1"/>
    <col min="12803" max="12803" width="12.85546875" style="11" bestFit="1" customWidth="1"/>
    <col min="12804" max="12804" width="9.42578125" style="11" customWidth="1"/>
    <col min="12805" max="13055" width="9.140625" style="11"/>
    <col min="13056" max="13056" width="35" style="11" customWidth="1"/>
    <col min="13057" max="13057" width="16" style="11" customWidth="1"/>
    <col min="13058" max="13058" width="29.140625" style="11" customWidth="1"/>
    <col min="13059" max="13059" width="12.85546875" style="11" bestFit="1" customWidth="1"/>
    <col min="13060" max="13060" width="9.42578125" style="11" customWidth="1"/>
    <col min="13061" max="13311" width="9.140625" style="11"/>
    <col min="13312" max="13312" width="35" style="11" customWidth="1"/>
    <col min="13313" max="13313" width="16" style="11" customWidth="1"/>
    <col min="13314" max="13314" width="29.140625" style="11" customWidth="1"/>
    <col min="13315" max="13315" width="12.85546875" style="11" bestFit="1" customWidth="1"/>
    <col min="13316" max="13316" width="9.42578125" style="11" customWidth="1"/>
    <col min="13317" max="13567" width="9.140625" style="11"/>
    <col min="13568" max="13568" width="35" style="11" customWidth="1"/>
    <col min="13569" max="13569" width="16" style="11" customWidth="1"/>
    <col min="13570" max="13570" width="29.140625" style="11" customWidth="1"/>
    <col min="13571" max="13571" width="12.85546875" style="11" bestFit="1" customWidth="1"/>
    <col min="13572" max="13572" width="9.42578125" style="11" customWidth="1"/>
    <col min="13573" max="13823" width="9.140625" style="11"/>
    <col min="13824" max="13824" width="35" style="11" customWidth="1"/>
    <col min="13825" max="13825" width="16" style="11" customWidth="1"/>
    <col min="13826" max="13826" width="29.140625" style="11" customWidth="1"/>
    <col min="13827" max="13827" width="12.85546875" style="11" bestFit="1" customWidth="1"/>
    <col min="13828" max="13828" width="9.42578125" style="11" customWidth="1"/>
    <col min="13829" max="14079" width="9.140625" style="11"/>
    <col min="14080" max="14080" width="35" style="11" customWidth="1"/>
    <col min="14081" max="14081" width="16" style="11" customWidth="1"/>
    <col min="14082" max="14082" width="29.140625" style="11" customWidth="1"/>
    <col min="14083" max="14083" width="12.85546875" style="11" bestFit="1" customWidth="1"/>
    <col min="14084" max="14084" width="9.42578125" style="11" customWidth="1"/>
    <col min="14085" max="14335" width="9.140625" style="11"/>
    <col min="14336" max="14336" width="35" style="11" customWidth="1"/>
    <col min="14337" max="14337" width="16" style="11" customWidth="1"/>
    <col min="14338" max="14338" width="29.140625" style="11" customWidth="1"/>
    <col min="14339" max="14339" width="12.85546875" style="11" bestFit="1" customWidth="1"/>
    <col min="14340" max="14340" width="9.42578125" style="11" customWidth="1"/>
    <col min="14341" max="14591" width="9.140625" style="11"/>
    <col min="14592" max="14592" width="35" style="11" customWidth="1"/>
    <col min="14593" max="14593" width="16" style="11" customWidth="1"/>
    <col min="14594" max="14594" width="29.140625" style="11" customWidth="1"/>
    <col min="14595" max="14595" width="12.85546875" style="11" bestFit="1" customWidth="1"/>
    <col min="14596" max="14596" width="9.42578125" style="11" customWidth="1"/>
    <col min="14597" max="14847" width="9.140625" style="11"/>
    <col min="14848" max="14848" width="35" style="11" customWidth="1"/>
    <col min="14849" max="14849" width="16" style="11" customWidth="1"/>
    <col min="14850" max="14850" width="29.140625" style="11" customWidth="1"/>
    <col min="14851" max="14851" width="12.85546875" style="11" bestFit="1" customWidth="1"/>
    <col min="14852" max="14852" width="9.42578125" style="11" customWidth="1"/>
    <col min="14853" max="15103" width="9.140625" style="11"/>
    <col min="15104" max="15104" width="35" style="11" customWidth="1"/>
    <col min="15105" max="15105" width="16" style="11" customWidth="1"/>
    <col min="15106" max="15106" width="29.140625" style="11" customWidth="1"/>
    <col min="15107" max="15107" width="12.85546875" style="11" bestFit="1" customWidth="1"/>
    <col min="15108" max="15108" width="9.42578125" style="11" customWidth="1"/>
    <col min="15109" max="15359" width="9.140625" style="11"/>
    <col min="15360" max="15360" width="35" style="11" customWidth="1"/>
    <col min="15361" max="15361" width="16" style="11" customWidth="1"/>
    <col min="15362" max="15362" width="29.140625" style="11" customWidth="1"/>
    <col min="15363" max="15363" width="12.85546875" style="11" bestFit="1" customWidth="1"/>
    <col min="15364" max="15364" width="9.42578125" style="11" customWidth="1"/>
    <col min="15365" max="15615" width="9.140625" style="11"/>
    <col min="15616" max="15616" width="35" style="11" customWidth="1"/>
    <col min="15617" max="15617" width="16" style="11" customWidth="1"/>
    <col min="15618" max="15618" width="29.140625" style="11" customWidth="1"/>
    <col min="15619" max="15619" width="12.85546875" style="11" bestFit="1" customWidth="1"/>
    <col min="15620" max="15620" width="9.42578125" style="11" customWidth="1"/>
    <col min="15621" max="15871" width="9.140625" style="11"/>
    <col min="15872" max="15872" width="35" style="11" customWidth="1"/>
    <col min="15873" max="15873" width="16" style="11" customWidth="1"/>
    <col min="15874" max="15874" width="29.140625" style="11" customWidth="1"/>
    <col min="15875" max="15875" width="12.85546875" style="11" bestFit="1" customWidth="1"/>
    <col min="15876" max="15876" width="9.42578125" style="11" customWidth="1"/>
    <col min="15877" max="16127" width="9.140625" style="11"/>
    <col min="16128" max="16128" width="35" style="11" customWidth="1"/>
    <col min="16129" max="16129" width="16" style="11" customWidth="1"/>
    <col min="16130" max="16130" width="29.140625" style="11" customWidth="1"/>
    <col min="16131" max="16131" width="12.85546875" style="11" bestFit="1" customWidth="1"/>
    <col min="16132" max="16132" width="9.42578125" style="11" customWidth="1"/>
    <col min="16133" max="16384" width="9.140625" style="11"/>
  </cols>
  <sheetData>
    <row r="1" spans="1:26" ht="12.75" customHeight="1">
      <c r="A1" s="250" t="s">
        <v>675</v>
      </c>
      <c r="B1" s="461" t="s">
        <v>769</v>
      </c>
      <c r="C1" s="462"/>
      <c r="D1" s="462"/>
      <c r="E1" s="462"/>
      <c r="F1" s="462"/>
      <c r="G1" s="462"/>
      <c r="H1" s="462"/>
      <c r="I1" s="462"/>
      <c r="J1" s="462"/>
      <c r="K1" s="462"/>
      <c r="L1" s="462"/>
      <c r="M1" s="462"/>
      <c r="N1" s="462"/>
      <c r="O1" s="462"/>
      <c r="P1" s="462"/>
      <c r="Q1" s="462"/>
      <c r="R1" s="462"/>
      <c r="S1" s="463"/>
      <c r="T1" s="243"/>
      <c r="U1" s="243"/>
      <c r="V1" s="243"/>
      <c r="W1" s="243"/>
    </row>
    <row r="2" spans="1:26" ht="12.75" customHeight="1">
      <c r="A2" s="251"/>
      <c r="B2" s="464"/>
      <c r="C2" s="465"/>
      <c r="D2" s="465"/>
      <c r="E2" s="465"/>
      <c r="F2" s="465"/>
      <c r="G2" s="465"/>
      <c r="H2" s="465"/>
      <c r="I2" s="465"/>
      <c r="J2" s="465"/>
      <c r="K2" s="465"/>
      <c r="L2" s="465"/>
      <c r="M2" s="465"/>
      <c r="N2" s="465"/>
      <c r="O2" s="465"/>
      <c r="P2" s="465"/>
      <c r="Q2" s="465"/>
      <c r="R2" s="465"/>
      <c r="S2" s="466"/>
      <c r="T2" s="244"/>
      <c r="U2" s="244"/>
      <c r="V2" s="244"/>
      <c r="W2" s="244"/>
    </row>
    <row r="3" spans="1:26">
      <c r="A3" s="251"/>
      <c r="B3" s="464"/>
      <c r="C3" s="465"/>
      <c r="D3" s="465"/>
      <c r="E3" s="465"/>
      <c r="F3" s="465"/>
      <c r="G3" s="465"/>
      <c r="H3" s="465"/>
      <c r="I3" s="465"/>
      <c r="J3" s="465"/>
      <c r="K3" s="465"/>
      <c r="L3" s="465"/>
      <c r="M3" s="465"/>
      <c r="N3" s="465"/>
      <c r="O3" s="465"/>
      <c r="P3" s="465"/>
      <c r="Q3" s="465"/>
      <c r="R3" s="465"/>
      <c r="S3" s="466"/>
      <c r="T3" s="244"/>
      <c r="U3" s="244"/>
      <c r="V3" s="244"/>
      <c r="W3" s="244"/>
    </row>
    <row r="4" spans="1:26">
      <c r="A4" s="251"/>
      <c r="B4" s="464"/>
      <c r="C4" s="465"/>
      <c r="D4" s="465"/>
      <c r="E4" s="465"/>
      <c r="F4" s="465"/>
      <c r="G4" s="465"/>
      <c r="H4" s="465"/>
      <c r="I4" s="465"/>
      <c r="J4" s="465"/>
      <c r="K4" s="465"/>
      <c r="L4" s="465"/>
      <c r="M4" s="465"/>
      <c r="N4" s="465"/>
      <c r="O4" s="465"/>
      <c r="P4" s="465"/>
      <c r="Q4" s="465"/>
      <c r="R4" s="465"/>
      <c r="S4" s="466"/>
      <c r="T4" s="244"/>
      <c r="U4" s="244"/>
      <c r="V4" s="244"/>
      <c r="W4" s="244"/>
    </row>
    <row r="5" spans="1:26">
      <c r="A5" s="252" t="s">
        <v>676</v>
      </c>
      <c r="B5" s="464"/>
      <c r="C5" s="465"/>
      <c r="D5" s="467"/>
      <c r="E5" s="467"/>
      <c r="F5" s="467"/>
      <c r="G5" s="467"/>
      <c r="H5" s="467"/>
      <c r="I5" s="467"/>
      <c r="J5" s="467"/>
      <c r="K5" s="467"/>
      <c r="L5" s="467"/>
      <c r="M5" s="467"/>
      <c r="N5" s="467"/>
      <c r="O5" s="467"/>
      <c r="P5" s="467"/>
      <c r="Q5" s="467"/>
      <c r="R5" s="467"/>
      <c r="S5" s="468"/>
      <c r="T5" s="244"/>
      <c r="U5" s="244"/>
      <c r="V5" s="244"/>
      <c r="W5" s="244"/>
    </row>
    <row r="6" spans="1:26">
      <c r="A6" s="252" t="str">
        <f>D9</f>
        <v>Base</v>
      </c>
      <c r="B6" s="254"/>
      <c r="C6" s="254"/>
      <c r="D6" s="255"/>
      <c r="E6" s="256"/>
      <c r="F6" s="256"/>
      <c r="G6" s="256"/>
      <c r="H6" s="256"/>
      <c r="I6" s="256"/>
      <c r="J6" s="256"/>
      <c r="K6" s="256"/>
      <c r="L6" s="256"/>
      <c r="M6" s="256"/>
      <c r="N6" s="256"/>
      <c r="O6" s="256"/>
      <c r="P6" s="256"/>
      <c r="Q6" s="256"/>
      <c r="R6" s="256"/>
      <c r="S6" s="257"/>
      <c r="T6" s="244"/>
      <c r="U6" s="244"/>
      <c r="V6" s="244"/>
      <c r="W6" s="244"/>
    </row>
    <row r="7" spans="1:26">
      <c r="A7" s="512"/>
      <c r="B7" s="258" t="s">
        <v>730</v>
      </c>
      <c r="C7" s="259" t="s">
        <v>75</v>
      </c>
      <c r="D7" s="515" t="s">
        <v>1068</v>
      </c>
    </row>
    <row r="8" spans="1:26">
      <c r="A8" s="513" t="s">
        <v>1067</v>
      </c>
      <c r="B8" s="258" t="s">
        <v>677</v>
      </c>
      <c r="C8" s="259" t="str">
        <f>CONCATENATE([1]MLIST!$B$68,"-",C7)</f>
        <v>Street and Roadway Lighting-NR</v>
      </c>
      <c r="D8" s="516" t="str">
        <f>[3]!switch_ForecastState</f>
        <v>Region</v>
      </c>
      <c r="E8" s="260"/>
    </row>
    <row r="9" spans="1:26">
      <c r="A9" s="513" t="str">
        <f>INDEX([1]ACHIEV!$A$19:$B$120,MATCH(C8,[1]ACHIEV!$B$19:$B$120,0),1)</f>
        <v>Lighting</v>
      </c>
      <c r="B9" s="261" t="s">
        <v>678</v>
      </c>
      <c r="C9" s="259">
        <f>[1]FILES!$H$4</f>
        <v>2035</v>
      </c>
      <c r="D9" s="516" t="str">
        <f>[3]!switch_ForecastScenario</f>
        <v>Base</v>
      </c>
      <c r="E9" s="262"/>
    </row>
    <row r="10" spans="1:26">
      <c r="A10" s="514"/>
      <c r="B10" s="518" t="s">
        <v>1012</v>
      </c>
      <c r="C10" s="517">
        <f ca="1">MIN(SUM(E73:X77),SUM(Y73:Y77))</f>
        <v>54.214701088024171</v>
      </c>
      <c r="E10" s="11">
        <v>1</v>
      </c>
      <c r="F10" s="11">
        <f>E10+1</f>
        <v>2</v>
      </c>
      <c r="G10" s="11">
        <f t="shared" ref="G10:V14" si="0">F10+1</f>
        <v>3</v>
      </c>
      <c r="H10" s="11">
        <f t="shared" si="0"/>
        <v>4</v>
      </c>
      <c r="I10" s="11">
        <f t="shared" si="0"/>
        <v>5</v>
      </c>
      <c r="J10" s="11">
        <f t="shared" si="0"/>
        <v>6</v>
      </c>
      <c r="K10" s="11">
        <f t="shared" si="0"/>
        <v>7</v>
      </c>
      <c r="L10" s="11">
        <f t="shared" si="0"/>
        <v>8</v>
      </c>
      <c r="M10" s="11">
        <f t="shared" si="0"/>
        <v>9</v>
      </c>
      <c r="N10" s="11">
        <f t="shared" si="0"/>
        <v>10</v>
      </c>
      <c r="O10" s="11">
        <f t="shared" si="0"/>
        <v>11</v>
      </c>
      <c r="P10" s="11">
        <f t="shared" si="0"/>
        <v>12</v>
      </c>
      <c r="Q10" s="11">
        <f t="shared" si="0"/>
        <v>13</v>
      </c>
      <c r="R10" s="11">
        <f t="shared" si="0"/>
        <v>14</v>
      </c>
      <c r="S10" s="11">
        <f t="shared" si="0"/>
        <v>15</v>
      </c>
      <c r="T10" s="11">
        <f t="shared" si="0"/>
        <v>16</v>
      </c>
      <c r="U10" s="11">
        <f t="shared" si="0"/>
        <v>17</v>
      </c>
      <c r="V10" s="11">
        <f t="shared" si="0"/>
        <v>18</v>
      </c>
      <c r="W10" s="11">
        <f t="shared" ref="W10:X14" si="1">V10+1</f>
        <v>19</v>
      </c>
      <c r="X10" s="11">
        <f t="shared" si="1"/>
        <v>20</v>
      </c>
    </row>
    <row r="11" spans="1:26" customFormat="1"/>
    <row r="12" spans="1:26" customFormat="1">
      <c r="D12" s="11"/>
    </row>
    <row r="13" spans="1:26" customFormat="1"/>
    <row r="14" spans="1:26" ht="15">
      <c r="A14" s="420" t="s">
        <v>975</v>
      </c>
      <c r="B14" s="258"/>
      <c r="C14" s="258" t="str">
        <f>C8</f>
        <v>Street and Roadway Lighting-NR</v>
      </c>
      <c r="D14" s="258"/>
      <c r="E14" s="258">
        <f>C9-20+1</f>
        <v>2016</v>
      </c>
      <c r="F14" s="258">
        <f>E14+1</f>
        <v>2017</v>
      </c>
      <c r="G14" s="258">
        <f t="shared" si="0"/>
        <v>2018</v>
      </c>
      <c r="H14" s="258">
        <f t="shared" si="0"/>
        <v>2019</v>
      </c>
      <c r="I14" s="258">
        <f t="shared" si="0"/>
        <v>2020</v>
      </c>
      <c r="J14" s="258">
        <f t="shared" si="0"/>
        <v>2021</v>
      </c>
      <c r="K14" s="258">
        <f t="shared" si="0"/>
        <v>2022</v>
      </c>
      <c r="L14" s="258">
        <f t="shared" si="0"/>
        <v>2023</v>
      </c>
      <c r="M14" s="258">
        <f t="shared" si="0"/>
        <v>2024</v>
      </c>
      <c r="N14" s="258">
        <f t="shared" si="0"/>
        <v>2025</v>
      </c>
      <c r="O14" s="258">
        <f t="shared" si="0"/>
        <v>2026</v>
      </c>
      <c r="P14" s="258">
        <f t="shared" si="0"/>
        <v>2027</v>
      </c>
      <c r="Q14" s="258">
        <f t="shared" si="0"/>
        <v>2028</v>
      </c>
      <c r="R14" s="258">
        <f t="shared" si="0"/>
        <v>2029</v>
      </c>
      <c r="S14" s="258">
        <f t="shared" si="0"/>
        <v>2030</v>
      </c>
      <c r="T14" s="258">
        <f t="shared" si="0"/>
        <v>2031</v>
      </c>
      <c r="U14" s="258">
        <f t="shared" si="0"/>
        <v>2032</v>
      </c>
      <c r="V14" s="258">
        <f t="shared" si="0"/>
        <v>2033</v>
      </c>
      <c r="W14" s="258">
        <f t="shared" si="1"/>
        <v>2034</v>
      </c>
      <c r="X14" s="258">
        <f t="shared" si="1"/>
        <v>2035</v>
      </c>
      <c r="Z14" s="409" t="s">
        <v>991</v>
      </c>
    </row>
    <row r="15" spans="1:26">
      <c r="A15" s="258"/>
      <c r="B15" s="258"/>
      <c r="C15" s="270" t="s">
        <v>679</v>
      </c>
      <c r="D15" s="258"/>
      <c r="E15" s="258" t="str">
        <f>CONCATENATE("POP_",E14)</f>
        <v>POP_2016</v>
      </c>
      <c r="F15" s="258" t="str">
        <f t="shared" ref="F15:X15" si="2">CONCATENATE("POP_",F14)</f>
        <v>POP_2017</v>
      </c>
      <c r="G15" s="258" t="str">
        <f t="shared" si="2"/>
        <v>POP_2018</v>
      </c>
      <c r="H15" s="258" t="str">
        <f t="shared" si="2"/>
        <v>POP_2019</v>
      </c>
      <c r="I15" s="258" t="str">
        <f t="shared" si="2"/>
        <v>POP_2020</v>
      </c>
      <c r="J15" s="258" t="str">
        <f t="shared" si="2"/>
        <v>POP_2021</v>
      </c>
      <c r="K15" s="258" t="str">
        <f t="shared" si="2"/>
        <v>POP_2022</v>
      </c>
      <c r="L15" s="258" t="str">
        <f t="shared" si="2"/>
        <v>POP_2023</v>
      </c>
      <c r="M15" s="258" t="str">
        <f t="shared" si="2"/>
        <v>POP_2024</v>
      </c>
      <c r="N15" s="258" t="str">
        <f t="shared" si="2"/>
        <v>POP_2025</v>
      </c>
      <c r="O15" s="258" t="str">
        <f t="shared" si="2"/>
        <v>POP_2026</v>
      </c>
      <c r="P15" s="258" t="str">
        <f t="shared" si="2"/>
        <v>POP_2027</v>
      </c>
      <c r="Q15" s="258" t="str">
        <f t="shared" si="2"/>
        <v>POP_2028</v>
      </c>
      <c r="R15" s="258" t="str">
        <f t="shared" si="2"/>
        <v>POP_2029</v>
      </c>
      <c r="S15" s="258" t="str">
        <f t="shared" si="2"/>
        <v>POP_2030</v>
      </c>
      <c r="T15" s="258" t="str">
        <f t="shared" si="2"/>
        <v>POP_2031</v>
      </c>
      <c r="U15" s="258" t="str">
        <f t="shared" si="2"/>
        <v>POP_2032</v>
      </c>
      <c r="V15" s="258" t="str">
        <f t="shared" si="2"/>
        <v>POP_2033</v>
      </c>
      <c r="W15" s="258" t="str">
        <f t="shared" si="2"/>
        <v>POP_2034</v>
      </c>
      <c r="X15" s="258" t="str">
        <f t="shared" si="2"/>
        <v>POP_2035</v>
      </c>
      <c r="Z15" s="409" t="s">
        <v>991</v>
      </c>
    </row>
    <row r="16" spans="1:26">
      <c r="C16" s="11" t="s">
        <v>974</v>
      </c>
      <c r="D16" s="11" t="s">
        <v>978</v>
      </c>
      <c r="E16" s="265">
        <f>SatPen!$B$45</f>
        <v>780000</v>
      </c>
      <c r="F16" s="265">
        <f>E16</f>
        <v>780000</v>
      </c>
      <c r="G16" s="265">
        <f t="shared" ref="G16:X16" si="3">F16</f>
        <v>780000</v>
      </c>
      <c r="H16" s="265">
        <f t="shared" si="3"/>
        <v>780000</v>
      </c>
      <c r="I16" s="265">
        <f t="shared" si="3"/>
        <v>780000</v>
      </c>
      <c r="J16" s="265">
        <f t="shared" si="3"/>
        <v>780000</v>
      </c>
      <c r="K16" s="265">
        <f t="shared" si="3"/>
        <v>780000</v>
      </c>
      <c r="L16" s="265">
        <f t="shared" si="3"/>
        <v>780000</v>
      </c>
      <c r="M16" s="265">
        <f t="shared" si="3"/>
        <v>780000</v>
      </c>
      <c r="N16" s="265">
        <f t="shared" si="3"/>
        <v>780000</v>
      </c>
      <c r="O16" s="265">
        <f t="shared" si="3"/>
        <v>780000</v>
      </c>
      <c r="P16" s="265">
        <f t="shared" si="3"/>
        <v>780000</v>
      </c>
      <c r="Q16" s="265">
        <f t="shared" si="3"/>
        <v>780000</v>
      </c>
      <c r="R16" s="265">
        <f t="shared" si="3"/>
        <v>780000</v>
      </c>
      <c r="S16" s="265">
        <f t="shared" si="3"/>
        <v>780000</v>
      </c>
      <c r="T16" s="265">
        <f t="shared" si="3"/>
        <v>780000</v>
      </c>
      <c r="U16" s="265">
        <f t="shared" si="3"/>
        <v>780000</v>
      </c>
      <c r="V16" s="265">
        <f t="shared" si="3"/>
        <v>780000</v>
      </c>
      <c r="W16" s="265">
        <f t="shared" si="3"/>
        <v>780000</v>
      </c>
      <c r="X16" s="265">
        <f t="shared" si="3"/>
        <v>780000</v>
      </c>
      <c r="Z16" s="265">
        <f>X16</f>
        <v>780000</v>
      </c>
    </row>
    <row r="17" spans="1:26">
      <c r="D17" s="166"/>
      <c r="E17" s="265"/>
      <c r="F17" s="265"/>
      <c r="G17" s="265"/>
      <c r="H17" s="265"/>
      <c r="I17" s="265"/>
      <c r="J17" s="265"/>
      <c r="K17" s="265"/>
      <c r="L17" s="265"/>
      <c r="M17" s="265"/>
      <c r="N17" s="265"/>
      <c r="O17" s="265"/>
      <c r="P17" s="265"/>
      <c r="Q17" s="265"/>
      <c r="R17" s="265"/>
      <c r="S17" s="265"/>
      <c r="T17" s="265"/>
      <c r="U17" s="265"/>
      <c r="V17" s="265"/>
      <c r="W17" s="265"/>
      <c r="X17" s="265"/>
      <c r="Z17" s="265"/>
    </row>
    <row r="18" spans="1:26" ht="15">
      <c r="A18" s="420" t="s">
        <v>976</v>
      </c>
      <c r="B18" s="420"/>
      <c r="D18" s="166"/>
      <c r="E18" s="422">
        <v>1</v>
      </c>
      <c r="F18" s="422">
        <v>2</v>
      </c>
      <c r="G18" s="422">
        <v>3</v>
      </c>
      <c r="H18" s="422">
        <v>4</v>
      </c>
      <c r="I18" s="422">
        <v>5</v>
      </c>
      <c r="J18" s="422">
        <v>6</v>
      </c>
      <c r="K18" s="422">
        <v>7</v>
      </c>
      <c r="L18" s="422">
        <v>8</v>
      </c>
      <c r="M18" s="422">
        <v>9</v>
      </c>
      <c r="N18" s="422">
        <v>10</v>
      </c>
      <c r="O18" s="422">
        <v>11</v>
      </c>
      <c r="P18" s="422">
        <v>12</v>
      </c>
      <c r="Q18" s="422">
        <v>13</v>
      </c>
      <c r="R18" s="422">
        <v>14</v>
      </c>
      <c r="S18" s="422">
        <v>15</v>
      </c>
      <c r="T18" s="422">
        <v>16</v>
      </c>
      <c r="U18" s="422">
        <v>17</v>
      </c>
      <c r="V18" s="422">
        <v>18</v>
      </c>
      <c r="W18" s="422">
        <v>19</v>
      </c>
      <c r="X18" s="422">
        <v>20</v>
      </c>
      <c r="Z18" s="409" t="s">
        <v>991</v>
      </c>
    </row>
    <row r="19" spans="1:26">
      <c r="A19" s="270" t="s">
        <v>864</v>
      </c>
      <c r="B19" s="270">
        <f ca="1">1/VLOOKUP($C$14,[1]TURN!TURN,MATCH($C$15,[1]!BLDGTYPE,0),FALSE)</f>
        <v>5</v>
      </c>
      <c r="C19" s="11" t="s">
        <v>974</v>
      </c>
      <c r="D19" s="11" t="s">
        <v>978</v>
      </c>
      <c r="E19" s="265">
        <f ca="1">IF(E$18&lt;=$B$19,0,INDEX('SC-New'!$E$137:$X$138,2,'SC-NR'!E18-ROUND($B$19,0)))</f>
        <v>0</v>
      </c>
      <c r="F19" s="265">
        <f ca="1">IF(F$18&lt;=$B$19,0,INDEX('SC-New'!$E$137:$X$138,2,'SC-NR'!F18-ROUND($B$19,0)))</f>
        <v>0</v>
      </c>
      <c r="G19" s="265">
        <f ca="1">IF(G$18&lt;=$B$19,0,INDEX('SC-New'!$E$137:$X$138,2,'SC-NR'!G18-ROUND($B$19,0)))</f>
        <v>0</v>
      </c>
      <c r="H19" s="265">
        <f ca="1">IF(H$18&lt;=$B$19,0,INDEX('SC-New'!$E$137:$X$138,2,'SC-NR'!H18-ROUND($B$19,0)))</f>
        <v>0</v>
      </c>
      <c r="I19" s="265">
        <f ca="1">IF(I$18&lt;=$B$19,0,INDEX('SC-New'!$E$137:$X$138,2,'SC-NR'!I18-ROUND($B$19,0)))</f>
        <v>0</v>
      </c>
      <c r="J19" s="265">
        <f ca="1">IF(J$18&lt;=$B$19,0,INDEX('SC-New'!$E$137:$X$138,2,'SC-NR'!J18-ROUND($B$19,0)))</f>
        <v>4188.1777493399604</v>
      </c>
      <c r="K19" s="265">
        <f ca="1">IF(K$18&lt;=$B$19,0,INDEX('SC-New'!$E$137:$X$138,2,'SC-NR'!K18-ROUND($B$19,0)))</f>
        <v>3011.6877823259674</v>
      </c>
      <c r="L19" s="265">
        <f ca="1">IF(L$18&lt;=$B$19,0,INDEX('SC-New'!$E$137:$X$138,2,'SC-NR'!L18-ROUND($B$19,0)))</f>
        <v>2206.068929280038</v>
      </c>
      <c r="M19" s="265">
        <f ca="1">IF(M$18&lt;=$B$19,0,INDEX('SC-New'!$E$137:$X$138,2,'SC-NR'!M18-ROUND($B$19,0)))</f>
        <v>1663.6973035229794</v>
      </c>
      <c r="N19" s="265">
        <f ca="1">IF(N$18&lt;=$B$19,0,INDEX('SC-New'!$E$137:$X$138,2,'SC-NR'!N18-ROUND($B$19,0)))</f>
        <v>1298.5996789591709</v>
      </c>
      <c r="O19" s="265">
        <f ca="1">IF(O$18&lt;=$B$19,0,INDEX('SC-New'!$E$137:$X$138,2,'SC-NR'!O18-ROUND($B$19,0)))</f>
        <v>1106.9782681681072</v>
      </c>
      <c r="P19" s="265">
        <f ca="1">IF(P$18&lt;=$B$19,0,INDEX('SC-New'!$E$137:$X$138,2,'SC-NR'!P18-ROUND($B$19,0)))</f>
        <v>1012.0924938018698</v>
      </c>
      <c r="Q19" s="265">
        <f ca="1">IF(Q$18&lt;=$B$19,0,INDEX('SC-New'!$E$137:$X$138,2,'SC-NR'!Q18-ROUND($B$19,0)))</f>
        <v>963.15792224461984</v>
      </c>
      <c r="R19" s="265">
        <f ca="1">IF(R$18&lt;=$B$19,0,INDEX('SC-New'!$E$137:$X$138,2,'SC-NR'!R18-ROUND($B$19,0)))</f>
        <v>934.2756452955291</v>
      </c>
      <c r="S19" s="265">
        <f ca="1">IF(S$18&lt;=$B$19,0,INDEX('SC-New'!$E$137:$X$138,2,'SC-NR'!S18-ROUND($B$19,0)))</f>
        <v>915.18528548059112</v>
      </c>
      <c r="T19" s="265">
        <f ca="1">IF(T$18&lt;=$B$19,0,INDEX('SC-New'!$E$137:$X$138,2,'SC-NR'!T18-ROUND($B$19,0)))</f>
        <v>901.44034804657713</v>
      </c>
      <c r="U19" s="265">
        <f ca="1">IF(U$18&lt;=$B$19,0,INDEX('SC-New'!$E$137:$X$138,2,'SC-NR'!U18-ROUND($B$19,0)))</f>
        <v>891.58891707586099</v>
      </c>
      <c r="V19" s="265">
        <f ca="1">IF(V$18&lt;=$B$19,0,INDEX('SC-New'!$E$137:$X$138,2,'SC-NR'!V18-ROUND($B$19,0)))</f>
        <v>883.26573350718536</v>
      </c>
      <c r="W19" s="265">
        <f ca="1">IF(W$18&lt;=$B$19,0,INDEX('SC-New'!$E$137:$X$138,2,'SC-NR'!W18-ROUND($B$19,0)))</f>
        <v>875.05522182950972</v>
      </c>
      <c r="X19" s="265">
        <f ca="1">IF(X$18&lt;=$B$19,0,INDEX('SC-New'!$E$137:$X$138,2,'SC-NR'!X18-ROUND($B$19,0)))</f>
        <v>867.31464843094727</v>
      </c>
      <c r="Z19" s="265">
        <f ca="1">SUM(E19:X19)</f>
        <v>21718.585927308908</v>
      </c>
    </row>
    <row r="20" spans="1:26" ht="13.5" thickBot="1">
      <c r="D20" s="166"/>
      <c r="E20" s="265"/>
      <c r="F20" s="265"/>
      <c r="G20" s="265"/>
      <c r="H20" s="265"/>
      <c r="I20" s="265"/>
      <c r="J20" s="265"/>
      <c r="K20" s="265"/>
      <c r="L20" s="265"/>
      <c r="M20" s="265"/>
      <c r="N20" s="265"/>
      <c r="O20" s="265"/>
      <c r="P20" s="265"/>
      <c r="Q20" s="265"/>
      <c r="R20" s="265"/>
      <c r="S20" s="265"/>
      <c r="T20" s="265"/>
      <c r="U20" s="265"/>
      <c r="V20" s="265"/>
      <c r="W20" s="265"/>
      <c r="X20" s="265"/>
      <c r="Y20" s="265"/>
    </row>
    <row r="21" spans="1:26" ht="14.25" thickTop="1" thickBot="1">
      <c r="D21" s="166"/>
      <c r="E21" s="265"/>
      <c r="F21" s="265"/>
      <c r="G21" s="265"/>
      <c r="H21" s="265"/>
      <c r="I21" s="265"/>
      <c r="J21" s="265"/>
      <c r="K21" s="265"/>
      <c r="L21" s="265"/>
      <c r="M21" s="265"/>
      <c r="N21" s="265"/>
      <c r="O21" s="265"/>
      <c r="P21" s="265"/>
      <c r="Q21" s="265"/>
      <c r="R21" s="265"/>
      <c r="S21" s="265"/>
      <c r="T21" s="265"/>
      <c r="U21" s="265"/>
      <c r="V21" s="265"/>
      <c r="W21" s="265"/>
      <c r="X21" s="265"/>
      <c r="Z21" s="428">
        <v>0.85</v>
      </c>
    </row>
    <row r="22" spans="1:26" ht="15.75" thickTop="1">
      <c r="A22" s="420" t="s">
        <v>977</v>
      </c>
      <c r="B22" s="420"/>
      <c r="D22" s="166"/>
      <c r="E22" s="258">
        <f>E14</f>
        <v>2016</v>
      </c>
      <c r="F22" s="258">
        <f t="shared" ref="F22:X22" si="4">F14</f>
        <v>2017</v>
      </c>
      <c r="G22" s="258">
        <f t="shared" si="4"/>
        <v>2018</v>
      </c>
      <c r="H22" s="258">
        <f t="shared" si="4"/>
        <v>2019</v>
      </c>
      <c r="I22" s="258">
        <f t="shared" si="4"/>
        <v>2020</v>
      </c>
      <c r="J22" s="258">
        <f t="shared" si="4"/>
        <v>2021</v>
      </c>
      <c r="K22" s="258">
        <f t="shared" si="4"/>
        <v>2022</v>
      </c>
      <c r="L22" s="258">
        <f t="shared" si="4"/>
        <v>2023</v>
      </c>
      <c r="M22" s="258">
        <f t="shared" si="4"/>
        <v>2024</v>
      </c>
      <c r="N22" s="258">
        <f t="shared" si="4"/>
        <v>2025</v>
      </c>
      <c r="O22" s="258">
        <f t="shared" si="4"/>
        <v>2026</v>
      </c>
      <c r="P22" s="258">
        <f t="shared" si="4"/>
        <v>2027</v>
      </c>
      <c r="Q22" s="258">
        <f t="shared" si="4"/>
        <v>2028</v>
      </c>
      <c r="R22" s="258">
        <f t="shared" si="4"/>
        <v>2029</v>
      </c>
      <c r="S22" s="258">
        <f t="shared" si="4"/>
        <v>2030</v>
      </c>
      <c r="T22" s="258">
        <f t="shared" si="4"/>
        <v>2031</v>
      </c>
      <c r="U22" s="258">
        <f t="shared" si="4"/>
        <v>2032</v>
      </c>
      <c r="V22" s="258">
        <f t="shared" si="4"/>
        <v>2033</v>
      </c>
      <c r="W22" s="258">
        <f t="shared" si="4"/>
        <v>2034</v>
      </c>
      <c r="X22" s="258">
        <f t="shared" si="4"/>
        <v>2035</v>
      </c>
      <c r="Y22" s="409" t="s">
        <v>772</v>
      </c>
      <c r="Z22" s="409" t="s">
        <v>991</v>
      </c>
    </row>
    <row r="23" spans="1:26">
      <c r="C23" s="11" t="s">
        <v>983</v>
      </c>
      <c r="D23" s="166"/>
      <c r="E23" s="265">
        <f t="shared" ref="E23:X23" ca="1" si="5">SUM(E16,E19)</f>
        <v>780000</v>
      </c>
      <c r="F23" s="265">
        <f t="shared" ca="1" si="5"/>
        <v>780000</v>
      </c>
      <c r="G23" s="265">
        <f t="shared" ca="1" si="5"/>
        <v>780000</v>
      </c>
      <c r="H23" s="265">
        <f t="shared" ca="1" si="5"/>
        <v>780000</v>
      </c>
      <c r="I23" s="265">
        <f t="shared" ca="1" si="5"/>
        <v>780000</v>
      </c>
      <c r="J23" s="265">
        <f t="shared" ca="1" si="5"/>
        <v>784188.17774933996</v>
      </c>
      <c r="K23" s="265">
        <f t="shared" ca="1" si="5"/>
        <v>783011.68778232601</v>
      </c>
      <c r="L23" s="265">
        <f t="shared" ca="1" si="5"/>
        <v>782206.06892928004</v>
      </c>
      <c r="M23" s="265">
        <f t="shared" ca="1" si="5"/>
        <v>781663.69730352296</v>
      </c>
      <c r="N23" s="265">
        <f t="shared" ca="1" si="5"/>
        <v>781298.59967895912</v>
      </c>
      <c r="O23" s="265">
        <f t="shared" ca="1" si="5"/>
        <v>781106.97826816805</v>
      </c>
      <c r="P23" s="265">
        <f t="shared" ca="1" si="5"/>
        <v>781012.09249380184</v>
      </c>
      <c r="Q23" s="265">
        <f t="shared" ca="1" si="5"/>
        <v>780963.15792224463</v>
      </c>
      <c r="R23" s="265">
        <f t="shared" ca="1" si="5"/>
        <v>780934.27564529551</v>
      </c>
      <c r="S23" s="265">
        <f t="shared" ca="1" si="5"/>
        <v>780915.18528548058</v>
      </c>
      <c r="T23" s="265">
        <f t="shared" ca="1" si="5"/>
        <v>780901.4403480466</v>
      </c>
      <c r="U23" s="265">
        <f t="shared" ca="1" si="5"/>
        <v>780891.58891707589</v>
      </c>
      <c r="V23" s="265">
        <f t="shared" ca="1" si="5"/>
        <v>780883.26573350723</v>
      </c>
      <c r="W23" s="265">
        <f t="shared" ca="1" si="5"/>
        <v>780875.05522182956</v>
      </c>
      <c r="X23" s="265">
        <f t="shared" ca="1" si="5"/>
        <v>780867.31464843091</v>
      </c>
      <c r="Z23" s="265"/>
    </row>
    <row r="24" spans="1:26">
      <c r="C24" s="11" t="s">
        <v>984</v>
      </c>
      <c r="D24" s="166"/>
      <c r="E24" s="265">
        <f ca="1">E23</f>
        <v>780000</v>
      </c>
      <c r="F24" s="265">
        <f ca="1">E24+F19</f>
        <v>780000</v>
      </c>
      <c r="G24" s="265">
        <f t="shared" ref="G24:X24" ca="1" si="6">F24+G19</f>
        <v>780000</v>
      </c>
      <c r="H24" s="265">
        <f t="shared" ca="1" si="6"/>
        <v>780000</v>
      </c>
      <c r="I24" s="265">
        <f t="shared" ca="1" si="6"/>
        <v>780000</v>
      </c>
      <c r="J24" s="265">
        <f t="shared" ca="1" si="6"/>
        <v>784188.17774933996</v>
      </c>
      <c r="K24" s="265">
        <f t="shared" ca="1" si="6"/>
        <v>787199.86553166597</v>
      </c>
      <c r="L24" s="265">
        <f t="shared" ca="1" si="6"/>
        <v>789405.93446094601</v>
      </c>
      <c r="M24" s="265">
        <f t="shared" ca="1" si="6"/>
        <v>791069.63176446897</v>
      </c>
      <c r="N24" s="265">
        <f t="shared" ca="1" si="6"/>
        <v>792368.23144342809</v>
      </c>
      <c r="O24" s="265">
        <f t="shared" ca="1" si="6"/>
        <v>793475.20971159614</v>
      </c>
      <c r="P24" s="265">
        <f t="shared" ca="1" si="6"/>
        <v>794487.30220539798</v>
      </c>
      <c r="Q24" s="265">
        <f t="shared" ca="1" si="6"/>
        <v>795450.46012764261</v>
      </c>
      <c r="R24" s="265">
        <f t="shared" ca="1" si="6"/>
        <v>796384.73577293812</v>
      </c>
      <c r="S24" s="265">
        <f t="shared" ca="1" si="6"/>
        <v>797299.92105841869</v>
      </c>
      <c r="T24" s="265">
        <f t="shared" ca="1" si="6"/>
        <v>798201.36140646529</v>
      </c>
      <c r="U24" s="265">
        <f t="shared" ca="1" si="6"/>
        <v>799092.95032354118</v>
      </c>
      <c r="V24" s="265">
        <f t="shared" ca="1" si="6"/>
        <v>799976.21605704841</v>
      </c>
      <c r="W24" s="265">
        <f t="shared" ca="1" si="6"/>
        <v>800851.27127887798</v>
      </c>
      <c r="X24" s="265">
        <f t="shared" ca="1" si="6"/>
        <v>801718.58592730889</v>
      </c>
      <c r="Y24" s="411">
        <f ca="1">$Z$21*Z24</f>
        <v>681460.79803821258</v>
      </c>
      <c r="Z24" s="429">
        <f ca="1">SUM(Z16,Z19)</f>
        <v>801718.58592730889</v>
      </c>
    </row>
    <row r="25" spans="1:26">
      <c r="D25" s="166"/>
      <c r="E25" s="265"/>
      <c r="F25" s="265"/>
      <c r="G25" s="265"/>
      <c r="H25" s="265"/>
      <c r="I25" s="265"/>
      <c r="J25" s="265"/>
      <c r="K25" s="265"/>
      <c r="L25" s="265"/>
      <c r="M25" s="265"/>
      <c r="N25" s="265"/>
      <c r="O25" s="265"/>
      <c r="P25" s="265"/>
      <c r="Q25" s="265"/>
      <c r="R25" s="265"/>
      <c r="S25" s="265"/>
      <c r="T25" s="265"/>
      <c r="U25" s="265"/>
      <c r="V25" s="265"/>
      <c r="W25" s="265"/>
      <c r="X25" s="265"/>
    </row>
    <row r="26" spans="1:26">
      <c r="D26" s="166"/>
      <c r="E26" s="265"/>
      <c r="F26" s="265"/>
      <c r="G26" s="265"/>
      <c r="H26" s="265"/>
      <c r="I26" s="265"/>
      <c r="J26" s="265"/>
      <c r="K26" s="265"/>
      <c r="L26" s="265"/>
      <c r="M26" s="265"/>
      <c r="N26" s="265"/>
      <c r="O26" s="265"/>
      <c r="P26" s="265"/>
      <c r="Q26" s="265"/>
      <c r="R26" s="265"/>
      <c r="S26" s="265"/>
      <c r="T26" s="265"/>
      <c r="U26" s="265"/>
      <c r="V26" s="265"/>
      <c r="W26" s="265"/>
      <c r="X26" s="265"/>
      <c r="Y26" s="265"/>
    </row>
    <row r="27" spans="1:26">
      <c r="E27" s="265"/>
      <c r="F27" s="265"/>
      <c r="G27" s="265"/>
      <c r="H27" s="265"/>
      <c r="I27" s="265"/>
      <c r="J27" s="265"/>
      <c r="K27" s="265"/>
      <c r="L27" s="265"/>
      <c r="M27" s="265"/>
      <c r="N27" s="265"/>
      <c r="O27" s="265"/>
      <c r="P27" s="265"/>
      <c r="Q27" s="265"/>
      <c r="R27" s="265"/>
      <c r="S27" s="265"/>
      <c r="T27" s="265"/>
      <c r="U27" s="265"/>
      <c r="V27" s="265"/>
      <c r="W27" s="265"/>
      <c r="X27" s="265"/>
    </row>
    <row r="28" spans="1:26">
      <c r="E28" s="265"/>
      <c r="F28" s="265"/>
      <c r="G28" s="265"/>
      <c r="H28" s="265"/>
      <c r="I28" s="265"/>
      <c r="J28" s="265"/>
      <c r="K28" s="265"/>
      <c r="L28" s="265"/>
      <c r="M28" s="265"/>
      <c r="N28" s="265"/>
      <c r="O28" s="265"/>
      <c r="P28" s="265"/>
      <c r="Q28" s="265"/>
      <c r="R28" s="265"/>
      <c r="S28" s="265"/>
      <c r="T28" s="265"/>
      <c r="U28" s="265"/>
      <c r="V28" s="265"/>
      <c r="W28" s="265"/>
      <c r="X28" s="265"/>
      <c r="Y28" s="265"/>
    </row>
    <row r="29" spans="1:26" ht="15">
      <c r="A29" s="423" t="s">
        <v>979</v>
      </c>
      <c r="B29" s="423"/>
      <c r="D29" s="11" t="s">
        <v>989</v>
      </c>
      <c r="E29" s="265"/>
      <c r="F29" s="265"/>
      <c r="G29" s="265"/>
      <c r="H29" s="265"/>
      <c r="I29" s="265"/>
      <c r="J29" s="265"/>
      <c r="K29" s="265"/>
      <c r="L29" s="265"/>
      <c r="M29" s="265"/>
      <c r="N29" s="265"/>
      <c r="O29" s="265"/>
      <c r="P29" s="265"/>
      <c r="Q29" s="265"/>
      <c r="R29" s="265"/>
      <c r="S29" s="265"/>
      <c r="T29" s="265"/>
      <c r="U29" s="265"/>
      <c r="V29" s="265"/>
      <c r="W29" s="265"/>
      <c r="X29" s="265"/>
    </row>
    <row r="30" spans="1:26" ht="15">
      <c r="A30" s="405" t="s">
        <v>980</v>
      </c>
      <c r="B30" s="405" t="s">
        <v>981</v>
      </c>
      <c r="C30" s="405" t="s">
        <v>680</v>
      </c>
      <c r="D30" s="405" t="str">
        <f>$C$14</f>
        <v>Street and Roadway Lighting-NR</v>
      </c>
      <c r="E30" s="424">
        <f>E14</f>
        <v>2016</v>
      </c>
      <c r="F30" s="424">
        <f t="shared" ref="F30:X30" si="7">F14</f>
        <v>2017</v>
      </c>
      <c r="G30" s="424">
        <f t="shared" si="7"/>
        <v>2018</v>
      </c>
      <c r="H30" s="424">
        <f t="shared" si="7"/>
        <v>2019</v>
      </c>
      <c r="I30" s="424">
        <f t="shared" si="7"/>
        <v>2020</v>
      </c>
      <c r="J30" s="424">
        <f t="shared" si="7"/>
        <v>2021</v>
      </c>
      <c r="K30" s="424">
        <f t="shared" si="7"/>
        <v>2022</v>
      </c>
      <c r="L30" s="424">
        <f t="shared" si="7"/>
        <v>2023</v>
      </c>
      <c r="M30" s="424">
        <f t="shared" si="7"/>
        <v>2024</v>
      </c>
      <c r="N30" s="424">
        <f t="shared" si="7"/>
        <v>2025</v>
      </c>
      <c r="O30" s="424">
        <f t="shared" si="7"/>
        <v>2026</v>
      </c>
      <c r="P30" s="424">
        <f t="shared" si="7"/>
        <v>2027</v>
      </c>
      <c r="Q30" s="424">
        <f t="shared" si="7"/>
        <v>2028</v>
      </c>
      <c r="R30" s="424">
        <f t="shared" si="7"/>
        <v>2029</v>
      </c>
      <c r="S30" s="424">
        <f t="shared" si="7"/>
        <v>2030</v>
      </c>
      <c r="T30" s="424">
        <f t="shared" si="7"/>
        <v>2031</v>
      </c>
      <c r="U30" s="424">
        <f t="shared" si="7"/>
        <v>2032</v>
      </c>
      <c r="V30" s="424">
        <f t="shared" si="7"/>
        <v>2033</v>
      </c>
      <c r="W30" s="424">
        <f t="shared" si="7"/>
        <v>2034</v>
      </c>
      <c r="X30" s="424">
        <f t="shared" si="7"/>
        <v>2035</v>
      </c>
      <c r="Y30" s="409" t="s">
        <v>772</v>
      </c>
      <c r="Z30" s="409" t="s">
        <v>991</v>
      </c>
    </row>
    <row r="31" spans="1:26">
      <c r="A31" s="425">
        <f>1-VLOOKUP("Street",'[5]DOE2014 Sales Pen'!$AA$3:$AH$38,7,FALSE)</f>
        <v>0.6</v>
      </c>
      <c r="B31" s="426">
        <f>VLOOKUP(D31,WattClass,2,FALSE)</f>
        <v>0.54</v>
      </c>
      <c r="C31" s="426">
        <f>1/VLOOKUP('SC-NR'!D31,MMap!$A$12:$AU$36,15,FALSE)</f>
        <v>0.2</v>
      </c>
      <c r="D31" s="34" t="s">
        <v>668</v>
      </c>
      <c r="E31" s="245">
        <f>E$16*$C31*$B31*$A31</f>
        <v>50544</v>
      </c>
      <c r="F31" s="245">
        <f t="shared" ref="F31:X35" si="8">F$16*$C31*$B31*$A31</f>
        <v>50544</v>
      </c>
      <c r="G31" s="245">
        <f t="shared" si="8"/>
        <v>50544</v>
      </c>
      <c r="H31" s="245">
        <f t="shared" si="8"/>
        <v>50544</v>
      </c>
      <c r="I31" s="245">
        <f t="shared" si="8"/>
        <v>50544</v>
      </c>
      <c r="J31" s="245">
        <f t="shared" si="8"/>
        <v>50544</v>
      </c>
      <c r="K31" s="245">
        <f t="shared" si="8"/>
        <v>50544</v>
      </c>
      <c r="L31" s="245">
        <f t="shared" si="8"/>
        <v>50544</v>
      </c>
      <c r="M31" s="245">
        <f t="shared" si="8"/>
        <v>50544</v>
      </c>
      <c r="N31" s="245">
        <f t="shared" si="8"/>
        <v>50544</v>
      </c>
      <c r="O31" s="245">
        <f t="shared" si="8"/>
        <v>50544</v>
      </c>
      <c r="P31" s="245">
        <f t="shared" si="8"/>
        <v>50544</v>
      </c>
      <c r="Q31" s="245">
        <f t="shared" si="8"/>
        <v>50544</v>
      </c>
      <c r="R31" s="245">
        <f t="shared" si="8"/>
        <v>50544</v>
      </c>
      <c r="S31" s="245">
        <f t="shared" si="8"/>
        <v>50544</v>
      </c>
      <c r="T31" s="245">
        <f t="shared" si="8"/>
        <v>50544</v>
      </c>
      <c r="U31" s="245">
        <f t="shared" si="8"/>
        <v>50544</v>
      </c>
      <c r="V31" s="245">
        <f t="shared" si="8"/>
        <v>50544</v>
      </c>
      <c r="W31" s="245">
        <f t="shared" si="8"/>
        <v>50544</v>
      </c>
      <c r="X31" s="245">
        <f t="shared" si="8"/>
        <v>50544</v>
      </c>
      <c r="Y31" s="429">
        <f>Z31*$Z$21</f>
        <v>358020</v>
      </c>
      <c r="Z31" s="411">
        <f>$Z$16*B31</f>
        <v>421200</v>
      </c>
    </row>
    <row r="32" spans="1:26">
      <c r="A32" s="425">
        <f>1-VLOOKUP("Street",'[5]DOE2014 Sales Pen'!$AA$3:$AH$38,7,FALSE)</f>
        <v>0.6</v>
      </c>
      <c r="B32" s="426">
        <f>VLOOKUP(D32,WattClass,2,FALSE)</f>
        <v>0.13100000000000001</v>
      </c>
      <c r="C32" s="426">
        <f>1/VLOOKUP('SC-NR'!D32,MMap!$A$12:$AU$36,15,FALSE)</f>
        <v>0.2</v>
      </c>
      <c r="D32" s="34" t="s">
        <v>669</v>
      </c>
      <c r="E32" s="245">
        <f t="shared" ref="E32:T35" si="9">E$16*$C32*$B32*$A32</f>
        <v>12261.6</v>
      </c>
      <c r="F32" s="245">
        <f t="shared" si="9"/>
        <v>12261.6</v>
      </c>
      <c r="G32" s="245">
        <f t="shared" si="9"/>
        <v>12261.6</v>
      </c>
      <c r="H32" s="245">
        <f t="shared" si="9"/>
        <v>12261.6</v>
      </c>
      <c r="I32" s="245">
        <f t="shared" si="9"/>
        <v>12261.6</v>
      </c>
      <c r="J32" s="245">
        <f t="shared" si="9"/>
        <v>12261.6</v>
      </c>
      <c r="K32" s="245">
        <f t="shared" si="9"/>
        <v>12261.6</v>
      </c>
      <c r="L32" s="245">
        <f t="shared" si="9"/>
        <v>12261.6</v>
      </c>
      <c r="M32" s="245">
        <f t="shared" si="9"/>
        <v>12261.6</v>
      </c>
      <c r="N32" s="245">
        <f t="shared" si="9"/>
        <v>12261.6</v>
      </c>
      <c r="O32" s="245">
        <f t="shared" si="9"/>
        <v>12261.6</v>
      </c>
      <c r="P32" s="245">
        <f t="shared" si="9"/>
        <v>12261.6</v>
      </c>
      <c r="Q32" s="245">
        <f t="shared" si="9"/>
        <v>12261.6</v>
      </c>
      <c r="R32" s="245">
        <f t="shared" si="9"/>
        <v>12261.6</v>
      </c>
      <c r="S32" s="245">
        <f t="shared" si="9"/>
        <v>12261.6</v>
      </c>
      <c r="T32" s="245">
        <f t="shared" si="9"/>
        <v>12261.6</v>
      </c>
      <c r="U32" s="245">
        <f t="shared" si="8"/>
        <v>12261.6</v>
      </c>
      <c r="V32" s="245">
        <f t="shared" si="8"/>
        <v>12261.6</v>
      </c>
      <c r="W32" s="245">
        <f t="shared" si="8"/>
        <v>12261.6</v>
      </c>
      <c r="X32" s="245">
        <f t="shared" si="8"/>
        <v>12261.6</v>
      </c>
      <c r="Y32" s="429">
        <f>Z32*$Z$21</f>
        <v>86853</v>
      </c>
      <c r="Z32" s="411">
        <f>$Z$16*B32</f>
        <v>102180</v>
      </c>
    </row>
    <row r="33" spans="1:26">
      <c r="A33" s="425">
        <f>1-VLOOKUP("Street",'[5]DOE2014 Sales Pen'!$AA$3:$AH$38,7,FALSE)</f>
        <v>0.6</v>
      </c>
      <c r="B33" s="426">
        <f>VLOOKUP(D33,WattClass,2,FALSE)</f>
        <v>0.14000000000000001</v>
      </c>
      <c r="C33" s="426">
        <f>1/VLOOKUP('SC-NR'!D33,MMap!$A$12:$AU$36,15,FALSE)</f>
        <v>0.2</v>
      </c>
      <c r="D33" s="34" t="s">
        <v>670</v>
      </c>
      <c r="E33" s="245">
        <f t="shared" si="9"/>
        <v>13104.000000000002</v>
      </c>
      <c r="F33" s="245">
        <f t="shared" si="8"/>
        <v>13104.000000000002</v>
      </c>
      <c r="G33" s="245">
        <f t="shared" si="8"/>
        <v>13104.000000000002</v>
      </c>
      <c r="H33" s="245">
        <f t="shared" si="8"/>
        <v>13104.000000000002</v>
      </c>
      <c r="I33" s="245">
        <f t="shared" si="8"/>
        <v>13104.000000000002</v>
      </c>
      <c r="J33" s="245">
        <f t="shared" si="8"/>
        <v>13104.000000000002</v>
      </c>
      <c r="K33" s="245">
        <f t="shared" si="8"/>
        <v>13104.000000000002</v>
      </c>
      <c r="L33" s="245">
        <f t="shared" si="8"/>
        <v>13104.000000000002</v>
      </c>
      <c r="M33" s="245">
        <f t="shared" si="8"/>
        <v>13104.000000000002</v>
      </c>
      <c r="N33" s="245">
        <f t="shared" si="8"/>
        <v>13104.000000000002</v>
      </c>
      <c r="O33" s="245">
        <f t="shared" si="8"/>
        <v>13104.000000000002</v>
      </c>
      <c r="P33" s="245">
        <f t="shared" si="8"/>
        <v>13104.000000000002</v>
      </c>
      <c r="Q33" s="245">
        <f t="shared" si="8"/>
        <v>13104.000000000002</v>
      </c>
      <c r="R33" s="245">
        <f t="shared" si="8"/>
        <v>13104.000000000002</v>
      </c>
      <c r="S33" s="245">
        <f t="shared" si="8"/>
        <v>13104.000000000002</v>
      </c>
      <c r="T33" s="245">
        <f t="shared" si="8"/>
        <v>13104.000000000002</v>
      </c>
      <c r="U33" s="245">
        <f t="shared" si="8"/>
        <v>13104.000000000002</v>
      </c>
      <c r="V33" s="245">
        <f t="shared" si="8"/>
        <v>13104.000000000002</v>
      </c>
      <c r="W33" s="245">
        <f t="shared" si="8"/>
        <v>13104.000000000002</v>
      </c>
      <c r="X33" s="245">
        <f t="shared" si="8"/>
        <v>13104.000000000002</v>
      </c>
      <c r="Y33" s="429">
        <f>Z33*$Z$21</f>
        <v>92820.000000000015</v>
      </c>
      <c r="Z33" s="411">
        <f>$Z$16*B33</f>
        <v>109200.00000000001</v>
      </c>
    </row>
    <row r="34" spans="1:26">
      <c r="A34" s="425">
        <f>1-VLOOKUP("Street",'[5]DOE2014 Sales Pen'!$AA$3:$AH$38,7,FALSE)</f>
        <v>0.6</v>
      </c>
      <c r="B34" s="426">
        <f>VLOOKUP(D34,WattClass,2,FALSE)</f>
        <v>0.17499999999999999</v>
      </c>
      <c r="C34" s="426">
        <f>1/VLOOKUP('SC-NR'!D34,MMap!$A$12:$AU$36,15,FALSE)</f>
        <v>0.25</v>
      </c>
      <c r="D34" s="34" t="s">
        <v>671</v>
      </c>
      <c r="E34" s="245">
        <f t="shared" si="9"/>
        <v>20475</v>
      </c>
      <c r="F34" s="245">
        <f t="shared" si="8"/>
        <v>20475</v>
      </c>
      <c r="G34" s="245">
        <f t="shared" si="8"/>
        <v>20475</v>
      </c>
      <c r="H34" s="245">
        <f t="shared" si="8"/>
        <v>20475</v>
      </c>
      <c r="I34" s="245">
        <f t="shared" si="8"/>
        <v>20475</v>
      </c>
      <c r="J34" s="245">
        <f t="shared" si="8"/>
        <v>20475</v>
      </c>
      <c r="K34" s="245">
        <f t="shared" si="8"/>
        <v>20475</v>
      </c>
      <c r="L34" s="245">
        <f t="shared" si="8"/>
        <v>20475</v>
      </c>
      <c r="M34" s="245">
        <f t="shared" si="8"/>
        <v>20475</v>
      </c>
      <c r="N34" s="245">
        <f t="shared" si="8"/>
        <v>20475</v>
      </c>
      <c r="O34" s="245">
        <f t="shared" si="8"/>
        <v>20475</v>
      </c>
      <c r="P34" s="245">
        <f t="shared" si="8"/>
        <v>20475</v>
      </c>
      <c r="Q34" s="245">
        <f t="shared" si="8"/>
        <v>20475</v>
      </c>
      <c r="R34" s="245">
        <f t="shared" si="8"/>
        <v>20475</v>
      </c>
      <c r="S34" s="245">
        <f t="shared" si="8"/>
        <v>20475</v>
      </c>
      <c r="T34" s="245">
        <f t="shared" si="8"/>
        <v>20475</v>
      </c>
      <c r="U34" s="245">
        <f t="shared" si="8"/>
        <v>20475</v>
      </c>
      <c r="V34" s="245">
        <f t="shared" si="8"/>
        <v>20475</v>
      </c>
      <c r="W34" s="245">
        <f t="shared" si="8"/>
        <v>20475</v>
      </c>
      <c r="X34" s="245">
        <f t="shared" si="8"/>
        <v>20475</v>
      </c>
      <c r="Y34" s="429">
        <f>Z34*$Z$21</f>
        <v>116025</v>
      </c>
      <c r="Z34" s="411">
        <f>$Z$16*B34</f>
        <v>136500</v>
      </c>
    </row>
    <row r="35" spans="1:26">
      <c r="A35" s="425">
        <f>1-VLOOKUP("Street",'[5]DOE2014 Sales Pen'!$AA$3:$AH$38,7,FALSE)</f>
        <v>0.6</v>
      </c>
      <c r="B35" s="426">
        <f>VLOOKUP(D35,WattClass,2,FALSE)</f>
        <v>1.4E-2</v>
      </c>
      <c r="C35" s="426">
        <f>1/VLOOKUP('SC-NR'!D35,MMap!$A$12:$AU$36,15,FALSE)</f>
        <v>0.25</v>
      </c>
      <c r="D35" s="34" t="s">
        <v>672</v>
      </c>
      <c r="E35" s="245">
        <f t="shared" si="9"/>
        <v>1638</v>
      </c>
      <c r="F35" s="245">
        <f t="shared" si="8"/>
        <v>1638</v>
      </c>
      <c r="G35" s="245">
        <f t="shared" si="8"/>
        <v>1638</v>
      </c>
      <c r="H35" s="245">
        <f t="shared" si="8"/>
        <v>1638</v>
      </c>
      <c r="I35" s="245">
        <f t="shared" si="8"/>
        <v>1638</v>
      </c>
      <c r="J35" s="245">
        <f t="shared" si="8"/>
        <v>1638</v>
      </c>
      <c r="K35" s="245">
        <f t="shared" si="8"/>
        <v>1638</v>
      </c>
      <c r="L35" s="245">
        <f t="shared" si="8"/>
        <v>1638</v>
      </c>
      <c r="M35" s="245">
        <f t="shared" si="8"/>
        <v>1638</v>
      </c>
      <c r="N35" s="245">
        <f t="shared" si="8"/>
        <v>1638</v>
      </c>
      <c r="O35" s="245">
        <f t="shared" si="8"/>
        <v>1638</v>
      </c>
      <c r="P35" s="245">
        <f t="shared" si="8"/>
        <v>1638</v>
      </c>
      <c r="Q35" s="245">
        <f t="shared" si="8"/>
        <v>1638</v>
      </c>
      <c r="R35" s="245">
        <f t="shared" si="8"/>
        <v>1638</v>
      </c>
      <c r="S35" s="245">
        <f t="shared" si="8"/>
        <v>1638</v>
      </c>
      <c r="T35" s="245">
        <f t="shared" si="8"/>
        <v>1638</v>
      </c>
      <c r="U35" s="245">
        <f t="shared" si="8"/>
        <v>1638</v>
      </c>
      <c r="V35" s="245">
        <f t="shared" si="8"/>
        <v>1638</v>
      </c>
      <c r="W35" s="245">
        <f t="shared" si="8"/>
        <v>1638</v>
      </c>
      <c r="X35" s="245">
        <f t="shared" si="8"/>
        <v>1638</v>
      </c>
      <c r="Y35" s="429">
        <f>Z35*$Z$21</f>
        <v>9282</v>
      </c>
      <c r="Z35" s="411">
        <f>$Z$16*B35</f>
        <v>10920</v>
      </c>
    </row>
    <row r="36" spans="1:26">
      <c r="D36" s="166"/>
      <c r="E36" s="265"/>
      <c r="F36" s="265"/>
      <c r="G36" s="265"/>
      <c r="H36" s="265"/>
      <c r="I36" s="265"/>
      <c r="J36" s="265"/>
      <c r="K36" s="265"/>
      <c r="L36" s="265"/>
      <c r="M36" s="265"/>
      <c r="N36" s="265"/>
      <c r="O36" s="265"/>
      <c r="P36" s="265"/>
      <c r="Q36" s="265"/>
      <c r="R36" s="265"/>
      <c r="S36" s="265"/>
      <c r="T36" s="265"/>
      <c r="U36" s="265"/>
      <c r="V36" s="265"/>
      <c r="W36" s="265"/>
      <c r="X36" s="265"/>
      <c r="Y36" s="409"/>
      <c r="Z36" s="411"/>
    </row>
    <row r="37" spans="1:26">
      <c r="D37" s="166" t="s">
        <v>985</v>
      </c>
      <c r="E37" s="265">
        <f>SUM(E31:E35)</f>
        <v>98022.6</v>
      </c>
      <c r="F37" s="265">
        <f t="shared" ref="F37:X37" si="10">SUM(F31:F35)</f>
        <v>98022.6</v>
      </c>
      <c r="G37" s="265">
        <f t="shared" si="10"/>
        <v>98022.6</v>
      </c>
      <c r="H37" s="265">
        <f t="shared" si="10"/>
        <v>98022.6</v>
      </c>
      <c r="I37" s="265">
        <f t="shared" si="10"/>
        <v>98022.6</v>
      </c>
      <c r="J37" s="265">
        <f t="shared" si="10"/>
        <v>98022.6</v>
      </c>
      <c r="K37" s="265">
        <f t="shared" si="10"/>
        <v>98022.6</v>
      </c>
      <c r="L37" s="265">
        <f t="shared" si="10"/>
        <v>98022.6</v>
      </c>
      <c r="M37" s="265">
        <f t="shared" si="10"/>
        <v>98022.6</v>
      </c>
      <c r="N37" s="265">
        <f t="shared" si="10"/>
        <v>98022.6</v>
      </c>
      <c r="O37" s="265">
        <f t="shared" si="10"/>
        <v>98022.6</v>
      </c>
      <c r="P37" s="265">
        <f t="shared" si="10"/>
        <v>98022.6</v>
      </c>
      <c r="Q37" s="265">
        <f t="shared" si="10"/>
        <v>98022.6</v>
      </c>
      <c r="R37" s="265">
        <f t="shared" si="10"/>
        <v>98022.6</v>
      </c>
      <c r="S37" s="265">
        <f t="shared" si="10"/>
        <v>98022.6</v>
      </c>
      <c r="T37" s="265">
        <f t="shared" si="10"/>
        <v>98022.6</v>
      </c>
      <c r="U37" s="265">
        <f t="shared" si="10"/>
        <v>98022.6</v>
      </c>
      <c r="V37" s="265">
        <f t="shared" si="10"/>
        <v>98022.6</v>
      </c>
      <c r="W37" s="265">
        <f t="shared" si="10"/>
        <v>98022.6</v>
      </c>
      <c r="X37" s="265">
        <f t="shared" si="10"/>
        <v>98022.6</v>
      </c>
      <c r="Y37" s="411">
        <f>SUM(Y31:Y35)</f>
        <v>663000</v>
      </c>
      <c r="Z37" s="411">
        <f>SUM(Z31:Z35)</f>
        <v>780000</v>
      </c>
    </row>
    <row r="38" spans="1:26">
      <c r="D38" s="166"/>
      <c r="E38" s="265"/>
      <c r="F38" s="265"/>
      <c r="G38" s="265"/>
      <c r="H38" s="265"/>
      <c r="I38" s="265"/>
      <c r="J38" s="265"/>
      <c r="K38" s="265"/>
      <c r="L38" s="265"/>
      <c r="M38" s="265"/>
      <c r="N38" s="265"/>
      <c r="O38" s="265"/>
      <c r="P38" s="265"/>
      <c r="Q38" s="265"/>
      <c r="R38" s="265"/>
      <c r="S38" s="265"/>
      <c r="T38" s="265"/>
      <c r="U38" s="265"/>
      <c r="V38" s="265"/>
      <c r="W38" s="265"/>
      <c r="X38" s="265"/>
      <c r="Y38" s="265"/>
    </row>
    <row r="39" spans="1:26" ht="15">
      <c r="A39" s="423" t="s">
        <v>979</v>
      </c>
      <c r="B39" s="423"/>
      <c r="D39" s="11" t="s">
        <v>990</v>
      </c>
      <c r="E39" s="243"/>
      <c r="F39" s="243"/>
      <c r="G39" s="166"/>
      <c r="H39" s="166"/>
      <c r="I39" s="166"/>
      <c r="J39" s="166"/>
      <c r="K39" s="166"/>
      <c r="L39" s="166"/>
      <c r="M39" s="166"/>
      <c r="N39" s="166"/>
      <c r="O39" s="166"/>
      <c r="P39" s="166"/>
      <c r="Q39" s="166"/>
      <c r="R39" s="166"/>
      <c r="S39" s="166"/>
      <c r="T39" s="166"/>
      <c r="U39" s="166"/>
      <c r="V39" s="166"/>
      <c r="W39" s="166"/>
      <c r="X39" s="166"/>
      <c r="Y39" s="166"/>
    </row>
    <row r="40" spans="1:26" ht="15">
      <c r="A40" s="405" t="s">
        <v>980</v>
      </c>
      <c r="B40" s="405" t="s">
        <v>981</v>
      </c>
      <c r="C40" s="405" t="s">
        <v>680</v>
      </c>
      <c r="D40" s="405" t="str">
        <f>$C$14</f>
        <v>Street and Roadway Lighting-NR</v>
      </c>
      <c r="E40" s="424">
        <f>E14</f>
        <v>2016</v>
      </c>
      <c r="F40" s="424">
        <f t="shared" ref="F40:X40" si="11">F14</f>
        <v>2017</v>
      </c>
      <c r="G40" s="424">
        <f t="shared" si="11"/>
        <v>2018</v>
      </c>
      <c r="H40" s="424">
        <f t="shared" si="11"/>
        <v>2019</v>
      </c>
      <c r="I40" s="424">
        <f t="shared" si="11"/>
        <v>2020</v>
      </c>
      <c r="J40" s="424">
        <f t="shared" si="11"/>
        <v>2021</v>
      </c>
      <c r="K40" s="424">
        <f t="shared" si="11"/>
        <v>2022</v>
      </c>
      <c r="L40" s="424">
        <f t="shared" si="11"/>
        <v>2023</v>
      </c>
      <c r="M40" s="424">
        <f t="shared" si="11"/>
        <v>2024</v>
      </c>
      <c r="N40" s="424">
        <f t="shared" si="11"/>
        <v>2025</v>
      </c>
      <c r="O40" s="424">
        <f t="shared" si="11"/>
        <v>2026</v>
      </c>
      <c r="P40" s="424">
        <f t="shared" si="11"/>
        <v>2027</v>
      </c>
      <c r="Q40" s="424">
        <f t="shared" si="11"/>
        <v>2028</v>
      </c>
      <c r="R40" s="424">
        <f t="shared" si="11"/>
        <v>2029</v>
      </c>
      <c r="S40" s="424">
        <f t="shared" si="11"/>
        <v>2030</v>
      </c>
      <c r="T40" s="424">
        <f t="shared" si="11"/>
        <v>2031</v>
      </c>
      <c r="U40" s="424">
        <f t="shared" si="11"/>
        <v>2032</v>
      </c>
      <c r="V40" s="424">
        <f t="shared" si="11"/>
        <v>2033</v>
      </c>
      <c r="W40" s="424">
        <f t="shared" si="11"/>
        <v>2034</v>
      </c>
      <c r="X40" s="424">
        <f t="shared" si="11"/>
        <v>2035</v>
      </c>
      <c r="Y40" s="409" t="s">
        <v>772</v>
      </c>
      <c r="Z40" s="409" t="s">
        <v>991</v>
      </c>
    </row>
    <row r="41" spans="1:26">
      <c r="A41" s="425">
        <f>1-VLOOKUP("Street",'[5]DOE2014 Sales Pen'!$AA$3:$AH$38,7,FALSE)</f>
        <v>0.6</v>
      </c>
      <c r="B41" s="426">
        <f>VLOOKUP(D41,WattClass,2,FALSE)</f>
        <v>0.54</v>
      </c>
      <c r="C41" s="426">
        <f>1/VLOOKUP('SC-NR'!D41,MMap!$A$12:$AU$36,15,FALSE)</f>
        <v>0.2</v>
      </c>
      <c r="D41" s="34" t="str">
        <f>D31</f>
        <v>Streetlight - HPS 100W - NR</v>
      </c>
      <c r="E41" s="245">
        <f ca="1">E$19*$C41*$B41*$A41</f>
        <v>0</v>
      </c>
      <c r="F41" s="245">
        <f t="shared" ref="F41:X45" ca="1" si="12">F$19*$C41*$B41*$A41</f>
        <v>0</v>
      </c>
      <c r="G41" s="245">
        <f t="shared" ca="1" si="12"/>
        <v>0</v>
      </c>
      <c r="H41" s="245">
        <f t="shared" ca="1" si="12"/>
        <v>0</v>
      </c>
      <c r="I41" s="245">
        <f t="shared" ca="1" si="12"/>
        <v>0</v>
      </c>
      <c r="J41" s="245">
        <f t="shared" ca="1" si="12"/>
        <v>271.39391815722945</v>
      </c>
      <c r="K41" s="245">
        <f t="shared" ca="1" si="12"/>
        <v>195.15736829472272</v>
      </c>
      <c r="L41" s="245">
        <f t="shared" ca="1" si="12"/>
        <v>142.95326661734649</v>
      </c>
      <c r="M41" s="245">
        <f t="shared" ca="1" si="12"/>
        <v>107.80758526828907</v>
      </c>
      <c r="N41" s="245">
        <f t="shared" ca="1" si="12"/>
        <v>84.149259196554269</v>
      </c>
      <c r="O41" s="245">
        <f t="shared" ca="1" si="12"/>
        <v>71.732191777293352</v>
      </c>
      <c r="P41" s="245">
        <f t="shared" ca="1" si="12"/>
        <v>65.583593598361162</v>
      </c>
      <c r="Q41" s="245">
        <f t="shared" ca="1" si="12"/>
        <v>62.41263336145137</v>
      </c>
      <c r="R41" s="245">
        <f t="shared" ca="1" si="12"/>
        <v>60.541061815150286</v>
      </c>
      <c r="S41" s="245">
        <f t="shared" ca="1" si="12"/>
        <v>59.304006499142311</v>
      </c>
      <c r="T41" s="245">
        <f t="shared" ca="1" si="12"/>
        <v>58.413334553418203</v>
      </c>
      <c r="U41" s="245">
        <f t="shared" ca="1" si="12"/>
        <v>57.774961826515792</v>
      </c>
      <c r="V41" s="245">
        <f t="shared" ca="1" si="12"/>
        <v>57.23561953126562</v>
      </c>
      <c r="W41" s="245">
        <f t="shared" ca="1" si="12"/>
        <v>56.703578374552244</v>
      </c>
      <c r="X41" s="245">
        <f t="shared" ca="1" si="12"/>
        <v>56.201989218325387</v>
      </c>
      <c r="Y41" s="411">
        <f ca="1">Z41*$Z$21</f>
        <v>9968.8309406347889</v>
      </c>
      <c r="Z41" s="411">
        <f t="shared" ref="Z41:Z47" ca="1" si="13">$Z$19*B41</f>
        <v>11728.036400746811</v>
      </c>
    </row>
    <row r="42" spans="1:26">
      <c r="A42" s="425">
        <f>1-VLOOKUP("Street",'[5]DOE2014 Sales Pen'!$AA$3:$AH$38,7,FALSE)</f>
        <v>0.6</v>
      </c>
      <c r="B42" s="426">
        <f>VLOOKUP(D42,WattClass,2,FALSE)</f>
        <v>0.13100000000000001</v>
      </c>
      <c r="C42" s="426">
        <f>1/VLOOKUP('SC-NR'!D42,MMap!$A$12:$AU$36,15,FALSE)</f>
        <v>0.2</v>
      </c>
      <c r="D42" s="34" t="str">
        <f t="shared" ref="D42:D45" si="14">D32</f>
        <v>Streetlight - MH 200W  - NR</v>
      </c>
      <c r="E42" s="245">
        <f t="shared" ref="E42:T45" ca="1" si="15">E$19*$C42*$B42*$A42</f>
        <v>0</v>
      </c>
      <c r="F42" s="245">
        <f t="shared" ca="1" si="15"/>
        <v>0</v>
      </c>
      <c r="G42" s="245">
        <f t="shared" ca="1" si="15"/>
        <v>0</v>
      </c>
      <c r="H42" s="245">
        <f t="shared" ca="1" si="15"/>
        <v>0</v>
      </c>
      <c r="I42" s="245">
        <f t="shared" ca="1" si="15"/>
        <v>0</v>
      </c>
      <c r="J42" s="245">
        <f t="shared" ca="1" si="15"/>
        <v>65.838154219624187</v>
      </c>
      <c r="K42" s="245">
        <f t="shared" ca="1" si="15"/>
        <v>47.343731938164211</v>
      </c>
      <c r="L42" s="245">
        <f t="shared" ca="1" si="15"/>
        <v>34.679403568282204</v>
      </c>
      <c r="M42" s="245">
        <f t="shared" ca="1" si="15"/>
        <v>26.153321611381237</v>
      </c>
      <c r="N42" s="245">
        <f t="shared" ca="1" si="15"/>
        <v>20.413986953238169</v>
      </c>
      <c r="O42" s="245">
        <f t="shared" ca="1" si="15"/>
        <v>17.401698375602649</v>
      </c>
      <c r="P42" s="245">
        <f t="shared" ca="1" si="15"/>
        <v>15.910094002565394</v>
      </c>
      <c r="Q42" s="245">
        <f t="shared" ca="1" si="15"/>
        <v>15.140842537685424</v>
      </c>
      <c r="R42" s="245">
        <f t="shared" ca="1" si="15"/>
        <v>14.686813144045718</v>
      </c>
      <c r="S42" s="245">
        <f t="shared" ca="1" si="15"/>
        <v>14.386712687754896</v>
      </c>
      <c r="T42" s="245">
        <f t="shared" ca="1" si="15"/>
        <v>14.170642271292193</v>
      </c>
      <c r="U42" s="245">
        <f t="shared" ca="1" si="12"/>
        <v>14.015777776432538</v>
      </c>
      <c r="V42" s="245">
        <f t="shared" ca="1" si="12"/>
        <v>13.884937330732956</v>
      </c>
      <c r="W42" s="245">
        <f t="shared" ca="1" si="12"/>
        <v>13.755868087159895</v>
      </c>
      <c r="X42" s="245">
        <f t="shared" ca="1" si="12"/>
        <v>13.634186273334491</v>
      </c>
      <c r="Y42" s="411">
        <f ca="1">Z42*$Z$21</f>
        <v>2418.3645430058468</v>
      </c>
      <c r="Z42" s="411">
        <f t="shared" ca="1" si="13"/>
        <v>2845.1347564774669</v>
      </c>
    </row>
    <row r="43" spans="1:26">
      <c r="A43" s="425">
        <f>1-VLOOKUP("Street",'[5]DOE2014 Sales Pen'!$AA$3:$AH$38,7,FALSE)</f>
        <v>0.6</v>
      </c>
      <c r="B43" s="426">
        <f>VLOOKUP(D43,WattClass,2,FALSE)</f>
        <v>0.14000000000000001</v>
      </c>
      <c r="C43" s="426">
        <f>1/VLOOKUP('SC-NR'!D43,MMap!$A$12:$AU$36,15,FALSE)</f>
        <v>0.2</v>
      </c>
      <c r="D43" s="34" t="str">
        <f t="shared" si="14"/>
        <v>Streetlight - HPS 250W - NR</v>
      </c>
      <c r="E43" s="245">
        <f t="shared" ca="1" si="15"/>
        <v>0</v>
      </c>
      <c r="F43" s="245">
        <f t="shared" ca="1" si="12"/>
        <v>0</v>
      </c>
      <c r="G43" s="245">
        <f t="shared" ca="1" si="12"/>
        <v>0</v>
      </c>
      <c r="H43" s="245">
        <f t="shared" ca="1" si="12"/>
        <v>0</v>
      </c>
      <c r="I43" s="245">
        <f t="shared" ca="1" si="12"/>
        <v>0</v>
      </c>
      <c r="J43" s="245">
        <f t="shared" ca="1" si="12"/>
        <v>70.361386188911354</v>
      </c>
      <c r="K43" s="245">
        <f t="shared" ca="1" si="12"/>
        <v>50.596354743076255</v>
      </c>
      <c r="L43" s="245">
        <f t="shared" ca="1" si="12"/>
        <v>37.061958011904643</v>
      </c>
      <c r="M43" s="245">
        <f t="shared" ca="1" si="12"/>
        <v>27.950114699186056</v>
      </c>
      <c r="N43" s="245">
        <f t="shared" ca="1" si="12"/>
        <v>21.81647460651407</v>
      </c>
      <c r="O43" s="245">
        <f t="shared" ca="1" si="12"/>
        <v>18.597234905224205</v>
      </c>
      <c r="P43" s="245">
        <f t="shared" ca="1" si="12"/>
        <v>17.003153895871414</v>
      </c>
      <c r="Q43" s="245">
        <f t="shared" ca="1" si="12"/>
        <v>16.181053093709615</v>
      </c>
      <c r="R43" s="245">
        <f t="shared" ca="1" si="12"/>
        <v>15.69583084096489</v>
      </c>
      <c r="S43" s="245">
        <f t="shared" ca="1" si="12"/>
        <v>15.375112796073934</v>
      </c>
      <c r="T43" s="245">
        <f t="shared" ca="1" si="12"/>
        <v>15.144197847182499</v>
      </c>
      <c r="U43" s="245">
        <f t="shared" ca="1" si="12"/>
        <v>14.978693806874467</v>
      </c>
      <c r="V43" s="245">
        <f t="shared" ca="1" si="12"/>
        <v>14.838864322920717</v>
      </c>
      <c r="W43" s="245">
        <f t="shared" ca="1" si="12"/>
        <v>14.700927726735765</v>
      </c>
      <c r="X43" s="245">
        <f t="shared" ca="1" si="12"/>
        <v>14.570886093639915</v>
      </c>
      <c r="Y43" s="411">
        <f ca="1">Z43*$Z$21</f>
        <v>2584.5117253497601</v>
      </c>
      <c r="Z43" s="411">
        <f t="shared" ca="1" si="13"/>
        <v>3040.6020298232474</v>
      </c>
    </row>
    <row r="44" spans="1:26">
      <c r="A44" s="425">
        <f>1-VLOOKUP("Street",'[5]DOE2014 Sales Pen'!$AA$3:$AH$38,7,FALSE)</f>
        <v>0.6</v>
      </c>
      <c r="B44" s="426">
        <f>VLOOKUP(D44,WattClass,2,FALSE)</f>
        <v>0.17499999999999999</v>
      </c>
      <c r="C44" s="426">
        <f>1/VLOOKUP('SC-NR'!D44,MMap!$A$12:$AU$36,15,FALSE)</f>
        <v>0.25</v>
      </c>
      <c r="D44" s="34" t="str">
        <f t="shared" si="14"/>
        <v>Streetlight - MH 400W  - NR</v>
      </c>
      <c r="E44" s="245">
        <f t="shared" ca="1" si="15"/>
        <v>0</v>
      </c>
      <c r="F44" s="245">
        <f t="shared" ca="1" si="12"/>
        <v>0</v>
      </c>
      <c r="G44" s="245">
        <f t="shared" ca="1" si="12"/>
        <v>0</v>
      </c>
      <c r="H44" s="245">
        <f t="shared" ca="1" si="12"/>
        <v>0</v>
      </c>
      <c r="I44" s="245">
        <f t="shared" ca="1" si="12"/>
        <v>0</v>
      </c>
      <c r="J44" s="245">
        <f t="shared" ca="1" si="12"/>
        <v>109.93966592017395</v>
      </c>
      <c r="K44" s="245">
        <f t="shared" ca="1" si="12"/>
        <v>79.056804286056632</v>
      </c>
      <c r="L44" s="245">
        <f t="shared" ca="1" si="12"/>
        <v>57.909309393600992</v>
      </c>
      <c r="M44" s="245">
        <f t="shared" ca="1" si="12"/>
        <v>43.672054217478205</v>
      </c>
      <c r="N44" s="245">
        <f t="shared" ca="1" si="12"/>
        <v>34.088241572678236</v>
      </c>
      <c r="O44" s="245">
        <f t="shared" ca="1" si="12"/>
        <v>29.058179539412809</v>
      </c>
      <c r="P44" s="245">
        <f t="shared" ca="1" si="12"/>
        <v>26.567427962299082</v>
      </c>
      <c r="Q44" s="245">
        <f t="shared" ca="1" si="12"/>
        <v>25.282895458921271</v>
      </c>
      <c r="R44" s="245">
        <f t="shared" ca="1" si="12"/>
        <v>24.524735689007638</v>
      </c>
      <c r="S44" s="245">
        <f t="shared" ca="1" si="12"/>
        <v>24.023613743865514</v>
      </c>
      <c r="T44" s="245">
        <f t="shared" ca="1" si="12"/>
        <v>23.662809136222645</v>
      </c>
      <c r="U44" s="245">
        <f t="shared" ca="1" si="12"/>
        <v>23.404209073241347</v>
      </c>
      <c r="V44" s="245">
        <f t="shared" ca="1" si="12"/>
        <v>23.18572550456361</v>
      </c>
      <c r="W44" s="245">
        <f t="shared" ca="1" si="12"/>
        <v>22.970199573024626</v>
      </c>
      <c r="X44" s="245">
        <f t="shared" ca="1" si="12"/>
        <v>22.767009521312364</v>
      </c>
      <c r="Y44" s="411">
        <f ca="1">Z44*$Z$21</f>
        <v>3230.6396566871999</v>
      </c>
      <c r="Z44" s="411">
        <f t="shared" ca="1" si="13"/>
        <v>3800.7525372790587</v>
      </c>
    </row>
    <row r="45" spans="1:26">
      <c r="A45" s="425">
        <f>1-VLOOKUP("Street",'[5]DOE2014 Sales Pen'!$AA$3:$AH$38,7,FALSE)</f>
        <v>0.6</v>
      </c>
      <c r="B45" s="426">
        <f>VLOOKUP(D45,WattClass,2,FALSE)</f>
        <v>1.4E-2</v>
      </c>
      <c r="C45" s="426">
        <f>1/VLOOKUP('SC-NR'!D45,MMap!$A$12:$AU$36,15,FALSE)</f>
        <v>0.25</v>
      </c>
      <c r="D45" s="34" t="str">
        <f t="shared" si="14"/>
        <v>Streetlight - MH 1000W - NR</v>
      </c>
      <c r="E45" s="245">
        <f t="shared" ca="1" si="15"/>
        <v>0</v>
      </c>
      <c r="F45" s="245">
        <f t="shared" ca="1" si="12"/>
        <v>0</v>
      </c>
      <c r="G45" s="245">
        <f t="shared" ca="1" si="12"/>
        <v>0</v>
      </c>
      <c r="H45" s="245">
        <f t="shared" ca="1" si="12"/>
        <v>0</v>
      </c>
      <c r="I45" s="245">
        <f t="shared" ca="1" si="12"/>
        <v>0</v>
      </c>
      <c r="J45" s="245">
        <f t="shared" ca="1" si="12"/>
        <v>8.7951732736139157</v>
      </c>
      <c r="K45" s="245">
        <f t="shared" ca="1" si="12"/>
        <v>6.3245443428845309</v>
      </c>
      <c r="L45" s="245">
        <f t="shared" ca="1" si="12"/>
        <v>4.6327447514880795</v>
      </c>
      <c r="M45" s="245">
        <f t="shared" ca="1" si="12"/>
        <v>3.4937643373982565</v>
      </c>
      <c r="N45" s="245">
        <f t="shared" ca="1" si="12"/>
        <v>2.7270593258142588</v>
      </c>
      <c r="O45" s="245">
        <f t="shared" ca="1" si="12"/>
        <v>2.3246543631530252</v>
      </c>
      <c r="P45" s="245">
        <f t="shared" ca="1" si="12"/>
        <v>2.1253942369839263</v>
      </c>
      <c r="Q45" s="245">
        <f t="shared" ca="1" si="12"/>
        <v>2.0226316367137018</v>
      </c>
      <c r="R45" s="245">
        <f t="shared" ca="1" si="12"/>
        <v>1.9619788551206112</v>
      </c>
      <c r="S45" s="245">
        <f t="shared" ca="1" si="12"/>
        <v>1.9218890995092415</v>
      </c>
      <c r="T45" s="245">
        <f t="shared" ca="1" si="12"/>
        <v>1.8930247308978119</v>
      </c>
      <c r="U45" s="245">
        <f t="shared" ca="1" si="12"/>
        <v>1.872336725859308</v>
      </c>
      <c r="V45" s="245">
        <f t="shared" ca="1" si="12"/>
        <v>1.8548580403650892</v>
      </c>
      <c r="W45" s="245">
        <f t="shared" ca="1" si="12"/>
        <v>1.8376159658419704</v>
      </c>
      <c r="X45" s="245">
        <f t="shared" ca="1" si="12"/>
        <v>1.8213607617049892</v>
      </c>
      <c r="Y45" s="411">
        <f ca="1">Z45*$Z$21</f>
        <v>258.45117253497602</v>
      </c>
      <c r="Z45" s="411">
        <f t="shared" ca="1" si="13"/>
        <v>304.06020298232471</v>
      </c>
    </row>
    <row r="46" spans="1:26">
      <c r="E46" s="266"/>
      <c r="F46" s="266"/>
      <c r="G46" s="266"/>
      <c r="H46" s="266"/>
      <c r="I46" s="266"/>
      <c r="J46" s="266"/>
      <c r="K46" s="266"/>
      <c r="L46" s="266"/>
      <c r="M46" s="266"/>
      <c r="N46" s="266"/>
      <c r="O46" s="266"/>
      <c r="P46" s="266"/>
      <c r="Q46" s="266"/>
      <c r="R46" s="266"/>
      <c r="S46" s="266"/>
      <c r="T46" s="266"/>
      <c r="U46" s="266"/>
      <c r="V46" s="266"/>
      <c r="W46" s="266"/>
      <c r="X46" s="266"/>
      <c r="Y46" s="427"/>
      <c r="Z46" s="411">
        <f t="shared" ca="1" si="13"/>
        <v>0</v>
      </c>
    </row>
    <row r="47" spans="1:26">
      <c r="D47" s="106" t="s">
        <v>985</v>
      </c>
      <c r="E47" s="245">
        <f ca="1">SUM(E41:E45)</f>
        <v>0</v>
      </c>
      <c r="F47" s="245">
        <f t="shared" ref="F47:X47" ca="1" si="16">SUM(F41:F45)</f>
        <v>0</v>
      </c>
      <c r="G47" s="245">
        <f t="shared" ca="1" si="16"/>
        <v>0</v>
      </c>
      <c r="H47" s="245">
        <f t="shared" ca="1" si="16"/>
        <v>0</v>
      </c>
      <c r="I47" s="245">
        <f t="shared" ca="1" si="16"/>
        <v>0</v>
      </c>
      <c r="J47" s="245">
        <f t="shared" ca="1" si="16"/>
        <v>526.32829775955292</v>
      </c>
      <c r="K47" s="245">
        <f t="shared" ca="1" si="16"/>
        <v>378.47880360490427</v>
      </c>
      <c r="L47" s="245">
        <f t="shared" ca="1" si="16"/>
        <v>277.23668234262237</v>
      </c>
      <c r="M47" s="245">
        <f t="shared" ca="1" si="16"/>
        <v>209.07684013373284</v>
      </c>
      <c r="N47" s="245">
        <f t="shared" ca="1" si="16"/>
        <v>163.19502165479901</v>
      </c>
      <c r="O47" s="245">
        <f t="shared" ca="1" si="16"/>
        <v>139.11395896068603</v>
      </c>
      <c r="P47" s="245">
        <f t="shared" ca="1" si="16"/>
        <v>127.18966369608097</v>
      </c>
      <c r="Q47" s="245">
        <f t="shared" ca="1" si="16"/>
        <v>121.04005608848138</v>
      </c>
      <c r="R47" s="245">
        <f t="shared" ca="1" si="16"/>
        <v>117.41042034428914</v>
      </c>
      <c r="S47" s="245">
        <f t="shared" ca="1" si="16"/>
        <v>115.0113348263459</v>
      </c>
      <c r="T47" s="245">
        <f t="shared" ca="1" si="16"/>
        <v>113.28400853901334</v>
      </c>
      <c r="U47" s="245">
        <f t="shared" ca="1" si="16"/>
        <v>112.04597920892346</v>
      </c>
      <c r="V47" s="245">
        <f t="shared" ca="1" si="16"/>
        <v>111.00000472984799</v>
      </c>
      <c r="W47" s="245">
        <f t="shared" ca="1" si="16"/>
        <v>109.96818972731451</v>
      </c>
      <c r="X47" s="245">
        <f t="shared" ca="1" si="16"/>
        <v>108.99543186831714</v>
      </c>
      <c r="Y47" s="411">
        <f ca="1">SUM(Y41:Y45)</f>
        <v>18460.798038212572</v>
      </c>
      <c r="Z47" s="411">
        <f t="shared" ca="1" si="13"/>
        <v>0</v>
      </c>
    </row>
    <row r="48" spans="1:26">
      <c r="D48" s="106"/>
      <c r="E48" s="245"/>
      <c r="F48" s="245"/>
      <c r="G48" s="245"/>
      <c r="H48" s="245"/>
      <c r="I48" s="245"/>
      <c r="J48" s="245"/>
      <c r="K48" s="245"/>
      <c r="L48" s="245"/>
      <c r="M48" s="245"/>
      <c r="N48" s="245"/>
      <c r="O48" s="245"/>
      <c r="P48" s="245"/>
      <c r="Q48" s="245"/>
      <c r="R48" s="245"/>
      <c r="S48" s="245"/>
      <c r="T48" s="245"/>
      <c r="U48" s="245"/>
      <c r="V48" s="245"/>
      <c r="W48" s="245"/>
      <c r="X48" s="245"/>
      <c r="Y48" s="265"/>
    </row>
    <row r="49" spans="1:25" ht="15">
      <c r="D49" s="405" t="s">
        <v>965</v>
      </c>
      <c r="Y49" s="265"/>
    </row>
    <row r="50" spans="1:25" ht="15">
      <c r="A50" s="420" t="s">
        <v>986</v>
      </c>
      <c r="D50" s="405" t="str">
        <f>$C$8</f>
        <v>Street and Roadway Lighting-NR</v>
      </c>
      <c r="E50" s="408">
        <f>VLOOKUP($D$50,[1]!ACHIEV,MATCH(E$14,$E$14:$Z$14,0)+2,FALSE)</f>
        <v>0.45</v>
      </c>
      <c r="F50" s="408">
        <f>VLOOKUP($D$50,[1]!ACHIEV,MATCH(F$14,$E$14:$Z$14,0)+2,FALSE)</f>
        <v>0.66</v>
      </c>
      <c r="G50" s="408">
        <f>VLOOKUP($D$50,[1]!ACHIEV,MATCH(G$14,$E$14:$Z$14,0)+2,FALSE)</f>
        <v>0.8</v>
      </c>
      <c r="H50" s="408">
        <f>VLOOKUP($D$50,[1]!ACHIEV,MATCH(H$14,$E$14:$Z$14,0)+2,FALSE)</f>
        <v>0.89</v>
      </c>
      <c r="I50" s="408">
        <f>VLOOKUP($D$50,[1]!ACHIEV,MATCH(I$14,$E$14:$Z$14,0)+2,FALSE)</f>
        <v>0.94954036260972652</v>
      </c>
      <c r="J50" s="408">
        <f>VLOOKUP($D$50,[1]!ACHIEV,MATCH(J$14,$E$14:$Z$14,0)+2,FALSE)</f>
        <v>0.97931054391458994</v>
      </c>
      <c r="K50" s="408">
        <f>VLOOKUP($D$50,[1]!ACHIEV,MATCH(K$14,$E$14:$Z$14,0)+2,FALSE)</f>
        <v>0.99254173560564019</v>
      </c>
      <c r="L50" s="408">
        <f>VLOOKUP($D$50,[1]!ACHIEV,MATCH(L$14,$E$14:$Z$14,0)+2,FALSE)</f>
        <v>0.99783421228206048</v>
      </c>
      <c r="M50" s="408">
        <f>VLOOKUP($D$50,[1]!ACHIEV,MATCH(M$14,$E$14:$Z$14,0)+2,FALSE)</f>
        <v>0.99975874925530417</v>
      </c>
      <c r="N50" s="408">
        <f>VLOOKUP($D$50,[1]!ACHIEV,MATCH(N$14,$E$14:$Z$14,0)+2,FALSE)</f>
        <v>1.0004002615797187</v>
      </c>
      <c r="O50" s="408">
        <f>VLOOKUP($D$50,[1]!ACHIEV,MATCH(O$14,$E$14:$Z$14,0)+2,FALSE)</f>
        <v>1.0005976499872309</v>
      </c>
      <c r="P50" s="408">
        <f>VLOOKUP($D$50,[1]!ACHIEV,MATCH(P$14,$E$14:$Z$14,0)+2,FALSE)</f>
        <v>1.0006540466750915</v>
      </c>
      <c r="Q50" s="408">
        <f>VLOOKUP($D$50,[1]!ACHIEV,MATCH(Q$14,$E$14:$Z$14,0)+2,FALSE)</f>
        <v>1.0006690857918545</v>
      </c>
      <c r="R50" s="408">
        <f>VLOOKUP($D$50,[1]!ACHIEV,MATCH(R$14,$E$14:$Z$14,0)+2,FALSE)</f>
        <v>1.000672845571045</v>
      </c>
      <c r="S50" s="408">
        <f>VLOOKUP($D$50,[1]!ACHIEV,MATCH(S$14,$E$14:$Z$14,0)+2,FALSE)</f>
        <v>1.0006737302249724</v>
      </c>
      <c r="T50" s="408">
        <f>VLOOKUP($D$50,[1]!ACHIEV,MATCH(T$14,$E$14:$Z$14,0)+2,FALSE)</f>
        <v>1.0006739268147338</v>
      </c>
      <c r="U50" s="408">
        <f>VLOOKUP($D$50,[1]!ACHIEV,MATCH(U$14,$E$14:$Z$14,0)+2,FALSE)</f>
        <v>1.0006739682020522</v>
      </c>
      <c r="V50" s="408">
        <f>VLOOKUP($D$50,[1]!ACHIEV,MATCH(V$14,$E$14:$Z$14,0)+2,FALSE)</f>
        <v>1.0006739764795158</v>
      </c>
      <c r="W50" s="408">
        <f>VLOOKUP($D$50,[1]!ACHIEV,MATCH(W$14,$E$14:$Z$14,0)+2,FALSE)</f>
        <v>1.0006739780561755</v>
      </c>
      <c r="X50" s="408">
        <f>VLOOKUP($D$50,[1]!ACHIEV,MATCH(X$14,$E$14:$Z$14,0)+2,FALSE)</f>
        <v>1.0006739783428409</v>
      </c>
      <c r="Y50" s="265"/>
    </row>
    <row r="51" spans="1:25">
      <c r="A51" s="258" t="s">
        <v>966</v>
      </c>
      <c r="D51" s="34" t="str">
        <f>D31</f>
        <v>Streetlight - HPS 100W - NR</v>
      </c>
      <c r="E51" s="245">
        <f t="shared" ref="E51:X51" ca="1" si="17">SUM(E31,E41)*E$50*$Z$21</f>
        <v>19333.079999999998</v>
      </c>
      <c r="F51" s="245">
        <f t="shared" ca="1" si="17"/>
        <v>28355.184000000001</v>
      </c>
      <c r="G51" s="245">
        <f t="shared" ca="1" si="17"/>
        <v>34369.920000000006</v>
      </c>
      <c r="H51" s="245">
        <f t="shared" ca="1" si="17"/>
        <v>38236.536</v>
      </c>
      <c r="I51" s="245">
        <f t="shared" ca="1" si="17"/>
        <v>40794.532874584118</v>
      </c>
      <c r="J51" s="245">
        <f t="shared" ca="1" si="17"/>
        <v>42299.443398640993</v>
      </c>
      <c r="K51" s="245">
        <f t="shared" ca="1" si="17"/>
        <v>42806.621619870704</v>
      </c>
      <c r="L51" s="245">
        <f t="shared" ca="1" si="17"/>
        <v>42990.599672906821</v>
      </c>
      <c r="M51" s="245">
        <f t="shared" ca="1" si="17"/>
        <v>43043.649629122927</v>
      </c>
      <c r="N51" s="245">
        <f t="shared" ca="1" si="17"/>
        <v>43051.151697867681</v>
      </c>
      <c r="O51" s="245">
        <f t="shared" ca="1" si="17"/>
        <v>43049.085280954081</v>
      </c>
      <c r="P51" s="245">
        <f t="shared" ca="1" si="17"/>
        <v>43046.281929954195</v>
      </c>
      <c r="Q51" s="245">
        <f t="shared" ca="1" si="17"/>
        <v>43044.23176527649</v>
      </c>
      <c r="R51" s="245">
        <f t="shared" ca="1" si="17"/>
        <v>43042.801587671849</v>
      </c>
      <c r="S51" s="245">
        <f t="shared" ca="1" si="17"/>
        <v>43041.787434608021</v>
      </c>
      <c r="T51" s="245">
        <f t="shared" ca="1" si="17"/>
        <v>43041.038309121344</v>
      </c>
      <c r="U51" s="245">
        <f t="shared" ca="1" si="17"/>
        <v>43040.497106750459</v>
      </c>
      <c r="V51" s="245">
        <f t="shared" ca="1" si="17"/>
        <v>43040.038712847279</v>
      </c>
      <c r="W51" s="245">
        <f t="shared" ca="1" si="17"/>
        <v>43039.586240881406</v>
      </c>
      <c r="X51" s="245">
        <f t="shared" ca="1" si="17"/>
        <v>43039.159615077071</v>
      </c>
      <c r="Y51" s="265"/>
    </row>
    <row r="52" spans="1:25">
      <c r="D52" s="34" t="str">
        <f t="shared" ref="D52:D55" si="18">D32</f>
        <v>Streetlight - MH 200W  - NR</v>
      </c>
      <c r="E52" s="245">
        <f t="shared" ref="E52:X52" ca="1" si="19">SUM(E32,E42)*E$50*$Z$21</f>
        <v>4690.0619999999999</v>
      </c>
      <c r="F52" s="245">
        <f t="shared" ca="1" si="19"/>
        <v>6878.7576000000008</v>
      </c>
      <c r="G52" s="245">
        <f t="shared" ca="1" si="19"/>
        <v>8337.8880000000008</v>
      </c>
      <c r="H52" s="245">
        <f t="shared" ca="1" si="19"/>
        <v>9275.9004000000004</v>
      </c>
      <c r="I52" s="245">
        <f t="shared" ca="1" si="19"/>
        <v>9896.4514936491087</v>
      </c>
      <c r="J52" s="245">
        <f t="shared" ca="1" si="19"/>
        <v>10261.531639299945</v>
      </c>
      <c r="K52" s="245">
        <f t="shared" ca="1" si="19"/>
        <v>10384.569318894562</v>
      </c>
      <c r="L52" s="245">
        <f t="shared" ca="1" si="19"/>
        <v>10429.201031760727</v>
      </c>
      <c r="M52" s="245">
        <f t="shared" ca="1" si="19"/>
        <v>10442.070558176118</v>
      </c>
      <c r="N52" s="245">
        <f t="shared" ca="1" si="19"/>
        <v>10443.890504482715</v>
      </c>
      <c r="O52" s="245">
        <f t="shared" ca="1" si="19"/>
        <v>10443.389207046268</v>
      </c>
      <c r="P52" s="245">
        <f t="shared" ca="1" si="19"/>
        <v>10442.709134859257</v>
      </c>
      <c r="Q52" s="245">
        <f t="shared" ca="1" si="19"/>
        <v>10442.211780094851</v>
      </c>
      <c r="R52" s="245">
        <f t="shared" ca="1" si="19"/>
        <v>10441.864829601876</v>
      </c>
      <c r="S52" s="245">
        <f t="shared" ca="1" si="19"/>
        <v>10441.618803580835</v>
      </c>
      <c r="T52" s="245">
        <f t="shared" ca="1" si="19"/>
        <v>10441.437071286846</v>
      </c>
      <c r="U52" s="245">
        <f t="shared" ca="1" si="19"/>
        <v>10441.305779600576</v>
      </c>
      <c r="V52" s="245">
        <f t="shared" ca="1" si="19"/>
        <v>10441.194576635173</v>
      </c>
      <c r="W52" s="245">
        <f t="shared" ca="1" si="19"/>
        <v>10441.084810287897</v>
      </c>
      <c r="X52" s="245">
        <f t="shared" ca="1" si="19"/>
        <v>10440.981314027955</v>
      </c>
      <c r="Y52" s="265"/>
    </row>
    <row r="53" spans="1:25">
      <c r="D53" s="34" t="str">
        <f t="shared" si="18"/>
        <v>Streetlight - HPS 250W - NR</v>
      </c>
      <c r="E53" s="245">
        <f t="shared" ref="E53:X53" ca="1" si="20">SUM(E33,E43)*E$50*$Z$21</f>
        <v>5012.2800000000007</v>
      </c>
      <c r="F53" s="245">
        <f t="shared" ca="1" si="20"/>
        <v>7351.344000000001</v>
      </c>
      <c r="G53" s="245">
        <f t="shared" ca="1" si="20"/>
        <v>8910.7200000000012</v>
      </c>
      <c r="H53" s="245">
        <f t="shared" ca="1" si="20"/>
        <v>9913.1760000000013</v>
      </c>
      <c r="I53" s="245">
        <f t="shared" ca="1" si="20"/>
        <v>10576.36037489218</v>
      </c>
      <c r="J53" s="245">
        <f t="shared" ca="1" si="20"/>
        <v>10966.522362610629</v>
      </c>
      <c r="K53" s="245">
        <f t="shared" ca="1" si="20"/>
        <v>11098.013012559075</v>
      </c>
      <c r="L53" s="245">
        <f t="shared" ca="1" si="20"/>
        <v>11145.711026309178</v>
      </c>
      <c r="M53" s="245">
        <f t="shared" ca="1" si="20"/>
        <v>11159.464718661502</v>
      </c>
      <c r="N53" s="245">
        <f t="shared" ca="1" si="20"/>
        <v>11161.409699447178</v>
      </c>
      <c r="O53" s="245">
        <f t="shared" ca="1" si="20"/>
        <v>11160.873961728837</v>
      </c>
      <c r="P53" s="245">
        <f t="shared" ca="1" si="20"/>
        <v>11160.147167025163</v>
      </c>
      <c r="Q53" s="245">
        <f t="shared" ca="1" si="20"/>
        <v>11159.61564284946</v>
      </c>
      <c r="R53" s="245">
        <f t="shared" ca="1" si="20"/>
        <v>11159.244856063075</v>
      </c>
      <c r="S53" s="245">
        <f t="shared" ca="1" si="20"/>
        <v>11158.98192749097</v>
      </c>
      <c r="T53" s="245">
        <f t="shared" ca="1" si="20"/>
        <v>11158.787709772203</v>
      </c>
      <c r="U53" s="245">
        <f t="shared" ca="1" si="20"/>
        <v>11158.647398046416</v>
      </c>
      <c r="V53" s="245">
        <f t="shared" ca="1" si="20"/>
        <v>11158.528555182629</v>
      </c>
      <c r="W53" s="245">
        <f t="shared" ca="1" si="20"/>
        <v>11158.411247635922</v>
      </c>
      <c r="X53" s="245">
        <f t="shared" ca="1" si="20"/>
        <v>11158.300640945907</v>
      </c>
      <c r="Y53" s="265"/>
    </row>
    <row r="54" spans="1:25">
      <c r="D54" s="34" t="str">
        <f t="shared" si="18"/>
        <v>Streetlight - MH 400W  - NR</v>
      </c>
      <c r="E54" s="245">
        <f t="shared" ref="E54:X54" ca="1" si="21">SUM(E34,E44)*E$50*$Z$21</f>
        <v>7831.6875</v>
      </c>
      <c r="F54" s="245">
        <f t="shared" ca="1" si="21"/>
        <v>11486.475</v>
      </c>
      <c r="G54" s="245">
        <f t="shared" ca="1" si="21"/>
        <v>13923</v>
      </c>
      <c r="H54" s="245">
        <f t="shared" ca="1" si="21"/>
        <v>15489.3375</v>
      </c>
      <c r="I54" s="245">
        <f t="shared" ca="1" si="21"/>
        <v>16525.563085769027</v>
      </c>
      <c r="J54" s="245">
        <f t="shared" ca="1" si="21"/>
        <v>17135.19119157911</v>
      </c>
      <c r="K54" s="245">
        <f t="shared" ca="1" si="21"/>
        <v>17340.645332123549</v>
      </c>
      <c r="L54" s="245">
        <f t="shared" ca="1" si="21"/>
        <v>17415.173478608089</v>
      </c>
      <c r="M54" s="245">
        <f t="shared" ca="1" si="21"/>
        <v>17436.663622908593</v>
      </c>
      <c r="N54" s="245">
        <f t="shared" ca="1" si="21"/>
        <v>17439.702655386212</v>
      </c>
      <c r="O54" s="245">
        <f t="shared" ca="1" si="21"/>
        <v>17438.865565201308</v>
      </c>
      <c r="P54" s="245">
        <f t="shared" ca="1" si="21"/>
        <v>17437.729948476812</v>
      </c>
      <c r="Q54" s="245">
        <f t="shared" ca="1" si="21"/>
        <v>17436.899441952279</v>
      </c>
      <c r="R54" s="245">
        <f t="shared" ca="1" si="21"/>
        <v>17436.320087598549</v>
      </c>
      <c r="S54" s="245">
        <f t="shared" ca="1" si="21"/>
        <v>17435.909261704637</v>
      </c>
      <c r="T54" s="245">
        <f t="shared" ca="1" si="21"/>
        <v>17435.605796519063</v>
      </c>
      <c r="U54" s="245">
        <f t="shared" ca="1" si="21"/>
        <v>17435.386559447525</v>
      </c>
      <c r="V54" s="245">
        <f t="shared" ca="1" si="21"/>
        <v>17435.200867472857</v>
      </c>
      <c r="W54" s="245">
        <f t="shared" ca="1" si="21"/>
        <v>17435.017574431124</v>
      </c>
      <c r="X54" s="245">
        <f t="shared" ca="1" si="21"/>
        <v>17434.844751477976</v>
      </c>
      <c r="Y54" s="265"/>
    </row>
    <row r="55" spans="1:25">
      <c r="D55" s="34" t="str">
        <f t="shared" si="18"/>
        <v>Streetlight - MH 1000W - NR</v>
      </c>
      <c r="E55" s="245">
        <f t="shared" ref="E55:X55" ca="1" si="22">SUM(E35,E45)*E$50*$Z$21</f>
        <v>626.53499999999997</v>
      </c>
      <c r="F55" s="245">
        <f t="shared" ca="1" si="22"/>
        <v>918.91800000000012</v>
      </c>
      <c r="G55" s="245">
        <f t="shared" ca="1" si="22"/>
        <v>1113.8400000000001</v>
      </c>
      <c r="H55" s="245">
        <f t="shared" ca="1" si="22"/>
        <v>1239.1469999999999</v>
      </c>
      <c r="I55" s="245">
        <f t="shared" ca="1" si="22"/>
        <v>1322.0450468615222</v>
      </c>
      <c r="J55" s="245">
        <f t="shared" ca="1" si="22"/>
        <v>1370.8152953263284</v>
      </c>
      <c r="K55" s="245">
        <f t="shared" ca="1" si="22"/>
        <v>1387.2516265698841</v>
      </c>
      <c r="L55" s="245">
        <f t="shared" ca="1" si="22"/>
        <v>1393.2138782886473</v>
      </c>
      <c r="M55" s="245">
        <f t="shared" ca="1" si="22"/>
        <v>1394.9330898326875</v>
      </c>
      <c r="N55" s="245">
        <f t="shared" ca="1" si="22"/>
        <v>1395.1762124308971</v>
      </c>
      <c r="O55" s="245">
        <f t="shared" ca="1" si="22"/>
        <v>1395.1092452161045</v>
      </c>
      <c r="P55" s="245">
        <f t="shared" ca="1" si="22"/>
        <v>1395.0183958781452</v>
      </c>
      <c r="Q55" s="245">
        <f t="shared" ca="1" si="22"/>
        <v>1394.9519553561822</v>
      </c>
      <c r="R55" s="245">
        <f t="shared" ca="1" si="22"/>
        <v>1394.9056070078841</v>
      </c>
      <c r="S55" s="245">
        <f t="shared" ca="1" si="22"/>
        <v>1394.872740936371</v>
      </c>
      <c r="T55" s="245">
        <f t="shared" ca="1" si="22"/>
        <v>1394.8484637215251</v>
      </c>
      <c r="U55" s="245">
        <f t="shared" ca="1" si="22"/>
        <v>1394.8309247558018</v>
      </c>
      <c r="V55" s="245">
        <f t="shared" ca="1" si="22"/>
        <v>1394.8160693978284</v>
      </c>
      <c r="W55" s="245">
        <f t="shared" ca="1" si="22"/>
        <v>1394.8014059544901</v>
      </c>
      <c r="X55" s="245">
        <f t="shared" ca="1" si="22"/>
        <v>1394.7875801182381</v>
      </c>
      <c r="Y55" s="265"/>
    </row>
    <row r="56" spans="1:25">
      <c r="D56" s="106"/>
      <c r="E56" s="245"/>
      <c r="F56" s="245"/>
      <c r="G56" s="245"/>
      <c r="H56" s="245"/>
      <c r="I56" s="245"/>
      <c r="J56" s="245"/>
      <c r="K56" s="245"/>
      <c r="L56" s="245"/>
      <c r="M56" s="245"/>
      <c r="N56" s="245"/>
      <c r="O56" s="245"/>
      <c r="P56" s="245"/>
      <c r="Q56" s="245"/>
      <c r="R56" s="245"/>
      <c r="S56" s="245"/>
      <c r="T56" s="245"/>
      <c r="U56" s="245"/>
      <c r="V56" s="245"/>
      <c r="W56" s="245"/>
      <c r="X56" s="245"/>
      <c r="Y56" s="265"/>
    </row>
    <row r="57" spans="1:25">
      <c r="D57" s="106" t="s">
        <v>987</v>
      </c>
      <c r="E57" s="245">
        <f ca="1">SUM(E51:E55)</f>
        <v>37493.644500000002</v>
      </c>
      <c r="F57" s="245">
        <f t="shared" ref="F57:X57" ca="1" si="23">SUM(F51:F55)</f>
        <v>54990.678599999999</v>
      </c>
      <c r="G57" s="245">
        <f t="shared" ca="1" si="23"/>
        <v>66655.368000000002</v>
      </c>
      <c r="H57" s="245">
        <f t="shared" ca="1" si="23"/>
        <v>74154.09689999999</v>
      </c>
      <c r="I57" s="245">
        <f t="shared" ca="1" si="23"/>
        <v>79114.95287575596</v>
      </c>
      <c r="J57" s="245">
        <f t="shared" ca="1" si="23"/>
        <v>82033.503887457016</v>
      </c>
      <c r="K57" s="245">
        <f t="shared" ca="1" si="23"/>
        <v>83017.100910017776</v>
      </c>
      <c r="L57" s="245">
        <f t="shared" ca="1" si="23"/>
        <v>83373.899087873462</v>
      </c>
      <c r="M57" s="245">
        <f t="shared" ca="1" si="23"/>
        <v>83476.781618701818</v>
      </c>
      <c r="N57" s="245">
        <f t="shared" ca="1" si="23"/>
        <v>83491.33076961468</v>
      </c>
      <c r="O57" s="245">
        <f t="shared" ca="1" si="23"/>
        <v>83487.323260146601</v>
      </c>
      <c r="P57" s="245">
        <f t="shared" ca="1" si="23"/>
        <v>83481.886576193574</v>
      </c>
      <c r="Q57" s="245">
        <f t="shared" ca="1" si="23"/>
        <v>83477.910585529258</v>
      </c>
      <c r="R57" s="245">
        <f t="shared" ca="1" si="23"/>
        <v>83475.136967943225</v>
      </c>
      <c r="S57" s="245">
        <f t="shared" ca="1" si="23"/>
        <v>83473.170168320823</v>
      </c>
      <c r="T57" s="245">
        <f t="shared" ca="1" si="23"/>
        <v>83471.717350420993</v>
      </c>
      <c r="U57" s="245">
        <f t="shared" ca="1" si="23"/>
        <v>83470.667768600775</v>
      </c>
      <c r="V57" s="245">
        <f t="shared" ca="1" si="23"/>
        <v>83469.778781535759</v>
      </c>
      <c r="W57" s="245">
        <f t="shared" ca="1" si="23"/>
        <v>83468.901279190846</v>
      </c>
      <c r="X57" s="245">
        <f t="shared" ca="1" si="23"/>
        <v>83468.073901647134</v>
      </c>
      <c r="Y57" s="265"/>
    </row>
    <row r="58" spans="1:25">
      <c r="D58" s="106"/>
      <c r="E58" s="245"/>
      <c r="F58" s="245"/>
      <c r="G58" s="245"/>
      <c r="H58" s="245"/>
      <c r="I58" s="245"/>
      <c r="J58" s="245"/>
      <c r="K58" s="245"/>
      <c r="L58" s="245"/>
      <c r="M58" s="245"/>
      <c r="N58" s="245"/>
      <c r="O58" s="245"/>
      <c r="P58" s="245"/>
      <c r="Q58" s="245"/>
      <c r="R58" s="245"/>
      <c r="S58" s="245"/>
      <c r="T58" s="245"/>
      <c r="U58" s="245"/>
      <c r="V58" s="245"/>
      <c r="W58" s="245"/>
      <c r="X58" s="245"/>
      <c r="Y58" s="265"/>
    </row>
    <row r="59" spans="1:25">
      <c r="D59" s="106"/>
      <c r="E59" s="245"/>
      <c r="F59" s="245"/>
      <c r="G59" s="245"/>
      <c r="H59" s="245"/>
      <c r="I59" s="245"/>
      <c r="J59" s="245"/>
      <c r="K59" s="245"/>
      <c r="L59" s="245"/>
      <c r="M59" s="245"/>
      <c r="N59" s="245"/>
      <c r="O59" s="245"/>
      <c r="P59" s="245"/>
      <c r="Q59" s="245"/>
      <c r="R59" s="245"/>
      <c r="S59" s="245"/>
      <c r="T59" s="245"/>
      <c r="U59" s="245"/>
      <c r="V59" s="245"/>
      <c r="W59" s="245"/>
      <c r="X59" s="245"/>
      <c r="Y59" s="265"/>
    </row>
    <row r="60" spans="1:25" ht="15">
      <c r="A60" s="420" t="s">
        <v>988</v>
      </c>
      <c r="D60" s="405" t="str">
        <f>$C$8</f>
        <v>Street and Roadway Lighting-NR</v>
      </c>
      <c r="E60" s="405">
        <v>1</v>
      </c>
      <c r="F60" s="405">
        <v>2</v>
      </c>
      <c r="G60" s="405">
        <v>3</v>
      </c>
      <c r="H60" s="405">
        <v>4</v>
      </c>
      <c r="I60" s="405">
        <v>5</v>
      </c>
      <c r="J60" s="405">
        <v>6</v>
      </c>
      <c r="K60" s="405">
        <v>7</v>
      </c>
      <c r="L60" s="405">
        <v>8</v>
      </c>
      <c r="M60" s="405">
        <v>9</v>
      </c>
      <c r="N60" s="405">
        <v>10</v>
      </c>
      <c r="O60" s="405">
        <v>11</v>
      </c>
      <c r="P60" s="405">
        <v>12</v>
      </c>
      <c r="Q60" s="405">
        <v>13</v>
      </c>
      <c r="R60" s="405">
        <v>14</v>
      </c>
      <c r="S60" s="405">
        <v>15</v>
      </c>
      <c r="T60" s="405">
        <v>16</v>
      </c>
      <c r="U60" s="405">
        <v>17</v>
      </c>
      <c r="V60" s="405">
        <v>18</v>
      </c>
      <c r="W60" s="405">
        <v>19</v>
      </c>
      <c r="X60" s="405">
        <v>20</v>
      </c>
      <c r="Y60" s="265"/>
    </row>
    <row r="61" spans="1:25">
      <c r="A61" s="258" t="s">
        <v>966</v>
      </c>
      <c r="D61" s="34" t="str">
        <f>D31</f>
        <v>Streetlight - HPS 100W - NR</v>
      </c>
      <c r="E61" s="245">
        <f ca="1">E51</f>
        <v>19333.079999999998</v>
      </c>
      <c r="F61" s="245">
        <f ca="1">E61+F51</f>
        <v>47688.263999999996</v>
      </c>
      <c r="G61" s="245">
        <f t="shared" ref="G61:X65" ca="1" si="24">F61+G51</f>
        <v>82058.184000000008</v>
      </c>
      <c r="H61" s="245">
        <f t="shared" ca="1" si="24"/>
        <v>120294.72</v>
      </c>
      <c r="I61" s="245">
        <f t="shared" ca="1" si="24"/>
        <v>161089.25287458411</v>
      </c>
      <c r="J61" s="245">
        <f t="shared" ca="1" si="24"/>
        <v>203388.6962732251</v>
      </c>
      <c r="K61" s="245">
        <f t="shared" ca="1" si="24"/>
        <v>246195.31789309581</v>
      </c>
      <c r="L61" s="245">
        <f t="shared" ca="1" si="24"/>
        <v>289185.91756600264</v>
      </c>
      <c r="M61" s="245">
        <f t="shared" ca="1" si="24"/>
        <v>332229.56719512556</v>
      </c>
      <c r="N61" s="245">
        <f t="shared" ca="1" si="24"/>
        <v>375280.71889299323</v>
      </c>
      <c r="O61" s="245">
        <f t="shared" ca="1" si="24"/>
        <v>418329.80417394731</v>
      </c>
      <c r="P61" s="245">
        <f t="shared" ca="1" si="24"/>
        <v>461376.0861039015</v>
      </c>
      <c r="Q61" s="245">
        <f t="shared" ca="1" si="24"/>
        <v>504420.31786917802</v>
      </c>
      <c r="R61" s="245">
        <f t="shared" ca="1" si="24"/>
        <v>547463.11945684988</v>
      </c>
      <c r="S61" s="245">
        <f t="shared" ca="1" si="24"/>
        <v>590504.90689145785</v>
      </c>
      <c r="T61" s="245">
        <f t="shared" ca="1" si="24"/>
        <v>633545.94520057924</v>
      </c>
      <c r="U61" s="245">
        <f t="shared" ca="1" si="24"/>
        <v>676586.44230732974</v>
      </c>
      <c r="V61" s="245">
        <f t="shared" ca="1" si="24"/>
        <v>719626.48102017702</v>
      </c>
      <c r="W61" s="245">
        <f t="shared" ca="1" si="24"/>
        <v>762666.06726105837</v>
      </c>
      <c r="X61" s="245">
        <f t="shared" ca="1" si="24"/>
        <v>805705.22687613545</v>
      </c>
      <c r="Y61" s="265"/>
    </row>
    <row r="62" spans="1:25">
      <c r="D62" s="34" t="str">
        <f t="shared" ref="D62:D65" si="25">D32</f>
        <v>Streetlight - MH 200W  - NR</v>
      </c>
      <c r="E62" s="245">
        <f t="shared" ref="E62:E65" ca="1" si="26">E52</f>
        <v>4690.0619999999999</v>
      </c>
      <c r="F62" s="245">
        <f t="shared" ref="F62:U65" ca="1" si="27">E62+F52</f>
        <v>11568.819600000001</v>
      </c>
      <c r="G62" s="245">
        <f t="shared" ca="1" si="27"/>
        <v>19906.707600000002</v>
      </c>
      <c r="H62" s="245">
        <f t="shared" ca="1" si="27"/>
        <v>29182.608</v>
      </c>
      <c r="I62" s="245">
        <f t="shared" ca="1" si="27"/>
        <v>39079.059493649111</v>
      </c>
      <c r="J62" s="245">
        <f t="shared" ca="1" si="27"/>
        <v>49340.591132949055</v>
      </c>
      <c r="K62" s="245">
        <f t="shared" ca="1" si="27"/>
        <v>59725.160451843622</v>
      </c>
      <c r="L62" s="245">
        <f t="shared" ca="1" si="27"/>
        <v>70154.361483604356</v>
      </c>
      <c r="M62" s="245">
        <f t="shared" ca="1" si="27"/>
        <v>80596.43204178047</v>
      </c>
      <c r="N62" s="245">
        <f t="shared" ca="1" si="27"/>
        <v>91040.322546263182</v>
      </c>
      <c r="O62" s="245">
        <f t="shared" ca="1" si="27"/>
        <v>101483.71175330944</v>
      </c>
      <c r="P62" s="245">
        <f t="shared" ca="1" si="27"/>
        <v>111926.42088816869</v>
      </c>
      <c r="Q62" s="245">
        <f t="shared" ca="1" si="27"/>
        <v>122368.63266826354</v>
      </c>
      <c r="R62" s="245">
        <f t="shared" ca="1" si="27"/>
        <v>132810.49749786541</v>
      </c>
      <c r="S62" s="245">
        <f t="shared" ca="1" si="27"/>
        <v>143252.11630144625</v>
      </c>
      <c r="T62" s="245">
        <f t="shared" ca="1" si="27"/>
        <v>153693.55337273309</v>
      </c>
      <c r="U62" s="245">
        <f t="shared" ca="1" si="27"/>
        <v>164134.85915233367</v>
      </c>
      <c r="V62" s="245">
        <f t="shared" ca="1" si="24"/>
        <v>174576.05372896884</v>
      </c>
      <c r="W62" s="245">
        <f t="shared" ca="1" si="24"/>
        <v>185017.13853925673</v>
      </c>
      <c r="X62" s="245">
        <f t="shared" ca="1" si="24"/>
        <v>195458.11985328468</v>
      </c>
      <c r="Y62" s="265"/>
    </row>
    <row r="63" spans="1:25">
      <c r="D63" s="34" t="str">
        <f t="shared" si="25"/>
        <v>Streetlight - HPS 250W - NR</v>
      </c>
      <c r="E63" s="245">
        <f t="shared" ca="1" si="26"/>
        <v>5012.2800000000007</v>
      </c>
      <c r="F63" s="245">
        <f t="shared" ca="1" si="27"/>
        <v>12363.624000000002</v>
      </c>
      <c r="G63" s="245">
        <f t="shared" ca="1" si="24"/>
        <v>21274.344000000005</v>
      </c>
      <c r="H63" s="245">
        <f t="shared" ca="1" si="24"/>
        <v>31187.520000000004</v>
      </c>
      <c r="I63" s="245">
        <f t="shared" ca="1" si="24"/>
        <v>41763.880374892186</v>
      </c>
      <c r="J63" s="245">
        <f t="shared" ca="1" si="24"/>
        <v>52730.402737502816</v>
      </c>
      <c r="K63" s="245">
        <f t="shared" ca="1" si="24"/>
        <v>63828.415750061889</v>
      </c>
      <c r="L63" s="245">
        <f t="shared" ca="1" si="24"/>
        <v>74974.126776371064</v>
      </c>
      <c r="M63" s="245">
        <f t="shared" ca="1" si="24"/>
        <v>86133.591495032568</v>
      </c>
      <c r="N63" s="245">
        <f t="shared" ca="1" si="24"/>
        <v>97295.001194479744</v>
      </c>
      <c r="O63" s="245">
        <f t="shared" ca="1" si="24"/>
        <v>108455.87515620858</v>
      </c>
      <c r="P63" s="245">
        <f t="shared" ca="1" si="24"/>
        <v>119616.02232323374</v>
      </c>
      <c r="Q63" s="245">
        <f t="shared" ca="1" si="24"/>
        <v>130775.6379660832</v>
      </c>
      <c r="R63" s="245">
        <f t="shared" ca="1" si="24"/>
        <v>141934.88282214629</v>
      </c>
      <c r="S63" s="245">
        <f t="shared" ca="1" si="24"/>
        <v>153093.86474963726</v>
      </c>
      <c r="T63" s="245">
        <f t="shared" ca="1" si="24"/>
        <v>164252.65245940947</v>
      </c>
      <c r="U63" s="245">
        <f t="shared" ca="1" si="24"/>
        <v>175411.29985745589</v>
      </c>
      <c r="V63" s="245">
        <f t="shared" ca="1" si="24"/>
        <v>186569.82841263851</v>
      </c>
      <c r="W63" s="245">
        <f t="shared" ca="1" si="24"/>
        <v>197728.23966027444</v>
      </c>
      <c r="X63" s="245">
        <f t="shared" ca="1" si="24"/>
        <v>208886.54030122035</v>
      </c>
      <c r="Y63" s="265"/>
    </row>
    <row r="64" spans="1:25">
      <c r="D64" s="34" t="str">
        <f t="shared" si="25"/>
        <v>Streetlight - MH 400W  - NR</v>
      </c>
      <c r="E64" s="245">
        <f t="shared" ca="1" si="26"/>
        <v>7831.6875</v>
      </c>
      <c r="F64" s="245">
        <f t="shared" ca="1" si="27"/>
        <v>19318.162499999999</v>
      </c>
      <c r="G64" s="245">
        <f t="shared" ca="1" si="24"/>
        <v>33241.162499999999</v>
      </c>
      <c r="H64" s="245">
        <f t="shared" ca="1" si="24"/>
        <v>48730.5</v>
      </c>
      <c r="I64" s="245">
        <f t="shared" ca="1" si="24"/>
        <v>65256.063085769027</v>
      </c>
      <c r="J64" s="245">
        <f t="shared" ca="1" si="24"/>
        <v>82391.25427734814</v>
      </c>
      <c r="K64" s="245">
        <f t="shared" ca="1" si="24"/>
        <v>99731.899609471686</v>
      </c>
      <c r="L64" s="245">
        <f t="shared" ca="1" si="24"/>
        <v>117147.07308807978</v>
      </c>
      <c r="M64" s="245">
        <f t="shared" ca="1" si="24"/>
        <v>134583.73671098836</v>
      </c>
      <c r="N64" s="245">
        <f t="shared" ca="1" si="24"/>
        <v>152023.43936637457</v>
      </c>
      <c r="O64" s="245">
        <f t="shared" ca="1" si="24"/>
        <v>169462.30493157587</v>
      </c>
      <c r="P64" s="245">
        <f t="shared" ca="1" si="24"/>
        <v>186900.03488005267</v>
      </c>
      <c r="Q64" s="245">
        <f t="shared" ca="1" si="24"/>
        <v>204336.93432200496</v>
      </c>
      <c r="R64" s="245">
        <f t="shared" ca="1" si="24"/>
        <v>221773.25440960351</v>
      </c>
      <c r="S64" s="245">
        <f t="shared" ca="1" si="24"/>
        <v>239209.16367130814</v>
      </c>
      <c r="T64" s="245">
        <f t="shared" ca="1" si="24"/>
        <v>256644.76946782719</v>
      </c>
      <c r="U64" s="245">
        <f t="shared" ca="1" si="24"/>
        <v>274080.15602727473</v>
      </c>
      <c r="V64" s="245">
        <f t="shared" ca="1" si="24"/>
        <v>291515.35689474759</v>
      </c>
      <c r="W64" s="245">
        <f t="shared" ca="1" si="24"/>
        <v>308950.37446917873</v>
      </c>
      <c r="X64" s="245">
        <f t="shared" ca="1" si="24"/>
        <v>326385.21922065673</v>
      </c>
      <c r="Y64" s="265"/>
    </row>
    <row r="65" spans="1:33">
      <c r="D65" s="34" t="str">
        <f t="shared" si="25"/>
        <v>Streetlight - MH 1000W - NR</v>
      </c>
      <c r="E65" s="245">
        <f t="shared" ca="1" si="26"/>
        <v>626.53499999999997</v>
      </c>
      <c r="F65" s="245">
        <f t="shared" ca="1" si="27"/>
        <v>1545.453</v>
      </c>
      <c r="G65" s="245">
        <f t="shared" ca="1" si="24"/>
        <v>2659.2930000000001</v>
      </c>
      <c r="H65" s="245">
        <f t="shared" ca="1" si="24"/>
        <v>3898.44</v>
      </c>
      <c r="I65" s="245">
        <f t="shared" ca="1" si="24"/>
        <v>5220.4850468615223</v>
      </c>
      <c r="J65" s="245">
        <f t="shared" ca="1" si="24"/>
        <v>6591.3003421878511</v>
      </c>
      <c r="K65" s="245">
        <f t="shared" ca="1" si="24"/>
        <v>7978.5519687577353</v>
      </c>
      <c r="L65" s="245">
        <f t="shared" ca="1" si="24"/>
        <v>9371.765847046383</v>
      </c>
      <c r="M65" s="245">
        <f t="shared" ca="1" si="24"/>
        <v>10766.698936879071</v>
      </c>
      <c r="N65" s="245">
        <f t="shared" ca="1" si="24"/>
        <v>12161.875149309968</v>
      </c>
      <c r="O65" s="245">
        <f t="shared" ca="1" si="24"/>
        <v>13556.984394526073</v>
      </c>
      <c r="P65" s="245">
        <f t="shared" ca="1" si="24"/>
        <v>14952.002790404218</v>
      </c>
      <c r="Q65" s="245">
        <f t="shared" ca="1" si="24"/>
        <v>16346.9547457604</v>
      </c>
      <c r="R65" s="245">
        <f t="shared" ca="1" si="24"/>
        <v>17741.860352768286</v>
      </c>
      <c r="S65" s="245">
        <f t="shared" ca="1" si="24"/>
        <v>19136.733093704657</v>
      </c>
      <c r="T65" s="245">
        <f t="shared" ca="1" si="24"/>
        <v>20531.581557426183</v>
      </c>
      <c r="U65" s="245">
        <f t="shared" ca="1" si="24"/>
        <v>21926.412482181986</v>
      </c>
      <c r="V65" s="245">
        <f t="shared" ca="1" si="24"/>
        <v>23321.228551579814</v>
      </c>
      <c r="W65" s="245">
        <f t="shared" ca="1" si="24"/>
        <v>24716.029957534305</v>
      </c>
      <c r="X65" s="245">
        <f t="shared" ca="1" si="24"/>
        <v>26110.817537652543</v>
      </c>
      <c r="Y65" s="265"/>
    </row>
    <row r="66" spans="1:33">
      <c r="D66" s="106"/>
      <c r="Y66" s="265"/>
    </row>
    <row r="67" spans="1:33">
      <c r="D67" s="106" t="s">
        <v>987</v>
      </c>
      <c r="E67" s="245">
        <f ca="1">SUM(E61:E65)</f>
        <v>37493.644500000002</v>
      </c>
      <c r="F67" s="245">
        <f t="shared" ref="F67:X67" ca="1" si="28">SUM(F61:F65)</f>
        <v>92484.323099999994</v>
      </c>
      <c r="G67" s="245">
        <f t="shared" ca="1" si="28"/>
        <v>159139.69110000003</v>
      </c>
      <c r="H67" s="245">
        <f t="shared" ca="1" si="28"/>
        <v>233293.788</v>
      </c>
      <c r="I67" s="245">
        <f t="shared" ca="1" si="28"/>
        <v>312408.74087575596</v>
      </c>
      <c r="J67" s="245">
        <f t="shared" ca="1" si="28"/>
        <v>394442.24476321298</v>
      </c>
      <c r="K67" s="245">
        <f t="shared" ca="1" si="28"/>
        <v>477459.34567323071</v>
      </c>
      <c r="L67" s="245">
        <f t="shared" ca="1" si="28"/>
        <v>560833.24476110423</v>
      </c>
      <c r="M67" s="245">
        <f t="shared" ca="1" si="28"/>
        <v>644310.02637980599</v>
      </c>
      <c r="N67" s="245">
        <f t="shared" ca="1" si="28"/>
        <v>727801.35714942066</v>
      </c>
      <c r="O67" s="245">
        <f t="shared" ca="1" si="28"/>
        <v>811288.68040956743</v>
      </c>
      <c r="P67" s="245">
        <f t="shared" ca="1" si="28"/>
        <v>894770.56698576093</v>
      </c>
      <c r="Q67" s="245">
        <f t="shared" ca="1" si="28"/>
        <v>978248.47757129022</v>
      </c>
      <c r="R67" s="245">
        <f t="shared" ca="1" si="28"/>
        <v>1061723.6145392333</v>
      </c>
      <c r="S67" s="245">
        <f t="shared" ca="1" si="28"/>
        <v>1145196.7847075542</v>
      </c>
      <c r="T67" s="245">
        <f t="shared" ca="1" si="28"/>
        <v>1228668.5020579752</v>
      </c>
      <c r="U67" s="245">
        <f t="shared" ca="1" si="28"/>
        <v>1312139.169826576</v>
      </c>
      <c r="V67" s="245">
        <f t="shared" ca="1" si="28"/>
        <v>1395608.9486081118</v>
      </c>
      <c r="W67" s="245">
        <f t="shared" ca="1" si="28"/>
        <v>1479077.8498873026</v>
      </c>
      <c r="X67" s="245">
        <f t="shared" ca="1" si="28"/>
        <v>1562545.9237889496</v>
      </c>
      <c r="Y67" s="265"/>
    </row>
    <row r="68" spans="1:33">
      <c r="D68" s="106"/>
      <c r="E68" s="245"/>
      <c r="F68" s="245"/>
      <c r="G68" s="245"/>
      <c r="H68" s="245"/>
      <c r="I68" s="245"/>
      <c r="J68" s="245"/>
      <c r="K68" s="245"/>
      <c r="L68" s="245"/>
      <c r="M68" s="245"/>
      <c r="N68" s="245"/>
      <c r="O68" s="245"/>
      <c r="P68" s="245"/>
      <c r="Q68" s="245"/>
      <c r="R68" s="245"/>
      <c r="S68" s="245"/>
      <c r="T68" s="245"/>
      <c r="U68" s="245"/>
      <c r="V68" s="245"/>
      <c r="W68" s="245"/>
      <c r="X68" s="245"/>
      <c r="Y68" s="265"/>
    </row>
    <row r="69" spans="1:33">
      <c r="AB69" s="166"/>
    </row>
    <row r="70" spans="1:33" ht="15">
      <c r="A70" s="420" t="s">
        <v>681</v>
      </c>
      <c r="C70" s="158"/>
      <c r="D70" s="421" t="s">
        <v>75</v>
      </c>
      <c r="E70" s="11" t="s">
        <v>430</v>
      </c>
      <c r="AE70" s="34"/>
    </row>
    <row r="71" spans="1:33" ht="15">
      <c r="A71" s="405" t="s">
        <v>992</v>
      </c>
      <c r="B71" s="405" t="s">
        <v>372</v>
      </c>
      <c r="C71" s="405"/>
      <c r="D71" s="405">
        <v>1</v>
      </c>
      <c r="E71" s="406">
        <f t="shared" ref="E71:X71" si="29">E14</f>
        <v>2016</v>
      </c>
      <c r="F71" s="406">
        <f t="shared" si="29"/>
        <v>2017</v>
      </c>
      <c r="G71" s="406">
        <f t="shared" si="29"/>
        <v>2018</v>
      </c>
      <c r="H71" s="406">
        <f t="shared" si="29"/>
        <v>2019</v>
      </c>
      <c r="I71" s="406">
        <f t="shared" si="29"/>
        <v>2020</v>
      </c>
      <c r="J71" s="406">
        <f t="shared" si="29"/>
        <v>2021</v>
      </c>
      <c r="K71" s="406">
        <f t="shared" si="29"/>
        <v>2022</v>
      </c>
      <c r="L71" s="406">
        <f t="shared" si="29"/>
        <v>2023</v>
      </c>
      <c r="M71" s="406">
        <f t="shared" si="29"/>
        <v>2024</v>
      </c>
      <c r="N71" s="406">
        <f t="shared" si="29"/>
        <v>2025</v>
      </c>
      <c r="O71" s="406">
        <f t="shared" si="29"/>
        <v>2026</v>
      </c>
      <c r="P71" s="406">
        <f t="shared" si="29"/>
        <v>2027</v>
      </c>
      <c r="Q71" s="406">
        <f t="shared" si="29"/>
        <v>2028</v>
      </c>
      <c r="R71" s="406">
        <f t="shared" si="29"/>
        <v>2029</v>
      </c>
      <c r="S71" s="406">
        <f t="shared" si="29"/>
        <v>2030</v>
      </c>
      <c r="T71" s="406">
        <f t="shared" si="29"/>
        <v>2031</v>
      </c>
      <c r="U71" s="406">
        <f t="shared" si="29"/>
        <v>2032</v>
      </c>
      <c r="V71" s="406">
        <f t="shared" si="29"/>
        <v>2033</v>
      </c>
      <c r="W71" s="406">
        <f t="shared" si="29"/>
        <v>2034</v>
      </c>
      <c r="X71" s="406">
        <f t="shared" si="29"/>
        <v>2035</v>
      </c>
      <c r="Y71" s="243"/>
    </row>
    <row r="72" spans="1:33" ht="15">
      <c r="A72" s="405" t="s">
        <v>662</v>
      </c>
      <c r="B72" s="405" t="s">
        <v>682</v>
      </c>
      <c r="C72" s="405" t="s">
        <v>993</v>
      </c>
      <c r="D72" s="405" t="s">
        <v>994</v>
      </c>
      <c r="E72" s="407" t="str">
        <f>CONCATENATE("aMW_",E$14)</f>
        <v>aMW_2016</v>
      </c>
      <c r="F72" s="407" t="str">
        <f t="shared" ref="F72:X72" si="30">CONCATENATE("aMW_",F$14)</f>
        <v>aMW_2017</v>
      </c>
      <c r="G72" s="407" t="str">
        <f t="shared" si="30"/>
        <v>aMW_2018</v>
      </c>
      <c r="H72" s="407" t="str">
        <f t="shared" si="30"/>
        <v>aMW_2019</v>
      </c>
      <c r="I72" s="407" t="str">
        <f t="shared" si="30"/>
        <v>aMW_2020</v>
      </c>
      <c r="J72" s="407" t="str">
        <f t="shared" si="30"/>
        <v>aMW_2021</v>
      </c>
      <c r="K72" s="407" t="str">
        <f t="shared" si="30"/>
        <v>aMW_2022</v>
      </c>
      <c r="L72" s="407" t="str">
        <f t="shared" si="30"/>
        <v>aMW_2023</v>
      </c>
      <c r="M72" s="407" t="str">
        <f t="shared" si="30"/>
        <v>aMW_2024</v>
      </c>
      <c r="N72" s="407" t="str">
        <f t="shared" si="30"/>
        <v>aMW_2025</v>
      </c>
      <c r="O72" s="407" t="str">
        <f t="shared" si="30"/>
        <v>aMW_2026</v>
      </c>
      <c r="P72" s="407" t="str">
        <f t="shared" si="30"/>
        <v>aMW_2027</v>
      </c>
      <c r="Q72" s="407" t="str">
        <f t="shared" si="30"/>
        <v>aMW_2028</v>
      </c>
      <c r="R72" s="407" t="str">
        <f t="shared" si="30"/>
        <v>aMW_2029</v>
      </c>
      <c r="S72" s="407" t="str">
        <f t="shared" si="30"/>
        <v>aMW_2030</v>
      </c>
      <c r="T72" s="407" t="str">
        <f t="shared" si="30"/>
        <v>aMW_2031</v>
      </c>
      <c r="U72" s="407" t="str">
        <f t="shared" si="30"/>
        <v>aMW_2032</v>
      </c>
      <c r="V72" s="407" t="str">
        <f t="shared" si="30"/>
        <v>aMW_2033</v>
      </c>
      <c r="W72" s="407" t="str">
        <f t="shared" si="30"/>
        <v>aMW_2034</v>
      </c>
      <c r="X72" s="407" t="str">
        <f t="shared" si="30"/>
        <v>aMW_2035</v>
      </c>
      <c r="Y72" s="409" t="s">
        <v>772</v>
      </c>
      <c r="Z72" s="11" t="s">
        <v>430</v>
      </c>
      <c r="AE72" s="34"/>
    </row>
    <row r="73" spans="1:33">
      <c r="A73" s="430">
        <f>VLOOKUP(C73,M_Input_Out!$A$1:$AM$3999,3,FALSE)</f>
        <v>327.31145340319665</v>
      </c>
      <c r="B73" s="431">
        <f>VLOOKUP(C73,M_Input_Out!$A$1:$AM$3999,11,FALSE)</f>
        <v>-68.731079037080974</v>
      </c>
      <c r="C73" s="34" t="str">
        <f>D31</f>
        <v>Streetlight - HPS 100W - NR</v>
      </c>
      <c r="D73" s="11" t="str">
        <f>$C$8</f>
        <v>Street and Roadway Lighting-NR</v>
      </c>
      <c r="E73" s="170">
        <f t="shared" ref="E73:X73" ca="1" si="31">E51*$D$71*$A73/8760/1000</f>
        <v>0.72236741022377549</v>
      </c>
      <c r="F73" s="170">
        <f t="shared" ca="1" si="31"/>
        <v>1.0594722016615374</v>
      </c>
      <c r="G73" s="170">
        <f t="shared" ca="1" si="31"/>
        <v>1.2842087292867121</v>
      </c>
      <c r="H73" s="170">
        <f t="shared" ca="1" si="31"/>
        <v>1.4286822113314672</v>
      </c>
      <c r="I73" s="170">
        <f t="shared" ca="1" si="31"/>
        <v>1.524260028091851</v>
      </c>
      <c r="J73" s="170">
        <f t="shared" ca="1" si="31"/>
        <v>1.5804899882369221</v>
      </c>
      <c r="K73" s="170">
        <f t="shared" ca="1" si="31"/>
        <v>1.5994403581827148</v>
      </c>
      <c r="L73" s="170">
        <f t="shared" ca="1" si="31"/>
        <v>1.6063145732436213</v>
      </c>
      <c r="M73" s="170">
        <f t="shared" ca="1" si="31"/>
        <v>1.6082967488454558</v>
      </c>
      <c r="N73" s="170">
        <f t="shared" ca="1" si="31"/>
        <v>1.6085770585514347</v>
      </c>
      <c r="O73" s="170">
        <f t="shared" ca="1" si="31"/>
        <v>1.6084998482862147</v>
      </c>
      <c r="P73" s="170">
        <f t="shared" ca="1" si="31"/>
        <v>1.6083951029791175</v>
      </c>
      <c r="Q73" s="170">
        <f t="shared" ca="1" si="31"/>
        <v>1.6083184999676592</v>
      </c>
      <c r="R73" s="170">
        <f t="shared" ca="1" si="31"/>
        <v>1.6082650623523167</v>
      </c>
      <c r="S73" s="170">
        <f t="shared" ca="1" si="31"/>
        <v>1.6082271692115293</v>
      </c>
      <c r="T73" s="170">
        <f t="shared" ca="1" si="31"/>
        <v>1.6081991786462526</v>
      </c>
      <c r="U73" s="170">
        <f t="shared" ca="1" si="31"/>
        <v>1.6081789569870519</v>
      </c>
      <c r="V73" s="170">
        <f t="shared" ca="1" si="31"/>
        <v>1.6081618294100335</v>
      </c>
      <c r="W73" s="170">
        <f t="shared" ca="1" si="31"/>
        <v>1.6081449231021825</v>
      </c>
      <c r="X73" s="170">
        <f t="shared" ca="1" si="31"/>
        <v>1.608128982518612</v>
      </c>
      <c r="Y73" s="411">
        <f ca="1">(VLOOKUP($C73,$D$31:$Z$35,$X$60+3,FALSE)+VLOOKUP($C73,$D$41:$Z$45,$X$60+3,FALSE))*$A73*$D$71/8760/1000</f>
        <v>16.176062193301423</v>
      </c>
      <c r="Z73" s="245">
        <f ca="1">AB73*AC73*AE73/8760/1000/1000</f>
        <v>25.713750837820616</v>
      </c>
      <c r="AB73" s="245">
        <f ca="1">$Z$24*AF73</f>
        <v>432928.03640074685</v>
      </c>
      <c r="AC73" s="166">
        <f>VLOOKUP(AD73,'Luminaires 7P'!$A$7:$AH$18,22,FALSE)</f>
        <v>4300</v>
      </c>
      <c r="AD73" s="34" t="s">
        <v>71</v>
      </c>
      <c r="AE73" s="11">
        <f>'Luminaires 7P'!E7</f>
        <v>121</v>
      </c>
      <c r="AF73" s="167">
        <f>B31</f>
        <v>0.54</v>
      </c>
      <c r="AG73" s="166">
        <f>AE73*AC73/1000</f>
        <v>520.29999999999995</v>
      </c>
    </row>
    <row r="74" spans="1:33">
      <c r="A74" s="430">
        <f>VLOOKUP(C74,M_Input_Out!$A$1:$AM$3999,3,FALSE)</f>
        <v>424.12188328301545</v>
      </c>
      <c r="B74" s="431">
        <f>VLOOKUP(C74,M_Input_Out!$A$1:$AM$3999,11,FALSE)</f>
        <v>-41.091264258105952</v>
      </c>
      <c r="C74" s="34" t="str">
        <f t="shared" ref="C74:C77" si="32">D32</f>
        <v>Streetlight - MH 200W  - NR</v>
      </c>
      <c r="D74" s="11" t="str">
        <f t="shared" ref="D74:D77" si="33">$C$8</f>
        <v>Street and Roadway Lighting-NR</v>
      </c>
      <c r="E74" s="170">
        <f t="shared" ref="E74:X74" ca="1" si="34">E52*$D$71*$A74/8760/1000</f>
        <v>0.22707282284864222</v>
      </c>
      <c r="F74" s="170">
        <f t="shared" ca="1" si="34"/>
        <v>0.33304014017800865</v>
      </c>
      <c r="G74" s="170">
        <f t="shared" ca="1" si="34"/>
        <v>0.40368501839758625</v>
      </c>
      <c r="H74" s="170">
        <f t="shared" ca="1" si="34"/>
        <v>0.44909958296731467</v>
      </c>
      <c r="I74" s="170">
        <f t="shared" ca="1" si="34"/>
        <v>0.47914402343669765</v>
      </c>
      <c r="J74" s="170">
        <f t="shared" ca="1" si="34"/>
        <v>0.49681964888449104</v>
      </c>
      <c r="K74" s="170">
        <f t="shared" ca="1" si="34"/>
        <v>0.50277660920234968</v>
      </c>
      <c r="L74" s="170">
        <f t="shared" ca="1" si="34"/>
        <v>0.50493748661273141</v>
      </c>
      <c r="M74" s="170">
        <f t="shared" ca="1" si="34"/>
        <v>0.50556057425887935</v>
      </c>
      <c r="N74" s="170">
        <f t="shared" ca="1" si="34"/>
        <v>0.50564868830625709</v>
      </c>
      <c r="O74" s="170">
        <f t="shared" ca="1" si="34"/>
        <v>0.50562441761986077</v>
      </c>
      <c r="P74" s="170">
        <f t="shared" ca="1" si="34"/>
        <v>0.50559149142160476</v>
      </c>
      <c r="Q74" s="170">
        <f t="shared" ca="1" si="34"/>
        <v>0.50556741162259333</v>
      </c>
      <c r="R74" s="170">
        <f t="shared" ca="1" si="34"/>
        <v>0.50555061375769761</v>
      </c>
      <c r="S74" s="170">
        <f t="shared" ca="1" si="34"/>
        <v>0.50553870222580488</v>
      </c>
      <c r="T74" s="170">
        <f t="shared" ca="1" si="34"/>
        <v>0.50552990352229121</v>
      </c>
      <c r="U74" s="170">
        <f t="shared" ca="1" si="34"/>
        <v>0.5055235469381314</v>
      </c>
      <c r="V74" s="170">
        <f t="shared" ca="1" si="34"/>
        <v>0.50551816296425989</v>
      </c>
      <c r="W74" s="170">
        <f t="shared" ca="1" si="34"/>
        <v>0.50551284854531842</v>
      </c>
      <c r="X74" s="170">
        <f t="shared" ca="1" si="34"/>
        <v>0.50550783769729568</v>
      </c>
      <c r="Y74" s="411">
        <f ca="1">(VLOOKUP($C74,$D$31:$Z$35,$X$60+3,FALSE)+VLOOKUP($C74,$D$41:$Z$45,$X$60+3,FALSE))*$A74*$D$71/8760/1000</f>
        <v>5.0848696284211989</v>
      </c>
      <c r="Z74" s="245">
        <f ca="1">AB74*AC74*AE74/8760/1000/1000</f>
        <v>11.702629456141283</v>
      </c>
      <c r="AB74" s="245">
        <f ca="1">$Z$24*AF74</f>
        <v>105025.13475647746</v>
      </c>
      <c r="AC74" s="166">
        <f>VLOOKUP(AD74,'Luminaires 7P'!$A$7:$AH$18,22,FALSE)</f>
        <v>4300</v>
      </c>
      <c r="AD74" s="34" t="s">
        <v>523</v>
      </c>
      <c r="AE74" s="11">
        <f>'Luminaires 7P'!E11</f>
        <v>227</v>
      </c>
      <c r="AF74" s="167">
        <f t="shared" ref="AF74:AF77" si="35">B32</f>
        <v>0.13100000000000001</v>
      </c>
      <c r="AG74" s="166">
        <f t="shared" ref="AG74:AG77" si="36">AE74*AC74/1000</f>
        <v>976.1</v>
      </c>
    </row>
    <row r="75" spans="1:33">
      <c r="A75" s="430">
        <f>VLOOKUP(C75,M_Input_Out!$A$1:$AM$3999,3,FALSE)</f>
        <v>714.55317292247162</v>
      </c>
      <c r="B75" s="431">
        <f>VLOOKUP(C75,M_Input_Out!$A$1:$AM$3999,11,FALSE)</f>
        <v>-29.77611933318255</v>
      </c>
      <c r="C75" s="34" t="str">
        <f t="shared" si="32"/>
        <v>Streetlight - HPS 250W - NR</v>
      </c>
      <c r="D75" s="11" t="str">
        <f t="shared" si="33"/>
        <v>Street and Roadway Lighting-NR</v>
      </c>
      <c r="E75" s="170">
        <f t="shared" ref="E75:X75" ca="1" si="37">E53*$D$71*$A75/8760/1000</f>
        <v>0.40885166410683177</v>
      </c>
      <c r="F75" s="170">
        <f t="shared" ca="1" si="37"/>
        <v>0.59964910735668664</v>
      </c>
      <c r="G75" s="170">
        <f t="shared" ca="1" si="37"/>
        <v>0.72684740285658989</v>
      </c>
      <c r="H75" s="170">
        <f t="shared" ca="1" si="37"/>
        <v>0.80861773567795625</v>
      </c>
      <c r="I75" s="170">
        <f t="shared" ca="1" si="37"/>
        <v>0.86271368308798035</v>
      </c>
      <c r="J75" s="170">
        <f t="shared" ca="1" si="37"/>
        <v>0.89453919522016723</v>
      </c>
      <c r="K75" s="170">
        <f t="shared" ca="1" si="37"/>
        <v>0.90526488713001885</v>
      </c>
      <c r="L75" s="170">
        <f t="shared" ca="1" si="37"/>
        <v>0.90915561396417821</v>
      </c>
      <c r="M75" s="170">
        <f t="shared" ca="1" si="37"/>
        <v>0.91027750260684404</v>
      </c>
      <c r="N75" s="170">
        <f t="shared" ca="1" si="37"/>
        <v>0.91043615468351957</v>
      </c>
      <c r="O75" s="170">
        <f t="shared" ca="1" si="37"/>
        <v>0.91039245455949047</v>
      </c>
      <c r="P75" s="170">
        <f t="shared" ca="1" si="37"/>
        <v>0.91033316991775837</v>
      </c>
      <c r="Q75" s="170">
        <f t="shared" ca="1" si="37"/>
        <v>0.91028981349238913</v>
      </c>
      <c r="R75" s="170">
        <f t="shared" ca="1" si="37"/>
        <v>0.91025956841536981</v>
      </c>
      <c r="S75" s="170">
        <f t="shared" ca="1" si="37"/>
        <v>0.91023812133255588</v>
      </c>
      <c r="T75" s="170">
        <f t="shared" ca="1" si="37"/>
        <v>0.91022227899383656</v>
      </c>
      <c r="U75" s="170">
        <f t="shared" ca="1" si="37"/>
        <v>0.91021083376679779</v>
      </c>
      <c r="V75" s="170">
        <f t="shared" ca="1" si="37"/>
        <v>0.91020113975476602</v>
      </c>
      <c r="W75" s="170">
        <f t="shared" ca="1" si="37"/>
        <v>0.91019157097854375</v>
      </c>
      <c r="X75" s="170">
        <f t="shared" ca="1" si="37"/>
        <v>0.91018254879118099</v>
      </c>
      <c r="Y75" s="411">
        <f ca="1">(VLOOKUP($C75,$D$31:$Z$35,$X$60+3,FALSE)+VLOOKUP($C75,$D$41:$Z$45,$X$60+3,FALSE))*$A75*$D$71/8760/1000</f>
        <v>9.1554655606322619</v>
      </c>
      <c r="Z75" s="245">
        <f ca="1">AB75*AC75*AE75/8760/1000/1000</f>
        <v>15.977629078902922</v>
      </c>
      <c r="AB75" s="245">
        <f ca="1">$Z$24*AF75</f>
        <v>112240.60202982326</v>
      </c>
      <c r="AC75" s="166">
        <f>VLOOKUP(AD75,'Luminaires 7P'!$A$7:$AH$18,22,FALSE)</f>
        <v>4300</v>
      </c>
      <c r="AD75" s="34" t="s">
        <v>519</v>
      </c>
      <c r="AE75" s="11">
        <f>'Luminaires 7P'!E13</f>
        <v>290</v>
      </c>
      <c r="AF75" s="167">
        <f t="shared" si="35"/>
        <v>0.14000000000000001</v>
      </c>
      <c r="AG75" s="166">
        <f t="shared" si="36"/>
        <v>1247</v>
      </c>
    </row>
    <row r="76" spans="1:33">
      <c r="A76" s="430">
        <f>VLOOKUP(C76,M_Input_Out!$A$1:$AM$3999,3,FALSE)</f>
        <v>1235.4854860853059</v>
      </c>
      <c r="B76" s="431">
        <f>VLOOKUP(C76,M_Input_Out!$A$1:$AM$3999,11,FALSE)</f>
        <v>-5.5269867849872165</v>
      </c>
      <c r="C76" s="34" t="str">
        <f t="shared" si="32"/>
        <v>Streetlight - MH 400W  - NR</v>
      </c>
      <c r="D76" s="11" t="str">
        <f t="shared" si="33"/>
        <v>Street and Roadway Lighting-NR</v>
      </c>
      <c r="E76" s="170">
        <f t="shared" ref="E76:X76" ca="1" si="38">E54*$D$71*$A76/8760/1000</f>
        <v>1.10455893125636</v>
      </c>
      <c r="F76" s="170">
        <f t="shared" ca="1" si="38"/>
        <v>1.6200197658426616</v>
      </c>
      <c r="G76" s="170">
        <f t="shared" ca="1" si="38"/>
        <v>1.9636603222335289</v>
      </c>
      <c r="H76" s="170">
        <f t="shared" ca="1" si="38"/>
        <v>2.1845721084848009</v>
      </c>
      <c r="I76" s="170">
        <f t="shared" ca="1" si="38"/>
        <v>2.3307184180199467</v>
      </c>
      <c r="J76" s="170">
        <f t="shared" ca="1" si="38"/>
        <v>2.4166986322480328</v>
      </c>
      <c r="K76" s="170">
        <f t="shared" ca="1" si="38"/>
        <v>2.4456752999077116</v>
      </c>
      <c r="L76" s="170">
        <f t="shared" ca="1" si="38"/>
        <v>2.4561865377258036</v>
      </c>
      <c r="M76" s="170">
        <f t="shared" ca="1" si="38"/>
        <v>2.4592174465588119</v>
      </c>
      <c r="N76" s="170">
        <f t="shared" ca="1" si="38"/>
        <v>2.4596460630562822</v>
      </c>
      <c r="O76" s="170">
        <f t="shared" ca="1" si="38"/>
        <v>2.4595280022373336</v>
      </c>
      <c r="P76" s="170">
        <f t="shared" ca="1" si="38"/>
        <v>2.4593678380842663</v>
      </c>
      <c r="Q76" s="170">
        <f t="shared" ca="1" si="38"/>
        <v>2.4592507058060513</v>
      </c>
      <c r="R76" s="170">
        <f t="shared" ca="1" si="38"/>
        <v>2.4591689953157165</v>
      </c>
      <c r="S76" s="170">
        <f t="shared" ca="1" si="38"/>
        <v>2.4591110536000507</v>
      </c>
      <c r="T76" s="170">
        <f t="shared" ca="1" si="38"/>
        <v>2.4590682537333484</v>
      </c>
      <c r="U76" s="170">
        <f t="shared" ca="1" si="38"/>
        <v>2.459037333160301</v>
      </c>
      <c r="V76" s="170">
        <f t="shared" ca="1" si="38"/>
        <v>2.4590111436923117</v>
      </c>
      <c r="W76" s="170">
        <f t="shared" ca="1" si="38"/>
        <v>2.4589852925630011</v>
      </c>
      <c r="X76" s="170">
        <f t="shared" ca="1" si="38"/>
        <v>2.4589609181052068</v>
      </c>
      <c r="Y76" s="411">
        <f ca="1">(VLOOKUP($C76,$D$31:$Z$35,$X$60+3,FALSE)+VLOOKUP($C76,$D$41:$Z$45,$X$60+3,FALSE))*$A76*$D$71/8760/1000</f>
        <v>19.787619114914889</v>
      </c>
      <c r="Z76" s="245">
        <f ca="1">AB76*AC76*AE76/8760/1000/1000</f>
        <v>30.853352704088397</v>
      </c>
      <c r="AB76" s="245">
        <f ca="1">$Z$24*AF76</f>
        <v>140300.75253727904</v>
      </c>
      <c r="AC76" s="166">
        <f>VLOOKUP(AD76,'Luminaires 7P'!$A$7:$AH$18,22,FALSE)</f>
        <v>4300</v>
      </c>
      <c r="AD76" s="34" t="s">
        <v>520</v>
      </c>
      <c r="AE76" s="11">
        <f>'Luminaires 7P'!E15</f>
        <v>448</v>
      </c>
      <c r="AF76" s="167">
        <f t="shared" si="35"/>
        <v>0.17499999999999999</v>
      </c>
      <c r="AG76" s="166">
        <f t="shared" si="36"/>
        <v>1926.4</v>
      </c>
    </row>
    <row r="77" spans="1:33">
      <c r="A77" s="430">
        <f>VLOOKUP(C77,M_Input_Out!$A$1:$AM$3999,3,FALSE)</f>
        <v>3130.2038994474719</v>
      </c>
      <c r="B77" s="431">
        <f>VLOOKUP(C77,M_Input_Out!$A$1:$AM$3999,11,FALSE)</f>
        <v>17.713609351930028</v>
      </c>
      <c r="C77" s="34" t="str">
        <f t="shared" si="32"/>
        <v>Streetlight - MH 1000W - NR</v>
      </c>
      <c r="D77" s="11" t="str">
        <f t="shared" si="33"/>
        <v>Street and Roadway Lighting-NR</v>
      </c>
      <c r="E77" s="170">
        <f t="shared" ref="E77:X77" ca="1" si="39">E55*$D$71*$A77/8760/1000</f>
        <v>0.22387925800688604</v>
      </c>
      <c r="F77" s="170">
        <f t="shared" ca="1" si="39"/>
        <v>0.32835624507676631</v>
      </c>
      <c r="G77" s="170">
        <f t="shared" ca="1" si="39"/>
        <v>0.39800756979001972</v>
      </c>
      <c r="H77" s="170">
        <f t="shared" ca="1" si="39"/>
        <v>0.44278342139139687</v>
      </c>
      <c r="I77" s="170">
        <f t="shared" ca="1" si="39"/>
        <v>0.47240531517478912</v>
      </c>
      <c r="J77" s="170">
        <f t="shared" ca="1" si="39"/>
        <v>0.48983234964072042</v>
      </c>
      <c r="K77" s="170">
        <f t="shared" ca="1" si="39"/>
        <v>0.49570553093651826</v>
      </c>
      <c r="L77" s="170">
        <f t="shared" ca="1" si="39"/>
        <v>0.49783601764651358</v>
      </c>
      <c r="M77" s="170">
        <f t="shared" ca="1" si="39"/>
        <v>0.49845034215326367</v>
      </c>
      <c r="N77" s="170">
        <f t="shared" ca="1" si="39"/>
        <v>0.49853721695976583</v>
      </c>
      <c r="O77" s="170">
        <f t="shared" ca="1" si="39"/>
        <v>0.4985132876176564</v>
      </c>
      <c r="P77" s="170">
        <f t="shared" ca="1" si="39"/>
        <v>0.49848082449528852</v>
      </c>
      <c r="Q77" s="170">
        <f t="shared" ca="1" si="39"/>
        <v>0.49845708335591299</v>
      </c>
      <c r="R77" s="170">
        <f t="shared" ca="1" si="39"/>
        <v>0.49844052173712577</v>
      </c>
      <c r="S77" s="170">
        <f t="shared" ca="1" si="39"/>
        <v>0.49842877772968169</v>
      </c>
      <c r="T77" s="170">
        <f t="shared" ca="1" si="39"/>
        <v>0.49842010277162485</v>
      </c>
      <c r="U77" s="170">
        <f t="shared" ca="1" si="39"/>
        <v>0.4984138355868189</v>
      </c>
      <c r="V77" s="170">
        <f t="shared" ca="1" si="39"/>
        <v>0.49840852733345636</v>
      </c>
      <c r="W77" s="170">
        <f t="shared" ca="1" si="39"/>
        <v>0.49840328765679914</v>
      </c>
      <c r="X77" s="170">
        <f t="shared" ca="1" si="39"/>
        <v>0.49839834728162241</v>
      </c>
      <c r="Y77" s="411">
        <f ca="1">(VLOOKUP($C77,$D$31:$Z$35,$X$60+3,FALSE)+VLOOKUP($C77,$D$41:$Z$45,$X$60+3,FALSE))*$A77*$D$71/8760/1000</f>
        <v>4.0106845907543907</v>
      </c>
      <c r="Z77" s="245">
        <f ca="1">AB77*AC77*AE77/8760/1000/1000</f>
        <v>6.0604799954459345</v>
      </c>
      <c r="AB77" s="245">
        <f ca="1">$Z$24*AF77</f>
        <v>11224.060202982324</v>
      </c>
      <c r="AC77" s="166">
        <f>VLOOKUP(AD77,'Luminaires 7P'!$A$7:$AH$18,22,FALSE)</f>
        <v>4300</v>
      </c>
      <c r="AD77" s="34" t="s">
        <v>521</v>
      </c>
      <c r="AE77" s="11">
        <f>'Luminaires 7P'!E17</f>
        <v>1100</v>
      </c>
      <c r="AF77" s="167">
        <f t="shared" si="35"/>
        <v>1.4E-2</v>
      </c>
      <c r="AG77" s="166">
        <f t="shared" si="36"/>
        <v>4730</v>
      </c>
    </row>
    <row r="78" spans="1:33">
      <c r="E78" s="170"/>
      <c r="F78" s="170"/>
      <c r="G78" s="170"/>
      <c r="H78" s="170"/>
      <c r="I78" s="170"/>
      <c r="J78" s="170"/>
      <c r="K78" s="170"/>
      <c r="L78" s="170"/>
      <c r="M78" s="170"/>
      <c r="N78" s="170"/>
      <c r="O78" s="170"/>
      <c r="P78" s="170"/>
      <c r="Q78" s="170"/>
      <c r="R78" s="170"/>
      <c r="S78" s="170"/>
      <c r="T78" s="170"/>
      <c r="U78" s="170"/>
      <c r="V78" s="170"/>
      <c r="W78" s="170"/>
      <c r="X78" s="170"/>
      <c r="Y78" s="427"/>
    </row>
    <row r="79" spans="1:33">
      <c r="B79" s="431">
        <f>SUMPRODUCT(B73:B77,A73:A77)/SUM(A73:A77)</f>
        <v>-2.1575439750497067</v>
      </c>
      <c r="D79" s="11" t="s">
        <v>995</v>
      </c>
      <c r="E79" s="166">
        <f ca="1">SUM(E73:E77)</f>
        <v>2.6867300864424957</v>
      </c>
      <c r="F79" s="166">
        <f t="shared" ref="F79:X79" ca="1" si="40">SUM(F73:F77)</f>
        <v>3.9405374601156602</v>
      </c>
      <c r="G79" s="166">
        <f t="shared" ca="1" si="40"/>
        <v>4.7764090425644365</v>
      </c>
      <c r="H79" s="166">
        <f t="shared" ca="1" si="40"/>
        <v>5.3137550598529355</v>
      </c>
      <c r="I79" s="166">
        <f t="shared" ca="1" si="40"/>
        <v>5.6692414678112648</v>
      </c>
      <c r="J79" s="166">
        <f t="shared" ca="1" si="40"/>
        <v>5.8783798142303336</v>
      </c>
      <c r="K79" s="166">
        <f t="shared" ca="1" si="40"/>
        <v>5.9488626853593125</v>
      </c>
      <c r="L79" s="166">
        <f t="shared" ca="1" si="40"/>
        <v>5.9744302291928486</v>
      </c>
      <c r="M79" s="166">
        <f t="shared" ca="1" si="40"/>
        <v>5.9818026144232554</v>
      </c>
      <c r="N79" s="166">
        <f t="shared" ca="1" si="40"/>
        <v>5.9828451815572592</v>
      </c>
      <c r="O79" s="166">
        <f t="shared" ca="1" si="40"/>
        <v>5.982558010320556</v>
      </c>
      <c r="P79" s="166">
        <f t="shared" ca="1" si="40"/>
        <v>5.9821684268980357</v>
      </c>
      <c r="Q79" s="166">
        <f t="shared" ca="1" si="40"/>
        <v>5.9818835142446058</v>
      </c>
      <c r="R79" s="166">
        <f t="shared" ca="1" si="40"/>
        <v>5.9816847615782267</v>
      </c>
      <c r="S79" s="166">
        <f t="shared" ca="1" si="40"/>
        <v>5.9815438240996226</v>
      </c>
      <c r="T79" s="166">
        <f t="shared" ca="1" si="40"/>
        <v>5.9814397176673531</v>
      </c>
      <c r="U79" s="166">
        <f t="shared" ca="1" si="40"/>
        <v>5.9813645064391014</v>
      </c>
      <c r="V79" s="166">
        <f t="shared" ca="1" si="40"/>
        <v>5.9813008031548272</v>
      </c>
      <c r="W79" s="166">
        <f t="shared" ca="1" si="40"/>
        <v>5.9812379228458452</v>
      </c>
      <c r="X79" s="166">
        <f t="shared" ca="1" si="40"/>
        <v>5.9811786343939168</v>
      </c>
      <c r="Y79" s="411">
        <f ca="1">SUM(Y73:Y77)</f>
        <v>54.214701088024171</v>
      </c>
      <c r="Z79" s="245">
        <f ca="1">SUM(Z73:Z77)</f>
        <v>90.307842072399154</v>
      </c>
      <c r="AG79" s="166">
        <f>SUMPRODUCT(AG73:AG77,AF73:AF77)</f>
        <v>986.75110000000006</v>
      </c>
    </row>
    <row r="82" spans="1:25" ht="15">
      <c r="A82" s="432" t="s">
        <v>683</v>
      </c>
      <c r="B82" s="432"/>
    </row>
    <row r="83" spans="1:25" ht="15">
      <c r="E83" s="406">
        <f>E14</f>
        <v>2016</v>
      </c>
      <c r="F83" s="406">
        <f t="shared" ref="F83:X83" si="41">F14</f>
        <v>2017</v>
      </c>
      <c r="G83" s="406">
        <f t="shared" si="41"/>
        <v>2018</v>
      </c>
      <c r="H83" s="406">
        <f t="shared" si="41"/>
        <v>2019</v>
      </c>
      <c r="I83" s="406">
        <f t="shared" si="41"/>
        <v>2020</v>
      </c>
      <c r="J83" s="406">
        <f t="shared" si="41"/>
        <v>2021</v>
      </c>
      <c r="K83" s="406">
        <f t="shared" si="41"/>
        <v>2022</v>
      </c>
      <c r="L83" s="406">
        <f t="shared" si="41"/>
        <v>2023</v>
      </c>
      <c r="M83" s="406">
        <f t="shared" si="41"/>
        <v>2024</v>
      </c>
      <c r="N83" s="406">
        <f t="shared" si="41"/>
        <v>2025</v>
      </c>
      <c r="O83" s="406">
        <f t="shared" si="41"/>
        <v>2026</v>
      </c>
      <c r="P83" s="406">
        <f t="shared" si="41"/>
        <v>2027</v>
      </c>
      <c r="Q83" s="406">
        <f t="shared" si="41"/>
        <v>2028</v>
      </c>
      <c r="R83" s="406">
        <f t="shared" si="41"/>
        <v>2029</v>
      </c>
      <c r="S83" s="406">
        <f t="shared" si="41"/>
        <v>2030</v>
      </c>
      <c r="T83" s="406">
        <f t="shared" si="41"/>
        <v>2031</v>
      </c>
      <c r="U83" s="406">
        <f t="shared" si="41"/>
        <v>2032</v>
      </c>
      <c r="V83" s="406">
        <f t="shared" si="41"/>
        <v>2033</v>
      </c>
      <c r="W83" s="406">
        <f t="shared" si="41"/>
        <v>2034</v>
      </c>
      <c r="X83" s="406">
        <f t="shared" si="41"/>
        <v>2035</v>
      </c>
      <c r="Y83" s="258"/>
    </row>
    <row r="84" spans="1:25" ht="15">
      <c r="C84" s="248" t="s">
        <v>682</v>
      </c>
      <c r="D84" s="248" t="s">
        <v>682</v>
      </c>
      <c r="E84" s="407" t="str">
        <f>CONCATENATE("aMW_",E$14)</f>
        <v>aMW_2016</v>
      </c>
      <c r="F84" s="407" t="str">
        <f t="shared" ref="F84:X84" si="42">CONCATENATE("aMW_",F$14)</f>
        <v>aMW_2017</v>
      </c>
      <c r="G84" s="407" t="str">
        <f t="shared" si="42"/>
        <v>aMW_2018</v>
      </c>
      <c r="H84" s="407" t="str">
        <f t="shared" si="42"/>
        <v>aMW_2019</v>
      </c>
      <c r="I84" s="407" t="str">
        <f t="shared" si="42"/>
        <v>aMW_2020</v>
      </c>
      <c r="J84" s="407" t="str">
        <f t="shared" si="42"/>
        <v>aMW_2021</v>
      </c>
      <c r="K84" s="407" t="str">
        <f t="shared" si="42"/>
        <v>aMW_2022</v>
      </c>
      <c r="L84" s="407" t="str">
        <f t="shared" si="42"/>
        <v>aMW_2023</v>
      </c>
      <c r="M84" s="407" t="str">
        <f t="shared" si="42"/>
        <v>aMW_2024</v>
      </c>
      <c r="N84" s="407" t="str">
        <f t="shared" si="42"/>
        <v>aMW_2025</v>
      </c>
      <c r="O84" s="407" t="str">
        <f t="shared" si="42"/>
        <v>aMW_2026</v>
      </c>
      <c r="P84" s="407" t="str">
        <f t="shared" si="42"/>
        <v>aMW_2027</v>
      </c>
      <c r="Q84" s="407" t="str">
        <f t="shared" si="42"/>
        <v>aMW_2028</v>
      </c>
      <c r="R84" s="407" t="str">
        <f t="shared" si="42"/>
        <v>aMW_2029</v>
      </c>
      <c r="S84" s="407" t="str">
        <f t="shared" si="42"/>
        <v>aMW_2030</v>
      </c>
      <c r="T84" s="407" t="str">
        <f t="shared" si="42"/>
        <v>aMW_2031</v>
      </c>
      <c r="U84" s="407" t="str">
        <f t="shared" si="42"/>
        <v>aMW_2032</v>
      </c>
      <c r="V84" s="407" t="str">
        <f t="shared" si="42"/>
        <v>aMW_2033</v>
      </c>
      <c r="W84" s="407" t="str">
        <f t="shared" si="42"/>
        <v>aMW_2034</v>
      </c>
      <c r="X84" s="407" t="str">
        <f t="shared" si="42"/>
        <v>aMW_2035</v>
      </c>
      <c r="Y84" s="409" t="s">
        <v>772</v>
      </c>
    </row>
    <row r="85" spans="1:25">
      <c r="B85" s="11" t="s">
        <v>639</v>
      </c>
      <c r="C85" s="271" t="s">
        <v>684</v>
      </c>
      <c r="D85" s="271" t="s">
        <v>685</v>
      </c>
      <c r="E85" s="247">
        <f ca="1">DSUM($B$72:$Y$77,E$72,$C$84:$D85)</f>
        <v>2.4628508284356094</v>
      </c>
      <c r="F85" s="247">
        <f ca="1">DSUM($B$72:$Y$77,F$72,$C$84:$D85)</f>
        <v>3.6121812150388939</v>
      </c>
      <c r="G85" s="247">
        <f ca="1">DSUM($B$72:$Y$77,G$72,$C$84:$D85)</f>
        <v>4.3784014727744172</v>
      </c>
      <c r="H85" s="247">
        <f ca="1">DSUM($B$72:$Y$77,H$72,$C$84:$D85)</f>
        <v>4.8709716384615387</v>
      </c>
      <c r="I85" s="247">
        <f ca="1">DSUM($B$72:$Y$77,I$72,$C$84:$D85)</f>
        <v>5.1968361526364752</v>
      </c>
      <c r="J85" s="247">
        <f ca="1">DSUM($B$72:$Y$77,J$72,$C$84:$D85)</f>
        <v>5.388547464589613</v>
      </c>
      <c r="K85" s="247">
        <f ca="1">DSUM($B$72:$Y$77,K$72,$C$84:$D85)</f>
        <v>5.4531571544227946</v>
      </c>
      <c r="L85" s="247">
        <f ca="1">DSUM($B$72:$Y$77,L$72,$C$84:$D85)</f>
        <v>5.4765942115463346</v>
      </c>
      <c r="M85" s="247">
        <f ca="1">DSUM($B$72:$Y$77,M$72,$C$84:$D85)</f>
        <v>5.4833522722699914</v>
      </c>
      <c r="N85" s="247">
        <f ca="1">DSUM($B$72:$Y$77,N$72,$C$84:$D85)</f>
        <v>5.4843079645974937</v>
      </c>
      <c r="O85" s="247">
        <f ca="1">DSUM($B$72:$Y$77,O$72,$C$84:$D85)</f>
        <v>5.4840447227028992</v>
      </c>
      <c r="P85" s="247">
        <f ca="1">DSUM($B$72:$Y$77,P$72,$C$84:$D85)</f>
        <v>5.483687602402747</v>
      </c>
      <c r="Q85" s="247">
        <f ca="1">DSUM($B$72:$Y$77,Q$72,$C$84:$D85)</f>
        <v>5.4834264308886933</v>
      </c>
      <c r="R85" s="247">
        <f ca="1">DSUM($B$72:$Y$77,R$72,$C$84:$D85)</f>
        <v>5.4832442398411008</v>
      </c>
      <c r="S85" s="247">
        <f ca="1">DSUM($B$72:$Y$77,S$72,$C$84:$D85)</f>
        <v>5.4831150463699405</v>
      </c>
      <c r="T85" s="247">
        <f ca="1">DSUM($B$72:$Y$77,T$72,$C$84:$D85)</f>
        <v>5.4830196148957286</v>
      </c>
      <c r="U85" s="247">
        <f ca="1">DSUM($B$72:$Y$77,U$72,$C$84:$D85)</f>
        <v>5.4829506708522828</v>
      </c>
      <c r="V85" s="247">
        <f ca="1">DSUM($B$72:$Y$77,V$72,$C$84:$D85)</f>
        <v>5.4828922758213707</v>
      </c>
      <c r="W85" s="247">
        <f ca="1">DSUM($B$72:$Y$77,W$72,$C$84:$D85)</f>
        <v>5.4828346351890458</v>
      </c>
      <c r="X85" s="247">
        <f ca="1">DSUM($B$72:$Y$77,X$72,$C$84:$D85)</f>
        <v>5.4827802871122948</v>
      </c>
      <c r="Y85" s="166">
        <f ca="1">DSUM($B$72:$Y$77,Y$72,$C$84:$D85)</f>
        <v>50.204016497269777</v>
      </c>
    </row>
    <row r="86" spans="1:25">
      <c r="B86" s="11" t="s">
        <v>640</v>
      </c>
      <c r="C86" s="271" t="s">
        <v>686</v>
      </c>
      <c r="D86" s="271" t="s">
        <v>687</v>
      </c>
      <c r="E86" s="247">
        <f ca="1">DSUM($B$72:$Y$77,E$72,$C$84:$D86)</f>
        <v>2.4628508284356094</v>
      </c>
      <c r="F86" s="247">
        <f ca="1">DSUM($B$72:$Y$77,F$72,$C$84:$D86)</f>
        <v>3.6121812150388939</v>
      </c>
      <c r="G86" s="247">
        <f ca="1">DSUM($B$72:$Y$77,G$72,$C$84:$D86)</f>
        <v>4.3784014727744172</v>
      </c>
      <c r="H86" s="247">
        <f ca="1">DSUM($B$72:$Y$77,H$72,$C$84:$D86)</f>
        <v>4.8709716384615387</v>
      </c>
      <c r="I86" s="247">
        <f ca="1">DSUM($B$72:$Y$77,I$72,$C$84:$D86)</f>
        <v>5.1968361526364752</v>
      </c>
      <c r="J86" s="247">
        <f ca="1">DSUM($B$72:$Y$77,J$72,$C$84:$D86)</f>
        <v>5.388547464589613</v>
      </c>
      <c r="K86" s="247">
        <f ca="1">DSUM($B$72:$Y$77,K$72,$C$84:$D86)</f>
        <v>5.4531571544227946</v>
      </c>
      <c r="L86" s="247">
        <f ca="1">DSUM($B$72:$Y$77,L$72,$C$84:$D86)</f>
        <v>5.4765942115463346</v>
      </c>
      <c r="M86" s="247">
        <f ca="1">DSUM($B$72:$Y$77,M$72,$C$84:$D86)</f>
        <v>5.4833522722699914</v>
      </c>
      <c r="N86" s="247">
        <f ca="1">DSUM($B$72:$Y$77,N$72,$C$84:$D86)</f>
        <v>5.4843079645974937</v>
      </c>
      <c r="O86" s="247">
        <f ca="1">DSUM($B$72:$Y$77,O$72,$C$84:$D86)</f>
        <v>5.4840447227028992</v>
      </c>
      <c r="P86" s="247">
        <f ca="1">DSUM($B$72:$Y$77,P$72,$C$84:$D86)</f>
        <v>5.483687602402747</v>
      </c>
      <c r="Q86" s="247">
        <f ca="1">DSUM($B$72:$Y$77,Q$72,$C$84:$D86)</f>
        <v>5.4834264308886933</v>
      </c>
      <c r="R86" s="247">
        <f ca="1">DSUM($B$72:$Y$77,R$72,$C$84:$D86)</f>
        <v>5.4832442398411008</v>
      </c>
      <c r="S86" s="247">
        <f ca="1">DSUM($B$72:$Y$77,S$72,$C$84:$D86)</f>
        <v>5.4831150463699405</v>
      </c>
      <c r="T86" s="247">
        <f ca="1">DSUM($B$72:$Y$77,T$72,$C$84:$D86)</f>
        <v>5.4830196148957286</v>
      </c>
      <c r="U86" s="247">
        <f ca="1">DSUM($B$72:$Y$77,U$72,$C$84:$D86)</f>
        <v>5.4829506708522828</v>
      </c>
      <c r="V86" s="247">
        <f ca="1">DSUM($B$72:$Y$77,V$72,$C$84:$D86)</f>
        <v>5.4828922758213707</v>
      </c>
      <c r="W86" s="247">
        <f ca="1">DSUM($B$72:$Y$77,W$72,$C$84:$D86)</f>
        <v>5.4828346351890458</v>
      </c>
      <c r="X86" s="247">
        <f ca="1">DSUM($B$72:$Y$77,X$72,$C$84:$D86)</f>
        <v>5.4827802871122948</v>
      </c>
      <c r="Y86" s="166">
        <f ca="1">DSUM($B$72:$Y$77,Y$72,$C$84:$D86)</f>
        <v>50.204016497269777</v>
      </c>
    </row>
    <row r="87" spans="1:25">
      <c r="B87" s="11" t="s">
        <v>641</v>
      </c>
      <c r="C87" s="271" t="s">
        <v>688</v>
      </c>
      <c r="D87" s="271" t="s">
        <v>689</v>
      </c>
      <c r="E87" s="247">
        <f ca="1">DSUM($B$72:$Y$77,E$72,$C$84:$D87)</f>
        <v>2.6867300864424957</v>
      </c>
      <c r="F87" s="247">
        <f ca="1">DSUM($B$72:$Y$77,F$72,$C$84:$D87)</f>
        <v>3.9405374601156602</v>
      </c>
      <c r="G87" s="247">
        <f ca="1">DSUM($B$72:$Y$77,G$72,$C$84:$D87)</f>
        <v>4.7764090425644365</v>
      </c>
      <c r="H87" s="247">
        <f ca="1">DSUM($B$72:$Y$77,H$72,$C$84:$D87)</f>
        <v>5.3137550598529355</v>
      </c>
      <c r="I87" s="247">
        <f ca="1">DSUM($B$72:$Y$77,I$72,$C$84:$D87)</f>
        <v>5.6692414678112648</v>
      </c>
      <c r="J87" s="247">
        <f ca="1">DSUM($B$72:$Y$77,J$72,$C$84:$D87)</f>
        <v>5.8783798142303336</v>
      </c>
      <c r="K87" s="247">
        <f ca="1">DSUM($B$72:$Y$77,K$72,$C$84:$D87)</f>
        <v>5.9488626853593125</v>
      </c>
      <c r="L87" s="247">
        <f ca="1">DSUM($B$72:$Y$77,L$72,$C$84:$D87)</f>
        <v>5.9744302291928486</v>
      </c>
      <c r="M87" s="247">
        <f ca="1">DSUM($B$72:$Y$77,M$72,$C$84:$D87)</f>
        <v>5.9818026144232554</v>
      </c>
      <c r="N87" s="247">
        <f ca="1">DSUM($B$72:$Y$77,N$72,$C$84:$D87)</f>
        <v>5.9828451815572592</v>
      </c>
      <c r="O87" s="247">
        <f ca="1">DSUM($B$72:$Y$77,O$72,$C$84:$D87)</f>
        <v>5.982558010320556</v>
      </c>
      <c r="P87" s="247">
        <f ca="1">DSUM($B$72:$Y$77,P$72,$C$84:$D87)</f>
        <v>5.9821684268980357</v>
      </c>
      <c r="Q87" s="247">
        <f ca="1">DSUM($B$72:$Y$77,Q$72,$C$84:$D87)</f>
        <v>5.9818835142446058</v>
      </c>
      <c r="R87" s="247">
        <f ca="1">DSUM($B$72:$Y$77,R$72,$C$84:$D87)</f>
        <v>5.9816847615782267</v>
      </c>
      <c r="S87" s="247">
        <f ca="1">DSUM($B$72:$Y$77,S$72,$C$84:$D87)</f>
        <v>5.9815438240996226</v>
      </c>
      <c r="T87" s="247">
        <f ca="1">DSUM($B$72:$Y$77,T$72,$C$84:$D87)</f>
        <v>5.9814397176673531</v>
      </c>
      <c r="U87" s="247">
        <f ca="1">DSUM($B$72:$Y$77,U$72,$C$84:$D87)</f>
        <v>5.9813645064391014</v>
      </c>
      <c r="V87" s="247">
        <f ca="1">DSUM($B$72:$Y$77,V$72,$C$84:$D87)</f>
        <v>5.9813008031548272</v>
      </c>
      <c r="W87" s="247">
        <f ca="1">DSUM($B$72:$Y$77,W$72,$C$84:$D87)</f>
        <v>5.9812379228458452</v>
      </c>
      <c r="X87" s="247">
        <f ca="1">DSUM($B$72:$Y$77,X$72,$C$84:$D87)</f>
        <v>5.9811786343939168</v>
      </c>
      <c r="Y87" s="166">
        <f ca="1">DSUM($B$72:$Y$77,Y$72,$C$84:$D87)</f>
        <v>54.214701088024171</v>
      </c>
    </row>
    <row r="88" spans="1:25">
      <c r="B88" s="11" t="s">
        <v>642</v>
      </c>
      <c r="C88" s="271" t="s">
        <v>690</v>
      </c>
      <c r="D88" s="271" t="s">
        <v>691</v>
      </c>
      <c r="E88" s="247">
        <f ca="1">DSUM($B$72:$Y$77,E$72,$C$84:$D88)</f>
        <v>2.6867300864424957</v>
      </c>
      <c r="F88" s="247">
        <f ca="1">DSUM($B$72:$Y$77,F$72,$C$84:$D88)</f>
        <v>3.9405374601156602</v>
      </c>
      <c r="G88" s="247">
        <f ca="1">DSUM($B$72:$Y$77,G$72,$C$84:$D88)</f>
        <v>4.7764090425644365</v>
      </c>
      <c r="H88" s="247">
        <f ca="1">DSUM($B$72:$Y$77,H$72,$C$84:$D88)</f>
        <v>5.3137550598529355</v>
      </c>
      <c r="I88" s="247">
        <f ca="1">DSUM($B$72:$Y$77,I$72,$C$84:$D88)</f>
        <v>5.6692414678112648</v>
      </c>
      <c r="J88" s="247">
        <f ca="1">DSUM($B$72:$Y$77,J$72,$C$84:$D88)</f>
        <v>5.8783798142303336</v>
      </c>
      <c r="K88" s="247">
        <f ca="1">DSUM($B$72:$Y$77,K$72,$C$84:$D88)</f>
        <v>5.9488626853593125</v>
      </c>
      <c r="L88" s="247">
        <f ca="1">DSUM($B$72:$Y$77,L$72,$C$84:$D88)</f>
        <v>5.9744302291928486</v>
      </c>
      <c r="M88" s="247">
        <f ca="1">DSUM($B$72:$Y$77,M$72,$C$84:$D88)</f>
        <v>5.9818026144232554</v>
      </c>
      <c r="N88" s="247">
        <f ca="1">DSUM($B$72:$Y$77,N$72,$C$84:$D88)</f>
        <v>5.9828451815572592</v>
      </c>
      <c r="O88" s="247">
        <f ca="1">DSUM($B$72:$Y$77,O$72,$C$84:$D88)</f>
        <v>5.982558010320556</v>
      </c>
      <c r="P88" s="247">
        <f ca="1">DSUM($B$72:$Y$77,P$72,$C$84:$D88)</f>
        <v>5.9821684268980357</v>
      </c>
      <c r="Q88" s="247">
        <f ca="1">DSUM($B$72:$Y$77,Q$72,$C$84:$D88)</f>
        <v>5.9818835142446058</v>
      </c>
      <c r="R88" s="247">
        <f ca="1">DSUM($B$72:$Y$77,R$72,$C$84:$D88)</f>
        <v>5.9816847615782267</v>
      </c>
      <c r="S88" s="247">
        <f ca="1">DSUM($B$72:$Y$77,S$72,$C$84:$D88)</f>
        <v>5.9815438240996226</v>
      </c>
      <c r="T88" s="247">
        <f ca="1">DSUM($B$72:$Y$77,T$72,$C$84:$D88)</f>
        <v>5.9814397176673531</v>
      </c>
      <c r="U88" s="247">
        <f ca="1">DSUM($B$72:$Y$77,U$72,$C$84:$D88)</f>
        <v>5.9813645064391014</v>
      </c>
      <c r="V88" s="247">
        <f ca="1">DSUM($B$72:$Y$77,V$72,$C$84:$D88)</f>
        <v>5.9813008031548272</v>
      </c>
      <c r="W88" s="247">
        <f ca="1">DSUM($B$72:$Y$77,W$72,$C$84:$D88)</f>
        <v>5.9812379228458452</v>
      </c>
      <c r="X88" s="247">
        <f ca="1">DSUM($B$72:$Y$77,X$72,$C$84:$D88)</f>
        <v>5.9811786343939168</v>
      </c>
      <c r="Y88" s="166">
        <f ca="1">DSUM($B$72:$Y$77,Y$72,$C$84:$D88)</f>
        <v>54.214701088024171</v>
      </c>
    </row>
    <row r="89" spans="1:25">
      <c r="B89" s="11" t="s">
        <v>643</v>
      </c>
      <c r="C89" s="271" t="s">
        <v>692</v>
      </c>
      <c r="D89" s="271" t="s">
        <v>693</v>
      </c>
      <c r="E89" s="247">
        <f ca="1">DSUM($B$72:$Y$77,E$72,$C$84:$D89)</f>
        <v>2.6867300864424957</v>
      </c>
      <c r="F89" s="247">
        <f ca="1">DSUM($B$72:$Y$77,F$72,$C$84:$D89)</f>
        <v>3.9405374601156602</v>
      </c>
      <c r="G89" s="247">
        <f ca="1">DSUM($B$72:$Y$77,G$72,$C$84:$D89)</f>
        <v>4.7764090425644365</v>
      </c>
      <c r="H89" s="247">
        <f ca="1">DSUM($B$72:$Y$77,H$72,$C$84:$D89)</f>
        <v>5.3137550598529355</v>
      </c>
      <c r="I89" s="247">
        <f ca="1">DSUM($B$72:$Y$77,I$72,$C$84:$D89)</f>
        <v>5.6692414678112648</v>
      </c>
      <c r="J89" s="247">
        <f ca="1">DSUM($B$72:$Y$77,J$72,$C$84:$D89)</f>
        <v>5.8783798142303336</v>
      </c>
      <c r="K89" s="247">
        <f ca="1">DSUM($B$72:$Y$77,K$72,$C$84:$D89)</f>
        <v>5.9488626853593125</v>
      </c>
      <c r="L89" s="247">
        <f ca="1">DSUM($B$72:$Y$77,L$72,$C$84:$D89)</f>
        <v>5.9744302291928486</v>
      </c>
      <c r="M89" s="247">
        <f ca="1">DSUM($B$72:$Y$77,M$72,$C$84:$D89)</f>
        <v>5.9818026144232554</v>
      </c>
      <c r="N89" s="247">
        <f ca="1">DSUM($B$72:$Y$77,N$72,$C$84:$D89)</f>
        <v>5.9828451815572592</v>
      </c>
      <c r="O89" s="247">
        <f ca="1">DSUM($B$72:$Y$77,O$72,$C$84:$D89)</f>
        <v>5.982558010320556</v>
      </c>
      <c r="P89" s="247">
        <f ca="1">DSUM($B$72:$Y$77,P$72,$C$84:$D89)</f>
        <v>5.9821684268980357</v>
      </c>
      <c r="Q89" s="247">
        <f ca="1">DSUM($B$72:$Y$77,Q$72,$C$84:$D89)</f>
        <v>5.9818835142446058</v>
      </c>
      <c r="R89" s="247">
        <f ca="1">DSUM($B$72:$Y$77,R$72,$C$84:$D89)</f>
        <v>5.9816847615782267</v>
      </c>
      <c r="S89" s="247">
        <f ca="1">DSUM($B$72:$Y$77,S$72,$C$84:$D89)</f>
        <v>5.9815438240996226</v>
      </c>
      <c r="T89" s="247">
        <f ca="1">DSUM($B$72:$Y$77,T$72,$C$84:$D89)</f>
        <v>5.9814397176673531</v>
      </c>
      <c r="U89" s="247">
        <f ca="1">DSUM($B$72:$Y$77,U$72,$C$84:$D89)</f>
        <v>5.9813645064391014</v>
      </c>
      <c r="V89" s="247">
        <f ca="1">DSUM($B$72:$Y$77,V$72,$C$84:$D89)</f>
        <v>5.9813008031548272</v>
      </c>
      <c r="W89" s="247">
        <f ca="1">DSUM($B$72:$Y$77,W$72,$C$84:$D89)</f>
        <v>5.9812379228458452</v>
      </c>
      <c r="X89" s="247">
        <f ca="1">DSUM($B$72:$Y$77,X$72,$C$84:$D89)</f>
        <v>5.9811786343939168</v>
      </c>
      <c r="Y89" s="166">
        <f ca="1">DSUM($B$72:$Y$77,Y$72,$C$84:$D89)</f>
        <v>54.214701088024171</v>
      </c>
    </row>
    <row r="90" spans="1:25">
      <c r="B90" s="11" t="s">
        <v>644</v>
      </c>
      <c r="C90" s="271" t="s">
        <v>694</v>
      </c>
      <c r="D90" s="271" t="s">
        <v>695</v>
      </c>
      <c r="E90" s="247">
        <f ca="1">DSUM($B$72:$Y$77,E$72,$C$84:$D90)</f>
        <v>2.6867300864424957</v>
      </c>
      <c r="F90" s="247">
        <f ca="1">DSUM($B$72:$Y$77,F$72,$C$84:$D90)</f>
        <v>3.9405374601156602</v>
      </c>
      <c r="G90" s="247">
        <f ca="1">DSUM($B$72:$Y$77,G$72,$C$84:$D90)</f>
        <v>4.7764090425644365</v>
      </c>
      <c r="H90" s="247">
        <f ca="1">DSUM($B$72:$Y$77,H$72,$C$84:$D90)</f>
        <v>5.3137550598529355</v>
      </c>
      <c r="I90" s="247">
        <f ca="1">DSUM($B$72:$Y$77,I$72,$C$84:$D90)</f>
        <v>5.6692414678112648</v>
      </c>
      <c r="J90" s="247">
        <f ca="1">DSUM($B$72:$Y$77,J$72,$C$84:$D90)</f>
        <v>5.8783798142303336</v>
      </c>
      <c r="K90" s="247">
        <f ca="1">DSUM($B$72:$Y$77,K$72,$C$84:$D90)</f>
        <v>5.9488626853593125</v>
      </c>
      <c r="L90" s="247">
        <f ca="1">DSUM($B$72:$Y$77,L$72,$C$84:$D90)</f>
        <v>5.9744302291928486</v>
      </c>
      <c r="M90" s="247">
        <f ca="1">DSUM($B$72:$Y$77,M$72,$C$84:$D90)</f>
        <v>5.9818026144232554</v>
      </c>
      <c r="N90" s="247">
        <f ca="1">DSUM($B$72:$Y$77,N$72,$C$84:$D90)</f>
        <v>5.9828451815572592</v>
      </c>
      <c r="O90" s="247">
        <f ca="1">DSUM($B$72:$Y$77,O$72,$C$84:$D90)</f>
        <v>5.982558010320556</v>
      </c>
      <c r="P90" s="247">
        <f ca="1">DSUM($B$72:$Y$77,P$72,$C$84:$D90)</f>
        <v>5.9821684268980357</v>
      </c>
      <c r="Q90" s="247">
        <f ca="1">DSUM($B$72:$Y$77,Q$72,$C$84:$D90)</f>
        <v>5.9818835142446058</v>
      </c>
      <c r="R90" s="247">
        <f ca="1">DSUM($B$72:$Y$77,R$72,$C$84:$D90)</f>
        <v>5.9816847615782267</v>
      </c>
      <c r="S90" s="247">
        <f ca="1">DSUM($B$72:$Y$77,S$72,$C$84:$D90)</f>
        <v>5.9815438240996226</v>
      </c>
      <c r="T90" s="247">
        <f ca="1">DSUM($B$72:$Y$77,T$72,$C$84:$D90)</f>
        <v>5.9814397176673531</v>
      </c>
      <c r="U90" s="247">
        <f ca="1">DSUM($B$72:$Y$77,U$72,$C$84:$D90)</f>
        <v>5.9813645064391014</v>
      </c>
      <c r="V90" s="247">
        <f ca="1">DSUM($B$72:$Y$77,V$72,$C$84:$D90)</f>
        <v>5.9813008031548272</v>
      </c>
      <c r="W90" s="247">
        <f ca="1">DSUM($B$72:$Y$77,W$72,$C$84:$D90)</f>
        <v>5.9812379228458452</v>
      </c>
      <c r="X90" s="247">
        <f ca="1">DSUM($B$72:$Y$77,X$72,$C$84:$D90)</f>
        <v>5.9811786343939168</v>
      </c>
      <c r="Y90" s="166">
        <f ca="1">DSUM($B$72:$Y$77,Y$72,$C$84:$D90)</f>
        <v>54.214701088024171</v>
      </c>
    </row>
    <row r="91" spans="1:25">
      <c r="B91" s="11" t="s">
        <v>645</v>
      </c>
      <c r="C91" s="271" t="s">
        <v>696</v>
      </c>
      <c r="D91" s="271" t="s">
        <v>697</v>
      </c>
      <c r="E91" s="247">
        <f ca="1">DSUM($B$72:$Y$77,E$72,$C$84:$D91)</f>
        <v>2.6867300864424957</v>
      </c>
      <c r="F91" s="247">
        <f ca="1">DSUM($B$72:$Y$77,F$72,$C$84:$D91)</f>
        <v>3.9405374601156602</v>
      </c>
      <c r="G91" s="247">
        <f ca="1">DSUM($B$72:$Y$77,G$72,$C$84:$D91)</f>
        <v>4.7764090425644365</v>
      </c>
      <c r="H91" s="247">
        <f ca="1">DSUM($B$72:$Y$77,H$72,$C$84:$D91)</f>
        <v>5.3137550598529355</v>
      </c>
      <c r="I91" s="247">
        <f ca="1">DSUM($B$72:$Y$77,I$72,$C$84:$D91)</f>
        <v>5.6692414678112648</v>
      </c>
      <c r="J91" s="247">
        <f ca="1">DSUM($B$72:$Y$77,J$72,$C$84:$D91)</f>
        <v>5.8783798142303336</v>
      </c>
      <c r="K91" s="247">
        <f ca="1">DSUM($B$72:$Y$77,K$72,$C$84:$D91)</f>
        <v>5.9488626853593125</v>
      </c>
      <c r="L91" s="247">
        <f ca="1">DSUM($B$72:$Y$77,L$72,$C$84:$D91)</f>
        <v>5.9744302291928486</v>
      </c>
      <c r="M91" s="247">
        <f ca="1">DSUM($B$72:$Y$77,M$72,$C$84:$D91)</f>
        <v>5.9818026144232554</v>
      </c>
      <c r="N91" s="247">
        <f ca="1">DSUM($B$72:$Y$77,N$72,$C$84:$D91)</f>
        <v>5.9828451815572592</v>
      </c>
      <c r="O91" s="247">
        <f ca="1">DSUM($B$72:$Y$77,O$72,$C$84:$D91)</f>
        <v>5.982558010320556</v>
      </c>
      <c r="P91" s="247">
        <f ca="1">DSUM($B$72:$Y$77,P$72,$C$84:$D91)</f>
        <v>5.9821684268980357</v>
      </c>
      <c r="Q91" s="247">
        <f ca="1">DSUM($B$72:$Y$77,Q$72,$C$84:$D91)</f>
        <v>5.9818835142446058</v>
      </c>
      <c r="R91" s="247">
        <f ca="1">DSUM($B$72:$Y$77,R$72,$C$84:$D91)</f>
        <v>5.9816847615782267</v>
      </c>
      <c r="S91" s="247">
        <f ca="1">DSUM($B$72:$Y$77,S$72,$C$84:$D91)</f>
        <v>5.9815438240996226</v>
      </c>
      <c r="T91" s="247">
        <f ca="1">DSUM($B$72:$Y$77,T$72,$C$84:$D91)</f>
        <v>5.9814397176673531</v>
      </c>
      <c r="U91" s="247">
        <f ca="1">DSUM($B$72:$Y$77,U$72,$C$84:$D91)</f>
        <v>5.9813645064391014</v>
      </c>
      <c r="V91" s="247">
        <f ca="1">DSUM($B$72:$Y$77,V$72,$C$84:$D91)</f>
        <v>5.9813008031548272</v>
      </c>
      <c r="W91" s="247">
        <f ca="1">DSUM($B$72:$Y$77,W$72,$C$84:$D91)</f>
        <v>5.9812379228458452</v>
      </c>
      <c r="X91" s="247">
        <f ca="1">DSUM($B$72:$Y$77,X$72,$C$84:$D91)</f>
        <v>5.9811786343939168</v>
      </c>
      <c r="Y91" s="166">
        <f ca="1">DSUM($B$72:$Y$77,Y$72,$C$84:$D91)</f>
        <v>54.214701088024171</v>
      </c>
    </row>
    <row r="92" spans="1:25">
      <c r="B92" s="11" t="s">
        <v>646</v>
      </c>
      <c r="C92" s="271" t="s">
        <v>698</v>
      </c>
      <c r="D92" s="271" t="s">
        <v>699</v>
      </c>
      <c r="E92" s="247">
        <f ca="1">DSUM($B$72:$Y$77,E$72,$C$84:$D92)</f>
        <v>2.6867300864424957</v>
      </c>
      <c r="F92" s="247">
        <f ca="1">DSUM($B$72:$Y$77,F$72,$C$84:$D92)</f>
        <v>3.9405374601156602</v>
      </c>
      <c r="G92" s="247">
        <f ca="1">DSUM($B$72:$Y$77,G$72,$C$84:$D92)</f>
        <v>4.7764090425644365</v>
      </c>
      <c r="H92" s="247">
        <f ca="1">DSUM($B$72:$Y$77,H$72,$C$84:$D92)</f>
        <v>5.3137550598529355</v>
      </c>
      <c r="I92" s="247">
        <f ca="1">DSUM($B$72:$Y$77,I$72,$C$84:$D92)</f>
        <v>5.6692414678112648</v>
      </c>
      <c r="J92" s="247">
        <f ca="1">DSUM($B$72:$Y$77,J$72,$C$84:$D92)</f>
        <v>5.8783798142303336</v>
      </c>
      <c r="K92" s="247">
        <f ca="1">DSUM($B$72:$Y$77,K$72,$C$84:$D92)</f>
        <v>5.9488626853593125</v>
      </c>
      <c r="L92" s="247">
        <f ca="1">DSUM($B$72:$Y$77,L$72,$C$84:$D92)</f>
        <v>5.9744302291928486</v>
      </c>
      <c r="M92" s="247">
        <f ca="1">DSUM($B$72:$Y$77,M$72,$C$84:$D92)</f>
        <v>5.9818026144232554</v>
      </c>
      <c r="N92" s="247">
        <f ca="1">DSUM($B$72:$Y$77,N$72,$C$84:$D92)</f>
        <v>5.9828451815572592</v>
      </c>
      <c r="O92" s="247">
        <f ca="1">DSUM($B$72:$Y$77,O$72,$C$84:$D92)</f>
        <v>5.982558010320556</v>
      </c>
      <c r="P92" s="247">
        <f ca="1">DSUM($B$72:$Y$77,P$72,$C$84:$D92)</f>
        <v>5.9821684268980357</v>
      </c>
      <c r="Q92" s="247">
        <f ca="1">DSUM($B$72:$Y$77,Q$72,$C$84:$D92)</f>
        <v>5.9818835142446058</v>
      </c>
      <c r="R92" s="247">
        <f ca="1">DSUM($B$72:$Y$77,R$72,$C$84:$D92)</f>
        <v>5.9816847615782267</v>
      </c>
      <c r="S92" s="247">
        <f ca="1">DSUM($B$72:$Y$77,S$72,$C$84:$D92)</f>
        <v>5.9815438240996226</v>
      </c>
      <c r="T92" s="247">
        <f ca="1">DSUM($B$72:$Y$77,T$72,$C$84:$D92)</f>
        <v>5.9814397176673531</v>
      </c>
      <c r="U92" s="247">
        <f ca="1">DSUM($B$72:$Y$77,U$72,$C$84:$D92)</f>
        <v>5.9813645064391014</v>
      </c>
      <c r="V92" s="247">
        <f ca="1">DSUM($B$72:$Y$77,V$72,$C$84:$D92)</f>
        <v>5.9813008031548272</v>
      </c>
      <c r="W92" s="247">
        <f ca="1">DSUM($B$72:$Y$77,W$72,$C$84:$D92)</f>
        <v>5.9812379228458452</v>
      </c>
      <c r="X92" s="247">
        <f ca="1">DSUM($B$72:$Y$77,X$72,$C$84:$D92)</f>
        <v>5.9811786343939168</v>
      </c>
      <c r="Y92" s="166">
        <f ca="1">DSUM($B$72:$Y$77,Y$72,$C$84:$D92)</f>
        <v>54.214701088024171</v>
      </c>
    </row>
    <row r="93" spans="1:25">
      <c r="B93" s="11" t="s">
        <v>647</v>
      </c>
      <c r="C93" s="271" t="s">
        <v>700</v>
      </c>
      <c r="D93" s="271" t="s">
        <v>701</v>
      </c>
      <c r="E93" s="247">
        <f ca="1">DSUM($B$72:$Y$77,E$72,$C$84:$D93)</f>
        <v>2.6867300864424957</v>
      </c>
      <c r="F93" s="247">
        <f ca="1">DSUM($B$72:$Y$77,F$72,$C$84:$D93)</f>
        <v>3.9405374601156602</v>
      </c>
      <c r="G93" s="247">
        <f ca="1">DSUM($B$72:$Y$77,G$72,$C$84:$D93)</f>
        <v>4.7764090425644365</v>
      </c>
      <c r="H93" s="247">
        <f ca="1">DSUM($B$72:$Y$77,H$72,$C$84:$D93)</f>
        <v>5.3137550598529355</v>
      </c>
      <c r="I93" s="247">
        <f ca="1">DSUM($B$72:$Y$77,I$72,$C$84:$D93)</f>
        <v>5.6692414678112648</v>
      </c>
      <c r="J93" s="247">
        <f ca="1">DSUM($B$72:$Y$77,J$72,$C$84:$D93)</f>
        <v>5.8783798142303336</v>
      </c>
      <c r="K93" s="247">
        <f ca="1">DSUM($B$72:$Y$77,K$72,$C$84:$D93)</f>
        <v>5.9488626853593125</v>
      </c>
      <c r="L93" s="247">
        <f ca="1">DSUM($B$72:$Y$77,L$72,$C$84:$D93)</f>
        <v>5.9744302291928486</v>
      </c>
      <c r="M93" s="247">
        <f ca="1">DSUM($B$72:$Y$77,M$72,$C$84:$D93)</f>
        <v>5.9818026144232554</v>
      </c>
      <c r="N93" s="247">
        <f ca="1">DSUM($B$72:$Y$77,N$72,$C$84:$D93)</f>
        <v>5.9828451815572592</v>
      </c>
      <c r="O93" s="247">
        <f ca="1">DSUM($B$72:$Y$77,O$72,$C$84:$D93)</f>
        <v>5.982558010320556</v>
      </c>
      <c r="P93" s="247">
        <f ca="1">DSUM($B$72:$Y$77,P$72,$C$84:$D93)</f>
        <v>5.9821684268980357</v>
      </c>
      <c r="Q93" s="247">
        <f ca="1">DSUM($B$72:$Y$77,Q$72,$C$84:$D93)</f>
        <v>5.9818835142446058</v>
      </c>
      <c r="R93" s="247">
        <f ca="1">DSUM($B$72:$Y$77,R$72,$C$84:$D93)</f>
        <v>5.9816847615782267</v>
      </c>
      <c r="S93" s="247">
        <f ca="1">DSUM($B$72:$Y$77,S$72,$C$84:$D93)</f>
        <v>5.9815438240996226</v>
      </c>
      <c r="T93" s="247">
        <f ca="1">DSUM($B$72:$Y$77,T$72,$C$84:$D93)</f>
        <v>5.9814397176673531</v>
      </c>
      <c r="U93" s="247">
        <f ca="1">DSUM($B$72:$Y$77,U$72,$C$84:$D93)</f>
        <v>5.9813645064391014</v>
      </c>
      <c r="V93" s="247">
        <f ca="1">DSUM($B$72:$Y$77,V$72,$C$84:$D93)</f>
        <v>5.9813008031548272</v>
      </c>
      <c r="W93" s="247">
        <f ca="1">DSUM($B$72:$Y$77,W$72,$C$84:$D93)</f>
        <v>5.9812379228458452</v>
      </c>
      <c r="X93" s="247">
        <f ca="1">DSUM($B$72:$Y$77,X$72,$C$84:$D93)</f>
        <v>5.9811786343939168</v>
      </c>
      <c r="Y93" s="166">
        <f ca="1">DSUM($B$72:$Y$77,Y$72,$C$84:$D93)</f>
        <v>54.214701088024171</v>
      </c>
    </row>
    <row r="94" spans="1:25">
      <c r="B94" s="11" t="s">
        <v>648</v>
      </c>
      <c r="C94" s="271" t="s">
        <v>702</v>
      </c>
      <c r="D94" s="271" t="s">
        <v>703</v>
      </c>
      <c r="E94" s="247">
        <f ca="1">DSUM($B$72:$Y$77,E$72,$C$84:$D94)</f>
        <v>2.6867300864424957</v>
      </c>
      <c r="F94" s="247">
        <f ca="1">DSUM($B$72:$Y$77,F$72,$C$84:$D94)</f>
        <v>3.9405374601156602</v>
      </c>
      <c r="G94" s="247">
        <f ca="1">DSUM($B$72:$Y$77,G$72,$C$84:$D94)</f>
        <v>4.7764090425644365</v>
      </c>
      <c r="H94" s="247">
        <f ca="1">DSUM($B$72:$Y$77,H$72,$C$84:$D94)</f>
        <v>5.3137550598529355</v>
      </c>
      <c r="I94" s="247">
        <f ca="1">DSUM($B$72:$Y$77,I$72,$C$84:$D94)</f>
        <v>5.6692414678112648</v>
      </c>
      <c r="J94" s="247">
        <f ca="1">DSUM($B$72:$Y$77,J$72,$C$84:$D94)</f>
        <v>5.8783798142303336</v>
      </c>
      <c r="K94" s="247">
        <f ca="1">DSUM($B$72:$Y$77,K$72,$C$84:$D94)</f>
        <v>5.9488626853593125</v>
      </c>
      <c r="L94" s="247">
        <f ca="1">DSUM($B$72:$Y$77,L$72,$C$84:$D94)</f>
        <v>5.9744302291928486</v>
      </c>
      <c r="M94" s="247">
        <f ca="1">DSUM($B$72:$Y$77,M$72,$C$84:$D94)</f>
        <v>5.9818026144232554</v>
      </c>
      <c r="N94" s="247">
        <f ca="1">DSUM($B$72:$Y$77,N$72,$C$84:$D94)</f>
        <v>5.9828451815572592</v>
      </c>
      <c r="O94" s="247">
        <f ca="1">DSUM($B$72:$Y$77,O$72,$C$84:$D94)</f>
        <v>5.982558010320556</v>
      </c>
      <c r="P94" s="247">
        <f ca="1">DSUM($B$72:$Y$77,P$72,$C$84:$D94)</f>
        <v>5.9821684268980357</v>
      </c>
      <c r="Q94" s="247">
        <f ca="1">DSUM($B$72:$Y$77,Q$72,$C$84:$D94)</f>
        <v>5.9818835142446058</v>
      </c>
      <c r="R94" s="247">
        <f ca="1">DSUM($B$72:$Y$77,R$72,$C$84:$D94)</f>
        <v>5.9816847615782267</v>
      </c>
      <c r="S94" s="247">
        <f ca="1">DSUM($B$72:$Y$77,S$72,$C$84:$D94)</f>
        <v>5.9815438240996226</v>
      </c>
      <c r="T94" s="247">
        <f ca="1">DSUM($B$72:$Y$77,T$72,$C$84:$D94)</f>
        <v>5.9814397176673531</v>
      </c>
      <c r="U94" s="247">
        <f ca="1">DSUM($B$72:$Y$77,U$72,$C$84:$D94)</f>
        <v>5.9813645064391014</v>
      </c>
      <c r="V94" s="247">
        <f ca="1">DSUM($B$72:$Y$77,V$72,$C$84:$D94)</f>
        <v>5.9813008031548272</v>
      </c>
      <c r="W94" s="247">
        <f ca="1">DSUM($B$72:$Y$77,W$72,$C$84:$D94)</f>
        <v>5.9812379228458452</v>
      </c>
      <c r="X94" s="247">
        <f ca="1">DSUM($B$72:$Y$77,X$72,$C$84:$D94)</f>
        <v>5.9811786343939168</v>
      </c>
      <c r="Y94" s="166">
        <f ca="1">DSUM($B$72:$Y$77,Y$72,$C$84:$D94)</f>
        <v>54.214701088024171</v>
      </c>
    </row>
    <row r="95" spans="1:25">
      <c r="B95" s="11" t="s">
        <v>649</v>
      </c>
      <c r="C95" s="271" t="s">
        <v>704</v>
      </c>
      <c r="D95" s="271" t="s">
        <v>705</v>
      </c>
      <c r="E95" s="247">
        <f ca="1">DSUM($B$72:$Y$77,E$72,$C$84:$D95)</f>
        <v>2.6867300864424957</v>
      </c>
      <c r="F95" s="247">
        <f ca="1">DSUM($B$72:$Y$77,F$72,$C$84:$D95)</f>
        <v>3.9405374601156602</v>
      </c>
      <c r="G95" s="247">
        <f ca="1">DSUM($B$72:$Y$77,G$72,$C$84:$D95)</f>
        <v>4.7764090425644365</v>
      </c>
      <c r="H95" s="247">
        <f ca="1">DSUM($B$72:$Y$77,H$72,$C$84:$D95)</f>
        <v>5.3137550598529355</v>
      </c>
      <c r="I95" s="247">
        <f ca="1">DSUM($B$72:$Y$77,I$72,$C$84:$D95)</f>
        <v>5.6692414678112648</v>
      </c>
      <c r="J95" s="247">
        <f ca="1">DSUM($B$72:$Y$77,J$72,$C$84:$D95)</f>
        <v>5.8783798142303336</v>
      </c>
      <c r="K95" s="247">
        <f ca="1">DSUM($B$72:$Y$77,K$72,$C$84:$D95)</f>
        <v>5.9488626853593125</v>
      </c>
      <c r="L95" s="247">
        <f ca="1">DSUM($B$72:$Y$77,L$72,$C$84:$D95)</f>
        <v>5.9744302291928486</v>
      </c>
      <c r="M95" s="247">
        <f ca="1">DSUM($B$72:$Y$77,M$72,$C$84:$D95)</f>
        <v>5.9818026144232554</v>
      </c>
      <c r="N95" s="247">
        <f ca="1">DSUM($B$72:$Y$77,N$72,$C$84:$D95)</f>
        <v>5.9828451815572592</v>
      </c>
      <c r="O95" s="247">
        <f ca="1">DSUM($B$72:$Y$77,O$72,$C$84:$D95)</f>
        <v>5.982558010320556</v>
      </c>
      <c r="P95" s="247">
        <f ca="1">DSUM($B$72:$Y$77,P$72,$C$84:$D95)</f>
        <v>5.9821684268980357</v>
      </c>
      <c r="Q95" s="247">
        <f ca="1">DSUM($B$72:$Y$77,Q$72,$C$84:$D95)</f>
        <v>5.9818835142446058</v>
      </c>
      <c r="R95" s="247">
        <f ca="1">DSUM($B$72:$Y$77,R$72,$C$84:$D95)</f>
        <v>5.9816847615782267</v>
      </c>
      <c r="S95" s="247">
        <f ca="1">DSUM($B$72:$Y$77,S$72,$C$84:$D95)</f>
        <v>5.9815438240996226</v>
      </c>
      <c r="T95" s="247">
        <f ca="1">DSUM($B$72:$Y$77,T$72,$C$84:$D95)</f>
        <v>5.9814397176673531</v>
      </c>
      <c r="U95" s="247">
        <f ca="1">DSUM($B$72:$Y$77,U$72,$C$84:$D95)</f>
        <v>5.9813645064391014</v>
      </c>
      <c r="V95" s="247">
        <f ca="1">DSUM($B$72:$Y$77,V$72,$C$84:$D95)</f>
        <v>5.9813008031548272</v>
      </c>
      <c r="W95" s="247">
        <f ca="1">DSUM($B$72:$Y$77,W$72,$C$84:$D95)</f>
        <v>5.9812379228458452</v>
      </c>
      <c r="X95" s="247">
        <f ca="1">DSUM($B$72:$Y$77,X$72,$C$84:$D95)</f>
        <v>5.9811786343939168</v>
      </c>
      <c r="Y95" s="166">
        <f ca="1">DSUM($B$72:$Y$77,Y$72,$C$84:$D95)</f>
        <v>54.214701088024171</v>
      </c>
    </row>
    <row r="96" spans="1:25">
      <c r="B96" s="11" t="s">
        <v>650</v>
      </c>
      <c r="C96" s="271" t="s">
        <v>706</v>
      </c>
      <c r="D96" s="271" t="s">
        <v>707</v>
      </c>
      <c r="E96" s="247">
        <f ca="1">DSUM($B$72:$Y$77,E$72,$C$84:$D96)</f>
        <v>2.6867300864424957</v>
      </c>
      <c r="F96" s="247">
        <f ca="1">DSUM($B$72:$Y$77,F$72,$C$84:$D96)</f>
        <v>3.9405374601156602</v>
      </c>
      <c r="G96" s="247">
        <f ca="1">DSUM($B$72:$Y$77,G$72,$C$84:$D96)</f>
        <v>4.7764090425644365</v>
      </c>
      <c r="H96" s="247">
        <f ca="1">DSUM($B$72:$Y$77,H$72,$C$84:$D96)</f>
        <v>5.3137550598529355</v>
      </c>
      <c r="I96" s="247">
        <f ca="1">DSUM($B$72:$Y$77,I$72,$C$84:$D96)</f>
        <v>5.6692414678112648</v>
      </c>
      <c r="J96" s="247">
        <f ca="1">DSUM($B$72:$Y$77,J$72,$C$84:$D96)</f>
        <v>5.8783798142303336</v>
      </c>
      <c r="K96" s="247">
        <f ca="1">DSUM($B$72:$Y$77,K$72,$C$84:$D96)</f>
        <v>5.9488626853593125</v>
      </c>
      <c r="L96" s="247">
        <f ca="1">DSUM($B$72:$Y$77,L$72,$C$84:$D96)</f>
        <v>5.9744302291928486</v>
      </c>
      <c r="M96" s="247">
        <f ca="1">DSUM($B$72:$Y$77,M$72,$C$84:$D96)</f>
        <v>5.9818026144232554</v>
      </c>
      <c r="N96" s="247">
        <f ca="1">DSUM($B$72:$Y$77,N$72,$C$84:$D96)</f>
        <v>5.9828451815572592</v>
      </c>
      <c r="O96" s="247">
        <f ca="1">DSUM($B$72:$Y$77,O$72,$C$84:$D96)</f>
        <v>5.982558010320556</v>
      </c>
      <c r="P96" s="247">
        <f ca="1">DSUM($B$72:$Y$77,P$72,$C$84:$D96)</f>
        <v>5.9821684268980357</v>
      </c>
      <c r="Q96" s="247">
        <f ca="1">DSUM($B$72:$Y$77,Q$72,$C$84:$D96)</f>
        <v>5.9818835142446058</v>
      </c>
      <c r="R96" s="247">
        <f ca="1">DSUM($B$72:$Y$77,R$72,$C$84:$D96)</f>
        <v>5.9816847615782267</v>
      </c>
      <c r="S96" s="247">
        <f ca="1">DSUM($B$72:$Y$77,S$72,$C$84:$D96)</f>
        <v>5.9815438240996226</v>
      </c>
      <c r="T96" s="247">
        <f ca="1">DSUM($B$72:$Y$77,T$72,$C$84:$D96)</f>
        <v>5.9814397176673531</v>
      </c>
      <c r="U96" s="247">
        <f ca="1">DSUM($B$72:$Y$77,U$72,$C$84:$D96)</f>
        <v>5.9813645064391014</v>
      </c>
      <c r="V96" s="247">
        <f ca="1">DSUM($B$72:$Y$77,V$72,$C$84:$D96)</f>
        <v>5.9813008031548272</v>
      </c>
      <c r="W96" s="247">
        <f ca="1">DSUM($B$72:$Y$77,W$72,$C$84:$D96)</f>
        <v>5.9812379228458452</v>
      </c>
      <c r="X96" s="247">
        <f ca="1">DSUM($B$72:$Y$77,X$72,$C$84:$D96)</f>
        <v>5.9811786343939168</v>
      </c>
      <c r="Y96" s="166">
        <f ca="1">DSUM($B$72:$Y$77,Y$72,$C$84:$D96)</f>
        <v>54.214701088024171</v>
      </c>
    </row>
    <row r="97" spans="2:25">
      <c r="B97" s="11" t="s">
        <v>651</v>
      </c>
      <c r="C97" s="271" t="s">
        <v>708</v>
      </c>
      <c r="D97" s="271" t="s">
        <v>709</v>
      </c>
      <c r="E97" s="247">
        <f ca="1">DSUM($B$72:$Y$77,E$72,$C$84:$D97)</f>
        <v>2.6867300864424957</v>
      </c>
      <c r="F97" s="247">
        <f ca="1">DSUM($B$72:$Y$77,F$72,$C$84:$D97)</f>
        <v>3.9405374601156602</v>
      </c>
      <c r="G97" s="247">
        <f ca="1">DSUM($B$72:$Y$77,G$72,$C$84:$D97)</f>
        <v>4.7764090425644365</v>
      </c>
      <c r="H97" s="247">
        <f ca="1">DSUM($B$72:$Y$77,H$72,$C$84:$D97)</f>
        <v>5.3137550598529355</v>
      </c>
      <c r="I97" s="247">
        <f ca="1">DSUM($B$72:$Y$77,I$72,$C$84:$D97)</f>
        <v>5.6692414678112648</v>
      </c>
      <c r="J97" s="247">
        <f ca="1">DSUM($B$72:$Y$77,J$72,$C$84:$D97)</f>
        <v>5.8783798142303336</v>
      </c>
      <c r="K97" s="247">
        <f ca="1">DSUM($B$72:$Y$77,K$72,$C$84:$D97)</f>
        <v>5.9488626853593125</v>
      </c>
      <c r="L97" s="247">
        <f ca="1">DSUM($B$72:$Y$77,L$72,$C$84:$D97)</f>
        <v>5.9744302291928486</v>
      </c>
      <c r="M97" s="247">
        <f ca="1">DSUM($B$72:$Y$77,M$72,$C$84:$D97)</f>
        <v>5.9818026144232554</v>
      </c>
      <c r="N97" s="247">
        <f ca="1">DSUM($B$72:$Y$77,N$72,$C$84:$D97)</f>
        <v>5.9828451815572592</v>
      </c>
      <c r="O97" s="247">
        <f ca="1">DSUM($B$72:$Y$77,O$72,$C$84:$D97)</f>
        <v>5.982558010320556</v>
      </c>
      <c r="P97" s="247">
        <f ca="1">DSUM($B$72:$Y$77,P$72,$C$84:$D97)</f>
        <v>5.9821684268980357</v>
      </c>
      <c r="Q97" s="247">
        <f ca="1">DSUM($B$72:$Y$77,Q$72,$C$84:$D97)</f>
        <v>5.9818835142446058</v>
      </c>
      <c r="R97" s="247">
        <f ca="1">DSUM($B$72:$Y$77,R$72,$C$84:$D97)</f>
        <v>5.9816847615782267</v>
      </c>
      <c r="S97" s="247">
        <f ca="1">DSUM($B$72:$Y$77,S$72,$C$84:$D97)</f>
        <v>5.9815438240996226</v>
      </c>
      <c r="T97" s="247">
        <f ca="1">DSUM($B$72:$Y$77,T$72,$C$84:$D97)</f>
        <v>5.9814397176673531</v>
      </c>
      <c r="U97" s="247">
        <f ca="1">DSUM($B$72:$Y$77,U$72,$C$84:$D97)</f>
        <v>5.9813645064391014</v>
      </c>
      <c r="V97" s="247">
        <f ca="1">DSUM($B$72:$Y$77,V$72,$C$84:$D97)</f>
        <v>5.9813008031548272</v>
      </c>
      <c r="W97" s="247">
        <f ca="1">DSUM($B$72:$Y$77,W$72,$C$84:$D97)</f>
        <v>5.9812379228458452</v>
      </c>
      <c r="X97" s="247">
        <f ca="1">DSUM($B$72:$Y$77,X$72,$C$84:$D97)</f>
        <v>5.9811786343939168</v>
      </c>
      <c r="Y97" s="166">
        <f ca="1">DSUM($B$72:$Y$77,Y$72,$C$84:$D97)</f>
        <v>54.214701088024171</v>
      </c>
    </row>
    <row r="98" spans="2:25">
      <c r="B98" s="11" t="s">
        <v>652</v>
      </c>
      <c r="C98" s="271" t="s">
        <v>710</v>
      </c>
      <c r="D98" s="271" t="s">
        <v>711</v>
      </c>
      <c r="E98" s="247">
        <f ca="1">DSUM($B$72:$Y$77,E$72,$C$84:$D98)</f>
        <v>2.6867300864424957</v>
      </c>
      <c r="F98" s="247">
        <f ca="1">DSUM($B$72:$Y$77,F$72,$C$84:$D98)</f>
        <v>3.9405374601156602</v>
      </c>
      <c r="G98" s="247">
        <f ca="1">DSUM($B$72:$Y$77,G$72,$C$84:$D98)</f>
        <v>4.7764090425644365</v>
      </c>
      <c r="H98" s="247">
        <f ca="1">DSUM($B$72:$Y$77,H$72,$C$84:$D98)</f>
        <v>5.3137550598529355</v>
      </c>
      <c r="I98" s="247">
        <f ca="1">DSUM($B$72:$Y$77,I$72,$C$84:$D98)</f>
        <v>5.6692414678112648</v>
      </c>
      <c r="J98" s="247">
        <f ca="1">DSUM($B$72:$Y$77,J$72,$C$84:$D98)</f>
        <v>5.8783798142303336</v>
      </c>
      <c r="K98" s="247">
        <f ca="1">DSUM($B$72:$Y$77,K$72,$C$84:$D98)</f>
        <v>5.9488626853593125</v>
      </c>
      <c r="L98" s="247">
        <f ca="1">DSUM($B$72:$Y$77,L$72,$C$84:$D98)</f>
        <v>5.9744302291928486</v>
      </c>
      <c r="M98" s="247">
        <f ca="1">DSUM($B$72:$Y$77,M$72,$C$84:$D98)</f>
        <v>5.9818026144232554</v>
      </c>
      <c r="N98" s="247">
        <f ca="1">DSUM($B$72:$Y$77,N$72,$C$84:$D98)</f>
        <v>5.9828451815572592</v>
      </c>
      <c r="O98" s="247">
        <f ca="1">DSUM($B$72:$Y$77,O$72,$C$84:$D98)</f>
        <v>5.982558010320556</v>
      </c>
      <c r="P98" s="247">
        <f ca="1">DSUM($B$72:$Y$77,P$72,$C$84:$D98)</f>
        <v>5.9821684268980357</v>
      </c>
      <c r="Q98" s="247">
        <f ca="1">DSUM($B$72:$Y$77,Q$72,$C$84:$D98)</f>
        <v>5.9818835142446058</v>
      </c>
      <c r="R98" s="247">
        <f ca="1">DSUM($B$72:$Y$77,R$72,$C$84:$D98)</f>
        <v>5.9816847615782267</v>
      </c>
      <c r="S98" s="247">
        <f ca="1">DSUM($B$72:$Y$77,S$72,$C$84:$D98)</f>
        <v>5.9815438240996226</v>
      </c>
      <c r="T98" s="247">
        <f ca="1">DSUM($B$72:$Y$77,T$72,$C$84:$D98)</f>
        <v>5.9814397176673531</v>
      </c>
      <c r="U98" s="247">
        <f ca="1">DSUM($B$72:$Y$77,U$72,$C$84:$D98)</f>
        <v>5.9813645064391014</v>
      </c>
      <c r="V98" s="247">
        <f ca="1">DSUM($B$72:$Y$77,V$72,$C$84:$D98)</f>
        <v>5.9813008031548272</v>
      </c>
      <c r="W98" s="247">
        <f ca="1">DSUM($B$72:$Y$77,W$72,$C$84:$D98)</f>
        <v>5.9812379228458452</v>
      </c>
      <c r="X98" s="247">
        <f ca="1">DSUM($B$72:$Y$77,X$72,$C$84:$D98)</f>
        <v>5.9811786343939168</v>
      </c>
      <c r="Y98" s="166">
        <f ca="1">DSUM($B$72:$Y$77,Y$72,$C$84:$D98)</f>
        <v>54.214701088024171</v>
      </c>
    </row>
    <row r="99" spans="2:25">
      <c r="B99" s="11" t="s">
        <v>653</v>
      </c>
      <c r="C99" s="271" t="s">
        <v>712</v>
      </c>
      <c r="D99" s="271" t="s">
        <v>713</v>
      </c>
      <c r="E99" s="247">
        <f ca="1">DSUM($B$72:$Y$77,E$72,$C$84:$D99)</f>
        <v>2.6867300864424957</v>
      </c>
      <c r="F99" s="247">
        <f ca="1">DSUM($B$72:$Y$77,F$72,$C$84:$D99)</f>
        <v>3.9405374601156602</v>
      </c>
      <c r="G99" s="247">
        <f ca="1">DSUM($B$72:$Y$77,G$72,$C$84:$D99)</f>
        <v>4.7764090425644365</v>
      </c>
      <c r="H99" s="247">
        <f ca="1">DSUM($B$72:$Y$77,H$72,$C$84:$D99)</f>
        <v>5.3137550598529355</v>
      </c>
      <c r="I99" s="247">
        <f ca="1">DSUM($B$72:$Y$77,I$72,$C$84:$D99)</f>
        <v>5.6692414678112648</v>
      </c>
      <c r="J99" s="247">
        <f ca="1">DSUM($B$72:$Y$77,J$72,$C$84:$D99)</f>
        <v>5.8783798142303336</v>
      </c>
      <c r="K99" s="247">
        <f ca="1">DSUM($B$72:$Y$77,K$72,$C$84:$D99)</f>
        <v>5.9488626853593125</v>
      </c>
      <c r="L99" s="247">
        <f ca="1">DSUM($B$72:$Y$77,L$72,$C$84:$D99)</f>
        <v>5.9744302291928486</v>
      </c>
      <c r="M99" s="247">
        <f ca="1">DSUM($B$72:$Y$77,M$72,$C$84:$D99)</f>
        <v>5.9818026144232554</v>
      </c>
      <c r="N99" s="247">
        <f ca="1">DSUM($B$72:$Y$77,N$72,$C$84:$D99)</f>
        <v>5.9828451815572592</v>
      </c>
      <c r="O99" s="247">
        <f ca="1">DSUM($B$72:$Y$77,O$72,$C$84:$D99)</f>
        <v>5.982558010320556</v>
      </c>
      <c r="P99" s="247">
        <f ca="1">DSUM($B$72:$Y$77,P$72,$C$84:$D99)</f>
        <v>5.9821684268980357</v>
      </c>
      <c r="Q99" s="247">
        <f ca="1">DSUM($B$72:$Y$77,Q$72,$C$84:$D99)</f>
        <v>5.9818835142446058</v>
      </c>
      <c r="R99" s="247">
        <f ca="1">DSUM($B$72:$Y$77,R$72,$C$84:$D99)</f>
        <v>5.9816847615782267</v>
      </c>
      <c r="S99" s="247">
        <f ca="1">DSUM($B$72:$Y$77,S$72,$C$84:$D99)</f>
        <v>5.9815438240996226</v>
      </c>
      <c r="T99" s="247">
        <f ca="1">DSUM($B$72:$Y$77,T$72,$C$84:$D99)</f>
        <v>5.9814397176673531</v>
      </c>
      <c r="U99" s="247">
        <f ca="1">DSUM($B$72:$Y$77,U$72,$C$84:$D99)</f>
        <v>5.9813645064391014</v>
      </c>
      <c r="V99" s="247">
        <f ca="1">DSUM($B$72:$Y$77,V$72,$C$84:$D99)</f>
        <v>5.9813008031548272</v>
      </c>
      <c r="W99" s="247">
        <f ca="1">DSUM($B$72:$Y$77,W$72,$C$84:$D99)</f>
        <v>5.9812379228458452</v>
      </c>
      <c r="X99" s="247">
        <f ca="1">DSUM($B$72:$Y$77,X$72,$C$84:$D99)</f>
        <v>5.9811786343939168</v>
      </c>
      <c r="Y99" s="166">
        <f ca="1">DSUM($B$72:$Y$77,Y$72,$C$84:$D99)</f>
        <v>54.214701088024171</v>
      </c>
    </row>
    <row r="100" spans="2:25">
      <c r="B100" s="11" t="s">
        <v>654</v>
      </c>
      <c r="C100" s="271" t="s">
        <v>714</v>
      </c>
      <c r="D100" s="271" t="s">
        <v>715</v>
      </c>
      <c r="E100" s="247">
        <f ca="1">DSUM($B$72:$Y$77,E$72,$C$84:$D100)</f>
        <v>2.6867300864424957</v>
      </c>
      <c r="F100" s="247">
        <f ca="1">DSUM($B$72:$Y$77,F$72,$C$84:$D100)</f>
        <v>3.9405374601156602</v>
      </c>
      <c r="G100" s="247">
        <f ca="1">DSUM($B$72:$Y$77,G$72,$C$84:$D100)</f>
        <v>4.7764090425644365</v>
      </c>
      <c r="H100" s="247">
        <f ca="1">DSUM($B$72:$Y$77,H$72,$C$84:$D100)</f>
        <v>5.3137550598529355</v>
      </c>
      <c r="I100" s="247">
        <f ca="1">DSUM($B$72:$Y$77,I$72,$C$84:$D100)</f>
        <v>5.6692414678112648</v>
      </c>
      <c r="J100" s="247">
        <f ca="1">DSUM($B$72:$Y$77,J$72,$C$84:$D100)</f>
        <v>5.8783798142303336</v>
      </c>
      <c r="K100" s="247">
        <f ca="1">DSUM($B$72:$Y$77,K$72,$C$84:$D100)</f>
        <v>5.9488626853593125</v>
      </c>
      <c r="L100" s="247">
        <f ca="1">DSUM($B$72:$Y$77,L$72,$C$84:$D100)</f>
        <v>5.9744302291928486</v>
      </c>
      <c r="M100" s="247">
        <f ca="1">DSUM($B$72:$Y$77,M$72,$C$84:$D100)</f>
        <v>5.9818026144232554</v>
      </c>
      <c r="N100" s="247">
        <f ca="1">DSUM($B$72:$Y$77,N$72,$C$84:$D100)</f>
        <v>5.9828451815572592</v>
      </c>
      <c r="O100" s="247">
        <f ca="1">DSUM($B$72:$Y$77,O$72,$C$84:$D100)</f>
        <v>5.982558010320556</v>
      </c>
      <c r="P100" s="247">
        <f ca="1">DSUM($B$72:$Y$77,P$72,$C$84:$D100)</f>
        <v>5.9821684268980357</v>
      </c>
      <c r="Q100" s="247">
        <f ca="1">DSUM($B$72:$Y$77,Q$72,$C$84:$D100)</f>
        <v>5.9818835142446058</v>
      </c>
      <c r="R100" s="247">
        <f ca="1">DSUM($B$72:$Y$77,R$72,$C$84:$D100)</f>
        <v>5.9816847615782267</v>
      </c>
      <c r="S100" s="247">
        <f ca="1">DSUM($B$72:$Y$77,S$72,$C$84:$D100)</f>
        <v>5.9815438240996226</v>
      </c>
      <c r="T100" s="247">
        <f ca="1">DSUM($B$72:$Y$77,T$72,$C$84:$D100)</f>
        <v>5.9814397176673531</v>
      </c>
      <c r="U100" s="247">
        <f ca="1">DSUM($B$72:$Y$77,U$72,$C$84:$D100)</f>
        <v>5.9813645064391014</v>
      </c>
      <c r="V100" s="247">
        <f ca="1">DSUM($B$72:$Y$77,V$72,$C$84:$D100)</f>
        <v>5.9813008031548272</v>
      </c>
      <c r="W100" s="247">
        <f ca="1">DSUM($B$72:$Y$77,W$72,$C$84:$D100)</f>
        <v>5.9812379228458452</v>
      </c>
      <c r="X100" s="247">
        <f ca="1">DSUM($B$72:$Y$77,X$72,$C$84:$D100)</f>
        <v>5.9811786343939168</v>
      </c>
      <c r="Y100" s="166">
        <f ca="1">DSUM($B$72:$Y$77,Y$72,$C$84:$D100)</f>
        <v>54.214701088024171</v>
      </c>
    </row>
    <row r="101" spans="2:25">
      <c r="B101" s="11" t="s">
        <v>655</v>
      </c>
      <c r="C101" s="271" t="s">
        <v>716</v>
      </c>
      <c r="D101" s="271" t="s">
        <v>717</v>
      </c>
      <c r="E101" s="247">
        <f ca="1">DSUM($B$72:$Y$77,E$72,$C$84:$D101)</f>
        <v>2.6867300864424957</v>
      </c>
      <c r="F101" s="247">
        <f ca="1">DSUM($B$72:$Y$77,F$72,$C$84:$D101)</f>
        <v>3.9405374601156602</v>
      </c>
      <c r="G101" s="247">
        <f ca="1">DSUM($B$72:$Y$77,G$72,$C$84:$D101)</f>
        <v>4.7764090425644365</v>
      </c>
      <c r="H101" s="247">
        <f ca="1">DSUM($B$72:$Y$77,H$72,$C$84:$D101)</f>
        <v>5.3137550598529355</v>
      </c>
      <c r="I101" s="247">
        <f ca="1">DSUM($B$72:$Y$77,I$72,$C$84:$D101)</f>
        <v>5.6692414678112648</v>
      </c>
      <c r="J101" s="247">
        <f ca="1">DSUM($B$72:$Y$77,J$72,$C$84:$D101)</f>
        <v>5.8783798142303336</v>
      </c>
      <c r="K101" s="247">
        <f ca="1">DSUM($B$72:$Y$77,K$72,$C$84:$D101)</f>
        <v>5.9488626853593125</v>
      </c>
      <c r="L101" s="247">
        <f ca="1">DSUM($B$72:$Y$77,L$72,$C$84:$D101)</f>
        <v>5.9744302291928486</v>
      </c>
      <c r="M101" s="247">
        <f ca="1">DSUM($B$72:$Y$77,M$72,$C$84:$D101)</f>
        <v>5.9818026144232554</v>
      </c>
      <c r="N101" s="247">
        <f ca="1">DSUM($B$72:$Y$77,N$72,$C$84:$D101)</f>
        <v>5.9828451815572592</v>
      </c>
      <c r="O101" s="247">
        <f ca="1">DSUM($B$72:$Y$77,O$72,$C$84:$D101)</f>
        <v>5.982558010320556</v>
      </c>
      <c r="P101" s="247">
        <f ca="1">DSUM($B$72:$Y$77,P$72,$C$84:$D101)</f>
        <v>5.9821684268980357</v>
      </c>
      <c r="Q101" s="247">
        <f ca="1">DSUM($B$72:$Y$77,Q$72,$C$84:$D101)</f>
        <v>5.9818835142446058</v>
      </c>
      <c r="R101" s="247">
        <f ca="1">DSUM($B$72:$Y$77,R$72,$C$84:$D101)</f>
        <v>5.9816847615782267</v>
      </c>
      <c r="S101" s="247">
        <f ca="1">DSUM($B$72:$Y$77,S$72,$C$84:$D101)</f>
        <v>5.9815438240996226</v>
      </c>
      <c r="T101" s="247">
        <f ca="1">DSUM($B$72:$Y$77,T$72,$C$84:$D101)</f>
        <v>5.9814397176673531</v>
      </c>
      <c r="U101" s="247">
        <f ca="1">DSUM($B$72:$Y$77,U$72,$C$84:$D101)</f>
        <v>5.9813645064391014</v>
      </c>
      <c r="V101" s="247">
        <f ca="1">DSUM($B$72:$Y$77,V$72,$C$84:$D101)</f>
        <v>5.9813008031548272</v>
      </c>
      <c r="W101" s="247">
        <f ca="1">DSUM($B$72:$Y$77,W$72,$C$84:$D101)</f>
        <v>5.9812379228458452</v>
      </c>
      <c r="X101" s="247">
        <f ca="1">DSUM($B$72:$Y$77,X$72,$C$84:$D101)</f>
        <v>5.9811786343939168</v>
      </c>
      <c r="Y101" s="166">
        <f ca="1">DSUM($B$72:$Y$77,Y$72,$C$84:$D101)</f>
        <v>54.214701088024171</v>
      </c>
    </row>
    <row r="102" spans="2:25">
      <c r="B102" s="11" t="s">
        <v>656</v>
      </c>
      <c r="C102" s="271" t="s">
        <v>718</v>
      </c>
      <c r="D102" s="271" t="s">
        <v>719</v>
      </c>
      <c r="E102" s="247">
        <f ca="1">DSUM($B$72:$Y$77,E$72,$C$84:$D102)</f>
        <v>2.6867300864424957</v>
      </c>
      <c r="F102" s="247">
        <f ca="1">DSUM($B$72:$Y$77,F$72,$C$84:$D102)</f>
        <v>3.9405374601156602</v>
      </c>
      <c r="G102" s="247">
        <f ca="1">DSUM($B$72:$Y$77,G$72,$C$84:$D102)</f>
        <v>4.7764090425644365</v>
      </c>
      <c r="H102" s="247">
        <f ca="1">DSUM($B$72:$Y$77,H$72,$C$84:$D102)</f>
        <v>5.3137550598529355</v>
      </c>
      <c r="I102" s="247">
        <f ca="1">DSUM($B$72:$Y$77,I$72,$C$84:$D102)</f>
        <v>5.6692414678112648</v>
      </c>
      <c r="J102" s="247">
        <f ca="1">DSUM($B$72:$Y$77,J$72,$C$84:$D102)</f>
        <v>5.8783798142303336</v>
      </c>
      <c r="K102" s="247">
        <f ca="1">DSUM($B$72:$Y$77,K$72,$C$84:$D102)</f>
        <v>5.9488626853593125</v>
      </c>
      <c r="L102" s="247">
        <f ca="1">DSUM($B$72:$Y$77,L$72,$C$84:$D102)</f>
        <v>5.9744302291928486</v>
      </c>
      <c r="M102" s="247">
        <f ca="1">DSUM($B$72:$Y$77,M$72,$C$84:$D102)</f>
        <v>5.9818026144232554</v>
      </c>
      <c r="N102" s="247">
        <f ca="1">DSUM($B$72:$Y$77,N$72,$C$84:$D102)</f>
        <v>5.9828451815572592</v>
      </c>
      <c r="O102" s="247">
        <f ca="1">DSUM($B$72:$Y$77,O$72,$C$84:$D102)</f>
        <v>5.982558010320556</v>
      </c>
      <c r="P102" s="247">
        <f ca="1">DSUM($B$72:$Y$77,P$72,$C$84:$D102)</f>
        <v>5.9821684268980357</v>
      </c>
      <c r="Q102" s="247">
        <f ca="1">DSUM($B$72:$Y$77,Q$72,$C$84:$D102)</f>
        <v>5.9818835142446058</v>
      </c>
      <c r="R102" s="247">
        <f ca="1">DSUM($B$72:$Y$77,R$72,$C$84:$D102)</f>
        <v>5.9816847615782267</v>
      </c>
      <c r="S102" s="247">
        <f ca="1">DSUM($B$72:$Y$77,S$72,$C$84:$D102)</f>
        <v>5.9815438240996226</v>
      </c>
      <c r="T102" s="247">
        <f ca="1">DSUM($B$72:$Y$77,T$72,$C$84:$D102)</f>
        <v>5.9814397176673531</v>
      </c>
      <c r="U102" s="247">
        <f ca="1">DSUM($B$72:$Y$77,U$72,$C$84:$D102)</f>
        <v>5.9813645064391014</v>
      </c>
      <c r="V102" s="247">
        <f ca="1">DSUM($B$72:$Y$77,V$72,$C$84:$D102)</f>
        <v>5.9813008031548272</v>
      </c>
      <c r="W102" s="247">
        <f ca="1">DSUM($B$72:$Y$77,W$72,$C$84:$D102)</f>
        <v>5.9812379228458452</v>
      </c>
      <c r="X102" s="247">
        <f ca="1">DSUM($B$72:$Y$77,X$72,$C$84:$D102)</f>
        <v>5.9811786343939168</v>
      </c>
      <c r="Y102" s="166">
        <f ca="1">DSUM($B$72:$Y$77,Y$72,$C$84:$D102)</f>
        <v>54.214701088024171</v>
      </c>
    </row>
    <row r="103" spans="2:25">
      <c r="B103" s="11" t="s">
        <v>657</v>
      </c>
      <c r="C103" s="271" t="s">
        <v>720</v>
      </c>
      <c r="D103" s="271" t="s">
        <v>721</v>
      </c>
      <c r="E103" s="247">
        <f ca="1">DSUM($B$72:$Y$77,E$72,$C$84:$D103)</f>
        <v>2.6867300864424957</v>
      </c>
      <c r="F103" s="247">
        <f ca="1">DSUM($B$72:$Y$77,F$72,$C$84:$D103)</f>
        <v>3.9405374601156602</v>
      </c>
      <c r="G103" s="247">
        <f ca="1">DSUM($B$72:$Y$77,G$72,$C$84:$D103)</f>
        <v>4.7764090425644365</v>
      </c>
      <c r="H103" s="247">
        <f ca="1">DSUM($B$72:$Y$77,H$72,$C$84:$D103)</f>
        <v>5.3137550598529355</v>
      </c>
      <c r="I103" s="247">
        <f ca="1">DSUM($B$72:$Y$77,I$72,$C$84:$D103)</f>
        <v>5.6692414678112648</v>
      </c>
      <c r="J103" s="247">
        <f ca="1">DSUM($B$72:$Y$77,J$72,$C$84:$D103)</f>
        <v>5.8783798142303336</v>
      </c>
      <c r="K103" s="247">
        <f ca="1">DSUM($B$72:$Y$77,K$72,$C$84:$D103)</f>
        <v>5.9488626853593125</v>
      </c>
      <c r="L103" s="247">
        <f ca="1">DSUM($B$72:$Y$77,L$72,$C$84:$D103)</f>
        <v>5.9744302291928486</v>
      </c>
      <c r="M103" s="247">
        <f ca="1">DSUM($B$72:$Y$77,M$72,$C$84:$D103)</f>
        <v>5.9818026144232554</v>
      </c>
      <c r="N103" s="247">
        <f ca="1">DSUM($B$72:$Y$77,N$72,$C$84:$D103)</f>
        <v>5.9828451815572592</v>
      </c>
      <c r="O103" s="247">
        <f ca="1">DSUM($B$72:$Y$77,O$72,$C$84:$D103)</f>
        <v>5.982558010320556</v>
      </c>
      <c r="P103" s="247">
        <f ca="1">DSUM($B$72:$Y$77,P$72,$C$84:$D103)</f>
        <v>5.9821684268980357</v>
      </c>
      <c r="Q103" s="247">
        <f ca="1">DSUM($B$72:$Y$77,Q$72,$C$84:$D103)</f>
        <v>5.9818835142446058</v>
      </c>
      <c r="R103" s="247">
        <f ca="1">DSUM($B$72:$Y$77,R$72,$C$84:$D103)</f>
        <v>5.9816847615782267</v>
      </c>
      <c r="S103" s="247">
        <f ca="1">DSUM($B$72:$Y$77,S$72,$C$84:$D103)</f>
        <v>5.9815438240996226</v>
      </c>
      <c r="T103" s="247">
        <f ca="1">DSUM($B$72:$Y$77,T$72,$C$84:$D103)</f>
        <v>5.9814397176673531</v>
      </c>
      <c r="U103" s="247">
        <f ca="1">DSUM($B$72:$Y$77,U$72,$C$84:$D103)</f>
        <v>5.9813645064391014</v>
      </c>
      <c r="V103" s="247">
        <f ca="1">DSUM($B$72:$Y$77,V$72,$C$84:$D103)</f>
        <v>5.9813008031548272</v>
      </c>
      <c r="W103" s="247">
        <f ca="1">DSUM($B$72:$Y$77,W$72,$C$84:$D103)</f>
        <v>5.9812379228458452</v>
      </c>
      <c r="X103" s="247">
        <f ca="1">DSUM($B$72:$Y$77,X$72,$C$84:$D103)</f>
        <v>5.9811786343939168</v>
      </c>
      <c r="Y103" s="166">
        <f ca="1">DSUM($B$72:$Y$77,Y$72,$C$84:$D103)</f>
        <v>54.214701088024171</v>
      </c>
    </row>
    <row r="104" spans="2:25">
      <c r="B104" s="11" t="s">
        <v>658</v>
      </c>
      <c r="C104" s="271" t="s">
        <v>722</v>
      </c>
      <c r="D104" s="271" t="s">
        <v>723</v>
      </c>
      <c r="E104" s="247">
        <f ca="1">DSUM($B$72:$Y$77,E$72,$C$84:$D104)</f>
        <v>2.6867300864424957</v>
      </c>
      <c r="F104" s="247">
        <f ca="1">DSUM($B$72:$Y$77,F$72,$C$84:$D104)</f>
        <v>3.9405374601156602</v>
      </c>
      <c r="G104" s="247">
        <f ca="1">DSUM($B$72:$Y$77,G$72,$C$84:$D104)</f>
        <v>4.7764090425644365</v>
      </c>
      <c r="H104" s="247">
        <f ca="1">DSUM($B$72:$Y$77,H$72,$C$84:$D104)</f>
        <v>5.3137550598529355</v>
      </c>
      <c r="I104" s="247">
        <f ca="1">DSUM($B$72:$Y$77,I$72,$C$84:$D104)</f>
        <v>5.6692414678112648</v>
      </c>
      <c r="J104" s="247">
        <f ca="1">DSUM($B$72:$Y$77,J$72,$C$84:$D104)</f>
        <v>5.8783798142303336</v>
      </c>
      <c r="K104" s="247">
        <f ca="1">DSUM($B$72:$Y$77,K$72,$C$84:$D104)</f>
        <v>5.9488626853593125</v>
      </c>
      <c r="L104" s="247">
        <f ca="1">DSUM($B$72:$Y$77,L$72,$C$84:$D104)</f>
        <v>5.9744302291928486</v>
      </c>
      <c r="M104" s="247">
        <f ca="1">DSUM($B$72:$Y$77,M$72,$C$84:$D104)</f>
        <v>5.9818026144232554</v>
      </c>
      <c r="N104" s="247">
        <f ca="1">DSUM($B$72:$Y$77,N$72,$C$84:$D104)</f>
        <v>5.9828451815572592</v>
      </c>
      <c r="O104" s="247">
        <f ca="1">DSUM($B$72:$Y$77,O$72,$C$84:$D104)</f>
        <v>5.982558010320556</v>
      </c>
      <c r="P104" s="247">
        <f ca="1">DSUM($B$72:$Y$77,P$72,$C$84:$D104)</f>
        <v>5.9821684268980357</v>
      </c>
      <c r="Q104" s="247">
        <f ca="1">DSUM($B$72:$Y$77,Q$72,$C$84:$D104)</f>
        <v>5.9818835142446058</v>
      </c>
      <c r="R104" s="247">
        <f ca="1">DSUM($B$72:$Y$77,R$72,$C$84:$D104)</f>
        <v>5.9816847615782267</v>
      </c>
      <c r="S104" s="247">
        <f ca="1">DSUM($B$72:$Y$77,S$72,$C$84:$D104)</f>
        <v>5.9815438240996226</v>
      </c>
      <c r="T104" s="247">
        <f ca="1">DSUM($B$72:$Y$77,T$72,$C$84:$D104)</f>
        <v>5.9814397176673531</v>
      </c>
      <c r="U104" s="247">
        <f ca="1">DSUM($B$72:$Y$77,U$72,$C$84:$D104)</f>
        <v>5.9813645064391014</v>
      </c>
      <c r="V104" s="247">
        <f ca="1">DSUM($B$72:$Y$77,V$72,$C$84:$D104)</f>
        <v>5.9813008031548272</v>
      </c>
      <c r="W104" s="247">
        <f ca="1">DSUM($B$72:$Y$77,W$72,$C$84:$D104)</f>
        <v>5.9812379228458452</v>
      </c>
      <c r="X104" s="247">
        <f ca="1">DSUM($B$72:$Y$77,X$72,$C$84:$D104)</f>
        <v>5.9811786343939168</v>
      </c>
      <c r="Y104" s="166">
        <f ca="1">DSUM($B$72:$Y$77,Y$72,$C$84:$D104)</f>
        <v>54.214701088024171</v>
      </c>
    </row>
    <row r="105" spans="2:25">
      <c r="B105" s="11" t="s">
        <v>659</v>
      </c>
      <c r="C105" s="271" t="s">
        <v>724</v>
      </c>
      <c r="D105" s="271" t="s">
        <v>725</v>
      </c>
      <c r="E105" s="247">
        <f ca="1">DSUM($B$72:$Y$77,E$72,$C$84:$D105)</f>
        <v>2.6867300864424957</v>
      </c>
      <c r="F105" s="247">
        <f ca="1">DSUM($B$72:$Y$77,F$72,$C$84:$D105)</f>
        <v>3.9405374601156602</v>
      </c>
      <c r="G105" s="247">
        <f ca="1">DSUM($B$72:$Y$77,G$72,$C$84:$D105)</f>
        <v>4.7764090425644365</v>
      </c>
      <c r="H105" s="247">
        <f ca="1">DSUM($B$72:$Y$77,H$72,$C$84:$D105)</f>
        <v>5.3137550598529355</v>
      </c>
      <c r="I105" s="247">
        <f ca="1">DSUM($B$72:$Y$77,I$72,$C$84:$D105)</f>
        <v>5.6692414678112648</v>
      </c>
      <c r="J105" s="247">
        <f ca="1">DSUM($B$72:$Y$77,J$72,$C$84:$D105)</f>
        <v>5.8783798142303336</v>
      </c>
      <c r="K105" s="247">
        <f ca="1">DSUM($B$72:$Y$77,K$72,$C$84:$D105)</f>
        <v>5.9488626853593125</v>
      </c>
      <c r="L105" s="247">
        <f ca="1">DSUM($B$72:$Y$77,L$72,$C$84:$D105)</f>
        <v>5.9744302291928486</v>
      </c>
      <c r="M105" s="247">
        <f ca="1">DSUM($B$72:$Y$77,M$72,$C$84:$D105)</f>
        <v>5.9818026144232554</v>
      </c>
      <c r="N105" s="247">
        <f ca="1">DSUM($B$72:$Y$77,N$72,$C$84:$D105)</f>
        <v>5.9828451815572592</v>
      </c>
      <c r="O105" s="247">
        <f ca="1">DSUM($B$72:$Y$77,O$72,$C$84:$D105)</f>
        <v>5.982558010320556</v>
      </c>
      <c r="P105" s="247">
        <f ca="1">DSUM($B$72:$Y$77,P$72,$C$84:$D105)</f>
        <v>5.9821684268980357</v>
      </c>
      <c r="Q105" s="247">
        <f ca="1">DSUM($B$72:$Y$77,Q$72,$C$84:$D105)</f>
        <v>5.9818835142446058</v>
      </c>
      <c r="R105" s="247">
        <f ca="1">DSUM($B$72:$Y$77,R$72,$C$84:$D105)</f>
        <v>5.9816847615782267</v>
      </c>
      <c r="S105" s="247">
        <f ca="1">DSUM($B$72:$Y$77,S$72,$C$84:$D105)</f>
        <v>5.9815438240996226</v>
      </c>
      <c r="T105" s="247">
        <f ca="1">DSUM($B$72:$Y$77,T$72,$C$84:$D105)</f>
        <v>5.9814397176673531</v>
      </c>
      <c r="U105" s="247">
        <f ca="1">DSUM($B$72:$Y$77,U$72,$C$84:$D105)</f>
        <v>5.9813645064391014</v>
      </c>
      <c r="V105" s="247">
        <f ca="1">DSUM($B$72:$Y$77,V$72,$C$84:$D105)</f>
        <v>5.9813008031548272</v>
      </c>
      <c r="W105" s="247">
        <f ca="1">DSUM($B$72:$Y$77,W$72,$C$84:$D105)</f>
        <v>5.9812379228458452</v>
      </c>
      <c r="X105" s="247">
        <f ca="1">DSUM($B$72:$Y$77,X$72,$C$84:$D105)</f>
        <v>5.9811786343939168</v>
      </c>
      <c r="Y105" s="166">
        <f ca="1">DSUM($B$72:$Y$77,Y$72,$C$84:$D105)</f>
        <v>54.214701088024171</v>
      </c>
    </row>
    <row r="106" spans="2:25">
      <c r="B106" s="11" t="s">
        <v>757</v>
      </c>
      <c r="C106" s="271" t="s">
        <v>726</v>
      </c>
      <c r="D106" s="271" t="s">
        <v>747</v>
      </c>
      <c r="E106" s="247">
        <f ca="1">DSUM($B$72:$Y$77,E$72,$C$84:$D106)</f>
        <v>2.6867300864424957</v>
      </c>
      <c r="F106" s="247">
        <f ca="1">DSUM($B$72:$Y$77,F$72,$C$84:$D106)</f>
        <v>3.9405374601156602</v>
      </c>
      <c r="G106" s="247">
        <f ca="1">DSUM($B$72:$Y$77,G$72,$C$84:$D106)</f>
        <v>4.7764090425644365</v>
      </c>
      <c r="H106" s="247">
        <f ca="1">DSUM($B$72:$Y$77,H$72,$C$84:$D106)</f>
        <v>5.3137550598529355</v>
      </c>
      <c r="I106" s="247">
        <f ca="1">DSUM($B$72:$Y$77,I$72,$C$84:$D106)</f>
        <v>5.6692414678112648</v>
      </c>
      <c r="J106" s="247">
        <f ca="1">DSUM($B$72:$Y$77,J$72,$C$84:$D106)</f>
        <v>5.8783798142303336</v>
      </c>
      <c r="K106" s="247">
        <f ca="1">DSUM($B$72:$Y$77,K$72,$C$84:$D106)</f>
        <v>5.9488626853593125</v>
      </c>
      <c r="L106" s="247">
        <f ca="1">DSUM($B$72:$Y$77,L$72,$C$84:$D106)</f>
        <v>5.9744302291928486</v>
      </c>
      <c r="M106" s="247">
        <f ca="1">DSUM($B$72:$Y$77,M$72,$C$84:$D106)</f>
        <v>5.9818026144232554</v>
      </c>
      <c r="N106" s="247">
        <f ca="1">DSUM($B$72:$Y$77,N$72,$C$84:$D106)</f>
        <v>5.9828451815572592</v>
      </c>
      <c r="O106" s="247">
        <f ca="1">DSUM($B$72:$Y$77,O$72,$C$84:$D106)</f>
        <v>5.982558010320556</v>
      </c>
      <c r="P106" s="247">
        <f ca="1">DSUM($B$72:$Y$77,P$72,$C$84:$D106)</f>
        <v>5.9821684268980357</v>
      </c>
      <c r="Q106" s="247">
        <f ca="1">DSUM($B$72:$Y$77,Q$72,$C$84:$D106)</f>
        <v>5.9818835142446058</v>
      </c>
      <c r="R106" s="247">
        <f ca="1">DSUM($B$72:$Y$77,R$72,$C$84:$D106)</f>
        <v>5.9816847615782267</v>
      </c>
      <c r="S106" s="247">
        <f ca="1">DSUM($B$72:$Y$77,S$72,$C$84:$D106)</f>
        <v>5.9815438240996226</v>
      </c>
      <c r="T106" s="247">
        <f ca="1">DSUM($B$72:$Y$77,T$72,$C$84:$D106)</f>
        <v>5.9814397176673531</v>
      </c>
      <c r="U106" s="247">
        <f ca="1">DSUM($B$72:$Y$77,U$72,$C$84:$D106)</f>
        <v>5.9813645064391014</v>
      </c>
      <c r="V106" s="247">
        <f ca="1">DSUM($B$72:$Y$77,V$72,$C$84:$D106)</f>
        <v>5.9813008031548272</v>
      </c>
      <c r="W106" s="247">
        <f ca="1">DSUM($B$72:$Y$77,W$72,$C$84:$D106)</f>
        <v>5.9812379228458452</v>
      </c>
      <c r="X106" s="247">
        <f ca="1">DSUM($B$72:$Y$77,X$72,$C$84:$D106)</f>
        <v>5.9811786343939168</v>
      </c>
      <c r="Y106" s="166">
        <f ca="1">DSUM($B$72:$Y$77,Y$72,$C$84:$D106)</f>
        <v>54.214701088024171</v>
      </c>
    </row>
    <row r="107" spans="2:25">
      <c r="B107" s="11" t="s">
        <v>758</v>
      </c>
      <c r="C107" s="271" t="s">
        <v>737</v>
      </c>
      <c r="D107" s="271" t="s">
        <v>748</v>
      </c>
      <c r="E107" s="247">
        <f ca="1">DSUM($B$72:$Y$77,E$72,$C$84:$D107)</f>
        <v>2.6867300864424957</v>
      </c>
      <c r="F107" s="247">
        <f ca="1">DSUM($B$72:$Y$77,F$72,$C$84:$D107)</f>
        <v>3.9405374601156602</v>
      </c>
      <c r="G107" s="247">
        <f ca="1">DSUM($B$72:$Y$77,G$72,$C$84:$D107)</f>
        <v>4.7764090425644365</v>
      </c>
      <c r="H107" s="247">
        <f ca="1">DSUM($B$72:$Y$77,H$72,$C$84:$D107)</f>
        <v>5.3137550598529355</v>
      </c>
      <c r="I107" s="247">
        <f ca="1">DSUM($B$72:$Y$77,I$72,$C$84:$D107)</f>
        <v>5.6692414678112648</v>
      </c>
      <c r="J107" s="247">
        <f ca="1">DSUM($B$72:$Y$77,J$72,$C$84:$D107)</f>
        <v>5.8783798142303336</v>
      </c>
      <c r="K107" s="247">
        <f ca="1">DSUM($B$72:$Y$77,K$72,$C$84:$D107)</f>
        <v>5.9488626853593125</v>
      </c>
      <c r="L107" s="247">
        <f ca="1">DSUM($B$72:$Y$77,L$72,$C$84:$D107)</f>
        <v>5.9744302291928486</v>
      </c>
      <c r="M107" s="247">
        <f ca="1">DSUM($B$72:$Y$77,M$72,$C$84:$D107)</f>
        <v>5.9818026144232554</v>
      </c>
      <c r="N107" s="247">
        <f ca="1">DSUM($B$72:$Y$77,N$72,$C$84:$D107)</f>
        <v>5.9828451815572592</v>
      </c>
      <c r="O107" s="247">
        <f ca="1">DSUM($B$72:$Y$77,O$72,$C$84:$D107)</f>
        <v>5.982558010320556</v>
      </c>
      <c r="P107" s="247">
        <f ca="1">DSUM($B$72:$Y$77,P$72,$C$84:$D107)</f>
        <v>5.9821684268980357</v>
      </c>
      <c r="Q107" s="247">
        <f ca="1">DSUM($B$72:$Y$77,Q$72,$C$84:$D107)</f>
        <v>5.9818835142446058</v>
      </c>
      <c r="R107" s="247">
        <f ca="1">DSUM($B$72:$Y$77,R$72,$C$84:$D107)</f>
        <v>5.9816847615782267</v>
      </c>
      <c r="S107" s="247">
        <f ca="1">DSUM($B$72:$Y$77,S$72,$C$84:$D107)</f>
        <v>5.9815438240996226</v>
      </c>
      <c r="T107" s="247">
        <f ca="1">DSUM($B$72:$Y$77,T$72,$C$84:$D107)</f>
        <v>5.9814397176673531</v>
      </c>
      <c r="U107" s="247">
        <f ca="1">DSUM($B$72:$Y$77,U$72,$C$84:$D107)</f>
        <v>5.9813645064391014</v>
      </c>
      <c r="V107" s="247">
        <f ca="1">DSUM($B$72:$Y$77,V$72,$C$84:$D107)</f>
        <v>5.9813008031548272</v>
      </c>
      <c r="W107" s="247">
        <f ca="1">DSUM($B$72:$Y$77,W$72,$C$84:$D107)</f>
        <v>5.9812379228458452</v>
      </c>
      <c r="X107" s="247">
        <f ca="1">DSUM($B$72:$Y$77,X$72,$C$84:$D107)</f>
        <v>5.9811786343939168</v>
      </c>
      <c r="Y107" s="166">
        <f ca="1">DSUM($B$72:$Y$77,Y$72,$C$84:$D107)</f>
        <v>54.214701088024171</v>
      </c>
    </row>
    <row r="108" spans="2:25">
      <c r="B108" s="11" t="s">
        <v>759</v>
      </c>
      <c r="C108" s="271" t="s">
        <v>738</v>
      </c>
      <c r="D108" s="271" t="s">
        <v>749</v>
      </c>
      <c r="E108" s="247">
        <f ca="1">DSUM($B$72:$Y$77,E$72,$C$84:$D108)</f>
        <v>2.6867300864424957</v>
      </c>
      <c r="F108" s="247">
        <f ca="1">DSUM($B$72:$Y$77,F$72,$C$84:$D108)</f>
        <v>3.9405374601156602</v>
      </c>
      <c r="G108" s="247">
        <f ca="1">DSUM($B$72:$Y$77,G$72,$C$84:$D108)</f>
        <v>4.7764090425644365</v>
      </c>
      <c r="H108" s="247">
        <f ca="1">DSUM($B$72:$Y$77,H$72,$C$84:$D108)</f>
        <v>5.3137550598529355</v>
      </c>
      <c r="I108" s="247">
        <f ca="1">DSUM($B$72:$Y$77,I$72,$C$84:$D108)</f>
        <v>5.6692414678112648</v>
      </c>
      <c r="J108" s="247">
        <f ca="1">DSUM($B$72:$Y$77,J$72,$C$84:$D108)</f>
        <v>5.8783798142303336</v>
      </c>
      <c r="K108" s="247">
        <f ca="1">DSUM($B$72:$Y$77,K$72,$C$84:$D108)</f>
        <v>5.9488626853593125</v>
      </c>
      <c r="L108" s="247">
        <f ca="1">DSUM($B$72:$Y$77,L$72,$C$84:$D108)</f>
        <v>5.9744302291928486</v>
      </c>
      <c r="M108" s="247">
        <f ca="1">DSUM($B$72:$Y$77,M$72,$C$84:$D108)</f>
        <v>5.9818026144232554</v>
      </c>
      <c r="N108" s="247">
        <f ca="1">DSUM($B$72:$Y$77,N$72,$C$84:$D108)</f>
        <v>5.9828451815572592</v>
      </c>
      <c r="O108" s="247">
        <f ca="1">DSUM($B$72:$Y$77,O$72,$C$84:$D108)</f>
        <v>5.982558010320556</v>
      </c>
      <c r="P108" s="247">
        <f ca="1">DSUM($B$72:$Y$77,P$72,$C$84:$D108)</f>
        <v>5.9821684268980357</v>
      </c>
      <c r="Q108" s="247">
        <f ca="1">DSUM($B$72:$Y$77,Q$72,$C$84:$D108)</f>
        <v>5.9818835142446058</v>
      </c>
      <c r="R108" s="247">
        <f ca="1">DSUM($B$72:$Y$77,R$72,$C$84:$D108)</f>
        <v>5.9816847615782267</v>
      </c>
      <c r="S108" s="247">
        <f ca="1">DSUM($B$72:$Y$77,S$72,$C$84:$D108)</f>
        <v>5.9815438240996226</v>
      </c>
      <c r="T108" s="247">
        <f ca="1">DSUM($B$72:$Y$77,T$72,$C$84:$D108)</f>
        <v>5.9814397176673531</v>
      </c>
      <c r="U108" s="247">
        <f ca="1">DSUM($B$72:$Y$77,U$72,$C$84:$D108)</f>
        <v>5.9813645064391014</v>
      </c>
      <c r="V108" s="247">
        <f ca="1">DSUM($B$72:$Y$77,V$72,$C$84:$D108)</f>
        <v>5.9813008031548272</v>
      </c>
      <c r="W108" s="247">
        <f ca="1">DSUM($B$72:$Y$77,W$72,$C$84:$D108)</f>
        <v>5.9812379228458452</v>
      </c>
      <c r="X108" s="247">
        <f ca="1">DSUM($B$72:$Y$77,X$72,$C$84:$D108)</f>
        <v>5.9811786343939168</v>
      </c>
      <c r="Y108" s="166">
        <f ca="1">DSUM($B$72:$Y$77,Y$72,$C$84:$D108)</f>
        <v>54.214701088024171</v>
      </c>
    </row>
    <row r="109" spans="2:25">
      <c r="B109" s="11" t="s">
        <v>760</v>
      </c>
      <c r="C109" s="271" t="s">
        <v>739</v>
      </c>
      <c r="D109" s="271" t="s">
        <v>750</v>
      </c>
      <c r="E109" s="247">
        <f ca="1">DSUM($B$72:$Y$77,E$72,$C$84:$D109)</f>
        <v>2.6867300864424957</v>
      </c>
      <c r="F109" s="247">
        <f ca="1">DSUM($B$72:$Y$77,F$72,$C$84:$D109)</f>
        <v>3.9405374601156602</v>
      </c>
      <c r="G109" s="247">
        <f ca="1">DSUM($B$72:$Y$77,G$72,$C$84:$D109)</f>
        <v>4.7764090425644365</v>
      </c>
      <c r="H109" s="247">
        <f ca="1">DSUM($B$72:$Y$77,H$72,$C$84:$D109)</f>
        <v>5.3137550598529355</v>
      </c>
      <c r="I109" s="247">
        <f ca="1">DSUM($B$72:$Y$77,I$72,$C$84:$D109)</f>
        <v>5.6692414678112648</v>
      </c>
      <c r="J109" s="247">
        <f ca="1">DSUM($B$72:$Y$77,J$72,$C$84:$D109)</f>
        <v>5.8783798142303336</v>
      </c>
      <c r="K109" s="247">
        <f ca="1">DSUM($B$72:$Y$77,K$72,$C$84:$D109)</f>
        <v>5.9488626853593125</v>
      </c>
      <c r="L109" s="247">
        <f ca="1">DSUM($B$72:$Y$77,L$72,$C$84:$D109)</f>
        <v>5.9744302291928486</v>
      </c>
      <c r="M109" s="247">
        <f ca="1">DSUM($B$72:$Y$77,M$72,$C$84:$D109)</f>
        <v>5.9818026144232554</v>
      </c>
      <c r="N109" s="247">
        <f ca="1">DSUM($B$72:$Y$77,N$72,$C$84:$D109)</f>
        <v>5.9828451815572592</v>
      </c>
      <c r="O109" s="247">
        <f ca="1">DSUM($B$72:$Y$77,O$72,$C$84:$D109)</f>
        <v>5.982558010320556</v>
      </c>
      <c r="P109" s="247">
        <f ca="1">DSUM($B$72:$Y$77,P$72,$C$84:$D109)</f>
        <v>5.9821684268980357</v>
      </c>
      <c r="Q109" s="247">
        <f ca="1">DSUM($B$72:$Y$77,Q$72,$C$84:$D109)</f>
        <v>5.9818835142446058</v>
      </c>
      <c r="R109" s="247">
        <f ca="1">DSUM($B$72:$Y$77,R$72,$C$84:$D109)</f>
        <v>5.9816847615782267</v>
      </c>
      <c r="S109" s="247">
        <f ca="1">DSUM($B$72:$Y$77,S$72,$C$84:$D109)</f>
        <v>5.9815438240996226</v>
      </c>
      <c r="T109" s="247">
        <f ca="1">DSUM($B$72:$Y$77,T$72,$C$84:$D109)</f>
        <v>5.9814397176673531</v>
      </c>
      <c r="U109" s="247">
        <f ca="1">DSUM($B$72:$Y$77,U$72,$C$84:$D109)</f>
        <v>5.9813645064391014</v>
      </c>
      <c r="V109" s="247">
        <f ca="1">DSUM($B$72:$Y$77,V$72,$C$84:$D109)</f>
        <v>5.9813008031548272</v>
      </c>
      <c r="W109" s="247">
        <f ca="1">DSUM($B$72:$Y$77,W$72,$C$84:$D109)</f>
        <v>5.9812379228458452</v>
      </c>
      <c r="X109" s="247">
        <f ca="1">DSUM($B$72:$Y$77,X$72,$C$84:$D109)</f>
        <v>5.9811786343939168</v>
      </c>
      <c r="Y109" s="166">
        <f ca="1">DSUM($B$72:$Y$77,Y$72,$C$84:$D109)</f>
        <v>54.214701088024171</v>
      </c>
    </row>
    <row r="110" spans="2:25">
      <c r="B110" s="11" t="s">
        <v>761</v>
      </c>
      <c r="C110" s="271" t="s">
        <v>740</v>
      </c>
      <c r="D110" s="271" t="s">
        <v>751</v>
      </c>
      <c r="E110" s="247">
        <f ca="1">DSUM($B$72:$Y$77,E$72,$C$84:$D110)</f>
        <v>2.6867300864424957</v>
      </c>
      <c r="F110" s="247">
        <f ca="1">DSUM($B$72:$Y$77,F$72,$C$84:$D110)</f>
        <v>3.9405374601156602</v>
      </c>
      <c r="G110" s="247">
        <f ca="1">DSUM($B$72:$Y$77,G$72,$C$84:$D110)</f>
        <v>4.7764090425644365</v>
      </c>
      <c r="H110" s="247">
        <f ca="1">DSUM($B$72:$Y$77,H$72,$C$84:$D110)</f>
        <v>5.3137550598529355</v>
      </c>
      <c r="I110" s="247">
        <f ca="1">DSUM($B$72:$Y$77,I$72,$C$84:$D110)</f>
        <v>5.6692414678112648</v>
      </c>
      <c r="J110" s="247">
        <f ca="1">DSUM($B$72:$Y$77,J$72,$C$84:$D110)</f>
        <v>5.8783798142303336</v>
      </c>
      <c r="K110" s="247">
        <f ca="1">DSUM($B$72:$Y$77,K$72,$C$84:$D110)</f>
        <v>5.9488626853593125</v>
      </c>
      <c r="L110" s="247">
        <f ca="1">DSUM($B$72:$Y$77,L$72,$C$84:$D110)</f>
        <v>5.9744302291928486</v>
      </c>
      <c r="M110" s="247">
        <f ca="1">DSUM($B$72:$Y$77,M$72,$C$84:$D110)</f>
        <v>5.9818026144232554</v>
      </c>
      <c r="N110" s="247">
        <f ca="1">DSUM($B$72:$Y$77,N$72,$C$84:$D110)</f>
        <v>5.9828451815572592</v>
      </c>
      <c r="O110" s="247">
        <f ca="1">DSUM($B$72:$Y$77,O$72,$C$84:$D110)</f>
        <v>5.982558010320556</v>
      </c>
      <c r="P110" s="247">
        <f ca="1">DSUM($B$72:$Y$77,P$72,$C$84:$D110)</f>
        <v>5.9821684268980357</v>
      </c>
      <c r="Q110" s="247">
        <f ca="1">DSUM($B$72:$Y$77,Q$72,$C$84:$D110)</f>
        <v>5.9818835142446058</v>
      </c>
      <c r="R110" s="247">
        <f ca="1">DSUM($B$72:$Y$77,R$72,$C$84:$D110)</f>
        <v>5.9816847615782267</v>
      </c>
      <c r="S110" s="247">
        <f ca="1">DSUM($B$72:$Y$77,S$72,$C$84:$D110)</f>
        <v>5.9815438240996226</v>
      </c>
      <c r="T110" s="247">
        <f ca="1">DSUM($B$72:$Y$77,T$72,$C$84:$D110)</f>
        <v>5.9814397176673531</v>
      </c>
      <c r="U110" s="247">
        <f ca="1">DSUM($B$72:$Y$77,U$72,$C$84:$D110)</f>
        <v>5.9813645064391014</v>
      </c>
      <c r="V110" s="247">
        <f ca="1">DSUM($B$72:$Y$77,V$72,$C$84:$D110)</f>
        <v>5.9813008031548272</v>
      </c>
      <c r="W110" s="247">
        <f ca="1">DSUM($B$72:$Y$77,W$72,$C$84:$D110)</f>
        <v>5.9812379228458452</v>
      </c>
      <c r="X110" s="247">
        <f ca="1">DSUM($B$72:$Y$77,X$72,$C$84:$D110)</f>
        <v>5.9811786343939168</v>
      </c>
      <c r="Y110" s="166">
        <f ca="1">DSUM($B$72:$Y$77,Y$72,$C$84:$D110)</f>
        <v>54.214701088024171</v>
      </c>
    </row>
    <row r="111" spans="2:25">
      <c r="B111" s="11" t="s">
        <v>762</v>
      </c>
      <c r="C111" s="271" t="s">
        <v>741</v>
      </c>
      <c r="D111" s="271" t="s">
        <v>752</v>
      </c>
      <c r="E111" s="247">
        <f ca="1">DSUM($B$72:$Y$77,E$72,$C$84:$D111)</f>
        <v>2.6867300864424957</v>
      </c>
      <c r="F111" s="247">
        <f ca="1">DSUM($B$72:$Y$77,F$72,$C$84:$D111)</f>
        <v>3.9405374601156602</v>
      </c>
      <c r="G111" s="247">
        <f ca="1">DSUM($B$72:$Y$77,G$72,$C$84:$D111)</f>
        <v>4.7764090425644365</v>
      </c>
      <c r="H111" s="247">
        <f ca="1">DSUM($B$72:$Y$77,H$72,$C$84:$D111)</f>
        <v>5.3137550598529355</v>
      </c>
      <c r="I111" s="247">
        <f ca="1">DSUM($B$72:$Y$77,I$72,$C$84:$D111)</f>
        <v>5.6692414678112648</v>
      </c>
      <c r="J111" s="247">
        <f ca="1">DSUM($B$72:$Y$77,J$72,$C$84:$D111)</f>
        <v>5.8783798142303336</v>
      </c>
      <c r="K111" s="247">
        <f ca="1">DSUM($B$72:$Y$77,K$72,$C$84:$D111)</f>
        <v>5.9488626853593125</v>
      </c>
      <c r="L111" s="247">
        <f ca="1">DSUM($B$72:$Y$77,L$72,$C$84:$D111)</f>
        <v>5.9744302291928486</v>
      </c>
      <c r="M111" s="247">
        <f ca="1">DSUM($B$72:$Y$77,M$72,$C$84:$D111)</f>
        <v>5.9818026144232554</v>
      </c>
      <c r="N111" s="247">
        <f ca="1">DSUM($B$72:$Y$77,N$72,$C$84:$D111)</f>
        <v>5.9828451815572592</v>
      </c>
      <c r="O111" s="247">
        <f ca="1">DSUM($B$72:$Y$77,O$72,$C$84:$D111)</f>
        <v>5.982558010320556</v>
      </c>
      <c r="P111" s="247">
        <f ca="1">DSUM($B$72:$Y$77,P$72,$C$84:$D111)</f>
        <v>5.9821684268980357</v>
      </c>
      <c r="Q111" s="247">
        <f ca="1">DSUM($B$72:$Y$77,Q$72,$C$84:$D111)</f>
        <v>5.9818835142446058</v>
      </c>
      <c r="R111" s="247">
        <f ca="1">DSUM($B$72:$Y$77,R$72,$C$84:$D111)</f>
        <v>5.9816847615782267</v>
      </c>
      <c r="S111" s="247">
        <f ca="1">DSUM($B$72:$Y$77,S$72,$C$84:$D111)</f>
        <v>5.9815438240996226</v>
      </c>
      <c r="T111" s="247">
        <f ca="1">DSUM($B$72:$Y$77,T$72,$C$84:$D111)</f>
        <v>5.9814397176673531</v>
      </c>
      <c r="U111" s="247">
        <f ca="1">DSUM($B$72:$Y$77,U$72,$C$84:$D111)</f>
        <v>5.9813645064391014</v>
      </c>
      <c r="V111" s="247">
        <f ca="1">DSUM($B$72:$Y$77,V$72,$C$84:$D111)</f>
        <v>5.9813008031548272</v>
      </c>
      <c r="W111" s="247">
        <f ca="1">DSUM($B$72:$Y$77,W$72,$C$84:$D111)</f>
        <v>5.9812379228458452</v>
      </c>
      <c r="X111" s="247">
        <f ca="1">DSUM($B$72:$Y$77,X$72,$C$84:$D111)</f>
        <v>5.9811786343939168</v>
      </c>
      <c r="Y111" s="166">
        <f ca="1">DSUM($B$72:$Y$77,Y$72,$C$84:$D111)</f>
        <v>54.214701088024171</v>
      </c>
    </row>
    <row r="112" spans="2:25">
      <c r="B112" s="11" t="s">
        <v>763</v>
      </c>
      <c r="C112" s="271" t="s">
        <v>742</v>
      </c>
      <c r="D112" s="271" t="s">
        <v>753</v>
      </c>
      <c r="E112" s="247">
        <f ca="1">DSUM($B$72:$Y$77,E$72,$C$84:$D112)</f>
        <v>2.6867300864424957</v>
      </c>
      <c r="F112" s="247">
        <f ca="1">DSUM($B$72:$Y$77,F$72,$C$84:$D112)</f>
        <v>3.9405374601156602</v>
      </c>
      <c r="G112" s="247">
        <f ca="1">DSUM($B$72:$Y$77,G$72,$C$84:$D112)</f>
        <v>4.7764090425644365</v>
      </c>
      <c r="H112" s="247">
        <f ca="1">DSUM($B$72:$Y$77,H$72,$C$84:$D112)</f>
        <v>5.3137550598529355</v>
      </c>
      <c r="I112" s="247">
        <f ca="1">DSUM($B$72:$Y$77,I$72,$C$84:$D112)</f>
        <v>5.6692414678112648</v>
      </c>
      <c r="J112" s="247">
        <f ca="1">DSUM($B$72:$Y$77,J$72,$C$84:$D112)</f>
        <v>5.8783798142303336</v>
      </c>
      <c r="K112" s="247">
        <f ca="1">DSUM($B$72:$Y$77,K$72,$C$84:$D112)</f>
        <v>5.9488626853593125</v>
      </c>
      <c r="L112" s="247">
        <f ca="1">DSUM($B$72:$Y$77,L$72,$C$84:$D112)</f>
        <v>5.9744302291928486</v>
      </c>
      <c r="M112" s="247">
        <f ca="1">DSUM($B$72:$Y$77,M$72,$C$84:$D112)</f>
        <v>5.9818026144232554</v>
      </c>
      <c r="N112" s="247">
        <f ca="1">DSUM($B$72:$Y$77,N$72,$C$84:$D112)</f>
        <v>5.9828451815572592</v>
      </c>
      <c r="O112" s="247">
        <f ca="1">DSUM($B$72:$Y$77,O$72,$C$84:$D112)</f>
        <v>5.982558010320556</v>
      </c>
      <c r="P112" s="247">
        <f ca="1">DSUM($B$72:$Y$77,P$72,$C$84:$D112)</f>
        <v>5.9821684268980357</v>
      </c>
      <c r="Q112" s="247">
        <f ca="1">DSUM($B$72:$Y$77,Q$72,$C$84:$D112)</f>
        <v>5.9818835142446058</v>
      </c>
      <c r="R112" s="247">
        <f ca="1">DSUM($B$72:$Y$77,R$72,$C$84:$D112)</f>
        <v>5.9816847615782267</v>
      </c>
      <c r="S112" s="247">
        <f ca="1">DSUM($B$72:$Y$77,S$72,$C$84:$D112)</f>
        <v>5.9815438240996226</v>
      </c>
      <c r="T112" s="247">
        <f ca="1">DSUM($B$72:$Y$77,T$72,$C$84:$D112)</f>
        <v>5.9814397176673531</v>
      </c>
      <c r="U112" s="247">
        <f ca="1">DSUM($B$72:$Y$77,U$72,$C$84:$D112)</f>
        <v>5.9813645064391014</v>
      </c>
      <c r="V112" s="247">
        <f ca="1">DSUM($B$72:$Y$77,V$72,$C$84:$D112)</f>
        <v>5.9813008031548272</v>
      </c>
      <c r="W112" s="247">
        <f ca="1">DSUM($B$72:$Y$77,W$72,$C$84:$D112)</f>
        <v>5.9812379228458452</v>
      </c>
      <c r="X112" s="247">
        <f ca="1">DSUM($B$72:$Y$77,X$72,$C$84:$D112)</f>
        <v>5.9811786343939168</v>
      </c>
      <c r="Y112" s="166">
        <f ca="1">DSUM($B$72:$Y$77,Y$72,$C$84:$D112)</f>
        <v>54.214701088024171</v>
      </c>
    </row>
    <row r="113" spans="1:25">
      <c r="B113" s="11" t="s">
        <v>764</v>
      </c>
      <c r="C113" s="271" t="s">
        <v>743</v>
      </c>
      <c r="D113" s="271" t="s">
        <v>754</v>
      </c>
      <c r="E113" s="247">
        <f ca="1">DSUM($B$72:$Y$77,E$72,$C$84:$D113)</f>
        <v>2.6867300864424957</v>
      </c>
      <c r="F113" s="247">
        <f ca="1">DSUM($B$72:$Y$77,F$72,$C$84:$D113)</f>
        <v>3.9405374601156602</v>
      </c>
      <c r="G113" s="247">
        <f ca="1">DSUM($B$72:$Y$77,G$72,$C$84:$D113)</f>
        <v>4.7764090425644365</v>
      </c>
      <c r="H113" s="247">
        <f ca="1">DSUM($B$72:$Y$77,H$72,$C$84:$D113)</f>
        <v>5.3137550598529355</v>
      </c>
      <c r="I113" s="247">
        <f ca="1">DSUM($B$72:$Y$77,I$72,$C$84:$D113)</f>
        <v>5.6692414678112648</v>
      </c>
      <c r="J113" s="247">
        <f ca="1">DSUM($B$72:$Y$77,J$72,$C$84:$D113)</f>
        <v>5.8783798142303336</v>
      </c>
      <c r="K113" s="247">
        <f ca="1">DSUM($B$72:$Y$77,K$72,$C$84:$D113)</f>
        <v>5.9488626853593125</v>
      </c>
      <c r="L113" s="247">
        <f ca="1">DSUM($B$72:$Y$77,L$72,$C$84:$D113)</f>
        <v>5.9744302291928486</v>
      </c>
      <c r="M113" s="247">
        <f ca="1">DSUM($B$72:$Y$77,M$72,$C$84:$D113)</f>
        <v>5.9818026144232554</v>
      </c>
      <c r="N113" s="247">
        <f ca="1">DSUM($B$72:$Y$77,N$72,$C$84:$D113)</f>
        <v>5.9828451815572592</v>
      </c>
      <c r="O113" s="247">
        <f ca="1">DSUM($B$72:$Y$77,O$72,$C$84:$D113)</f>
        <v>5.982558010320556</v>
      </c>
      <c r="P113" s="247">
        <f ca="1">DSUM($B$72:$Y$77,P$72,$C$84:$D113)</f>
        <v>5.9821684268980357</v>
      </c>
      <c r="Q113" s="247">
        <f ca="1">DSUM($B$72:$Y$77,Q$72,$C$84:$D113)</f>
        <v>5.9818835142446058</v>
      </c>
      <c r="R113" s="247">
        <f ca="1">DSUM($B$72:$Y$77,R$72,$C$84:$D113)</f>
        <v>5.9816847615782267</v>
      </c>
      <c r="S113" s="247">
        <f ca="1">DSUM($B$72:$Y$77,S$72,$C$84:$D113)</f>
        <v>5.9815438240996226</v>
      </c>
      <c r="T113" s="247">
        <f ca="1">DSUM($B$72:$Y$77,T$72,$C$84:$D113)</f>
        <v>5.9814397176673531</v>
      </c>
      <c r="U113" s="247">
        <f ca="1">DSUM($B$72:$Y$77,U$72,$C$84:$D113)</f>
        <v>5.9813645064391014</v>
      </c>
      <c r="V113" s="247">
        <f ca="1">DSUM($B$72:$Y$77,V$72,$C$84:$D113)</f>
        <v>5.9813008031548272</v>
      </c>
      <c r="W113" s="247">
        <f ca="1">DSUM($B$72:$Y$77,W$72,$C$84:$D113)</f>
        <v>5.9812379228458452</v>
      </c>
      <c r="X113" s="247">
        <f ca="1">DSUM($B$72:$Y$77,X$72,$C$84:$D113)</f>
        <v>5.9811786343939168</v>
      </c>
      <c r="Y113" s="166">
        <f ca="1">DSUM($B$72:$Y$77,Y$72,$C$84:$D113)</f>
        <v>54.214701088024171</v>
      </c>
    </row>
    <row r="114" spans="1:25">
      <c r="B114" s="11" t="s">
        <v>765</v>
      </c>
      <c r="C114" s="271" t="s">
        <v>744</v>
      </c>
      <c r="D114" s="271" t="s">
        <v>755</v>
      </c>
      <c r="E114" s="247">
        <f ca="1">DSUM($B$72:$Y$77,E$72,$C$84:$D114)</f>
        <v>2.6867300864424957</v>
      </c>
      <c r="F114" s="247">
        <f ca="1">DSUM($B$72:$Y$77,F$72,$C$84:$D114)</f>
        <v>3.9405374601156602</v>
      </c>
      <c r="G114" s="247">
        <f ca="1">DSUM($B$72:$Y$77,G$72,$C$84:$D114)</f>
        <v>4.7764090425644365</v>
      </c>
      <c r="H114" s="247">
        <f ca="1">DSUM($B$72:$Y$77,H$72,$C$84:$D114)</f>
        <v>5.3137550598529355</v>
      </c>
      <c r="I114" s="247">
        <f ca="1">DSUM($B$72:$Y$77,I$72,$C$84:$D114)</f>
        <v>5.6692414678112648</v>
      </c>
      <c r="J114" s="247">
        <f ca="1">DSUM($B$72:$Y$77,J$72,$C$84:$D114)</f>
        <v>5.8783798142303336</v>
      </c>
      <c r="K114" s="247">
        <f ca="1">DSUM($B$72:$Y$77,K$72,$C$84:$D114)</f>
        <v>5.9488626853593125</v>
      </c>
      <c r="L114" s="247">
        <f ca="1">DSUM($B$72:$Y$77,L$72,$C$84:$D114)</f>
        <v>5.9744302291928486</v>
      </c>
      <c r="M114" s="247">
        <f ca="1">DSUM($B$72:$Y$77,M$72,$C$84:$D114)</f>
        <v>5.9818026144232554</v>
      </c>
      <c r="N114" s="247">
        <f ca="1">DSUM($B$72:$Y$77,N$72,$C$84:$D114)</f>
        <v>5.9828451815572592</v>
      </c>
      <c r="O114" s="247">
        <f ca="1">DSUM($B$72:$Y$77,O$72,$C$84:$D114)</f>
        <v>5.982558010320556</v>
      </c>
      <c r="P114" s="247">
        <f ca="1">DSUM($B$72:$Y$77,P$72,$C$84:$D114)</f>
        <v>5.9821684268980357</v>
      </c>
      <c r="Q114" s="247">
        <f ca="1">DSUM($B$72:$Y$77,Q$72,$C$84:$D114)</f>
        <v>5.9818835142446058</v>
      </c>
      <c r="R114" s="247">
        <f ca="1">DSUM($B$72:$Y$77,R$72,$C$84:$D114)</f>
        <v>5.9816847615782267</v>
      </c>
      <c r="S114" s="247">
        <f ca="1">DSUM($B$72:$Y$77,S$72,$C$84:$D114)</f>
        <v>5.9815438240996226</v>
      </c>
      <c r="T114" s="247">
        <f ca="1">DSUM($B$72:$Y$77,T$72,$C$84:$D114)</f>
        <v>5.9814397176673531</v>
      </c>
      <c r="U114" s="247">
        <f ca="1">DSUM($B$72:$Y$77,U$72,$C$84:$D114)</f>
        <v>5.9813645064391014</v>
      </c>
      <c r="V114" s="247">
        <f ca="1">DSUM($B$72:$Y$77,V$72,$C$84:$D114)</f>
        <v>5.9813008031548272</v>
      </c>
      <c r="W114" s="247">
        <f ca="1">DSUM($B$72:$Y$77,W$72,$C$84:$D114)</f>
        <v>5.9812379228458452</v>
      </c>
      <c r="X114" s="247">
        <f ca="1">DSUM($B$72:$Y$77,X$72,$C$84:$D114)</f>
        <v>5.9811786343939168</v>
      </c>
      <c r="Y114" s="166">
        <f ca="1">DSUM($B$72:$Y$77,Y$72,$C$84:$D114)</f>
        <v>54.214701088024171</v>
      </c>
    </row>
    <row r="115" spans="1:25">
      <c r="B115" s="11" t="s">
        <v>766</v>
      </c>
      <c r="C115" s="271" t="s">
        <v>745</v>
      </c>
      <c r="D115" s="271" t="s">
        <v>756</v>
      </c>
      <c r="E115" s="247">
        <f ca="1">DSUM($B$72:$Y$77,E$72,$C$84:$D115)</f>
        <v>2.6867300864424957</v>
      </c>
      <c r="F115" s="247">
        <f ca="1">DSUM($B$72:$Y$77,F$72,$C$84:$D115)</f>
        <v>3.9405374601156602</v>
      </c>
      <c r="G115" s="247">
        <f ca="1">DSUM($B$72:$Y$77,G$72,$C$84:$D115)</f>
        <v>4.7764090425644365</v>
      </c>
      <c r="H115" s="247">
        <f ca="1">DSUM($B$72:$Y$77,H$72,$C$84:$D115)</f>
        <v>5.3137550598529355</v>
      </c>
      <c r="I115" s="247">
        <f ca="1">DSUM($B$72:$Y$77,I$72,$C$84:$D115)</f>
        <v>5.6692414678112648</v>
      </c>
      <c r="J115" s="247">
        <f ca="1">DSUM($B$72:$Y$77,J$72,$C$84:$D115)</f>
        <v>5.8783798142303336</v>
      </c>
      <c r="K115" s="247">
        <f ca="1">DSUM($B$72:$Y$77,K$72,$C$84:$D115)</f>
        <v>5.9488626853593125</v>
      </c>
      <c r="L115" s="247">
        <f ca="1">DSUM($B$72:$Y$77,L$72,$C$84:$D115)</f>
        <v>5.9744302291928486</v>
      </c>
      <c r="M115" s="247">
        <f ca="1">DSUM($B$72:$Y$77,M$72,$C$84:$D115)</f>
        <v>5.9818026144232554</v>
      </c>
      <c r="N115" s="247">
        <f ca="1">DSUM($B$72:$Y$77,N$72,$C$84:$D115)</f>
        <v>5.9828451815572592</v>
      </c>
      <c r="O115" s="247">
        <f ca="1">DSUM($B$72:$Y$77,O$72,$C$84:$D115)</f>
        <v>5.982558010320556</v>
      </c>
      <c r="P115" s="247">
        <f ca="1">DSUM($B$72:$Y$77,P$72,$C$84:$D115)</f>
        <v>5.9821684268980357</v>
      </c>
      <c r="Q115" s="247">
        <f ca="1">DSUM($B$72:$Y$77,Q$72,$C$84:$D115)</f>
        <v>5.9818835142446058</v>
      </c>
      <c r="R115" s="247">
        <f ca="1">DSUM($B$72:$Y$77,R$72,$C$84:$D115)</f>
        <v>5.9816847615782267</v>
      </c>
      <c r="S115" s="247">
        <f ca="1">DSUM($B$72:$Y$77,S$72,$C$84:$D115)</f>
        <v>5.9815438240996226</v>
      </c>
      <c r="T115" s="247">
        <f ca="1">DSUM($B$72:$Y$77,T$72,$C$84:$D115)</f>
        <v>5.9814397176673531</v>
      </c>
      <c r="U115" s="247">
        <f ca="1">DSUM($B$72:$Y$77,U$72,$C$84:$D115)</f>
        <v>5.9813645064391014</v>
      </c>
      <c r="V115" s="247">
        <f ca="1">DSUM($B$72:$Y$77,V$72,$C$84:$D115)</f>
        <v>5.9813008031548272</v>
      </c>
      <c r="W115" s="247">
        <f ca="1">DSUM($B$72:$Y$77,W$72,$C$84:$D115)</f>
        <v>5.9812379228458452</v>
      </c>
      <c r="X115" s="247">
        <f ca="1">DSUM($B$72:$Y$77,X$72,$C$84:$D115)</f>
        <v>5.9811786343939168</v>
      </c>
      <c r="Y115" s="166">
        <f ca="1">DSUM($B$72:$Y$77,Y$72,$C$84:$D115)</f>
        <v>54.214701088024171</v>
      </c>
    </row>
    <row r="116" spans="1:25">
      <c r="B116" s="11" t="s">
        <v>767</v>
      </c>
      <c r="C116" s="271" t="s">
        <v>746</v>
      </c>
      <c r="D116" s="271" t="s">
        <v>768</v>
      </c>
      <c r="E116" s="247">
        <f ca="1">DSUM($B$72:$Y$77,E$72,$C$84:$D116)</f>
        <v>2.6867300864424957</v>
      </c>
      <c r="F116" s="247">
        <f ca="1">DSUM($B$72:$Y$77,F$72,$C$84:$D116)</f>
        <v>3.9405374601156602</v>
      </c>
      <c r="G116" s="247">
        <f ca="1">DSUM($B$72:$Y$77,G$72,$C$84:$D116)</f>
        <v>4.7764090425644365</v>
      </c>
      <c r="H116" s="247">
        <f ca="1">DSUM($B$72:$Y$77,H$72,$C$84:$D116)</f>
        <v>5.3137550598529355</v>
      </c>
      <c r="I116" s="247">
        <f ca="1">DSUM($B$72:$Y$77,I$72,$C$84:$D116)</f>
        <v>5.6692414678112648</v>
      </c>
      <c r="J116" s="247">
        <f ca="1">DSUM($B$72:$Y$77,J$72,$C$84:$D116)</f>
        <v>5.8783798142303336</v>
      </c>
      <c r="K116" s="247">
        <f ca="1">DSUM($B$72:$Y$77,K$72,$C$84:$D116)</f>
        <v>5.9488626853593125</v>
      </c>
      <c r="L116" s="247">
        <f ca="1">DSUM($B$72:$Y$77,L$72,$C$84:$D116)</f>
        <v>5.9744302291928486</v>
      </c>
      <c r="M116" s="247">
        <f ca="1">DSUM($B$72:$Y$77,M$72,$C$84:$D116)</f>
        <v>5.9818026144232554</v>
      </c>
      <c r="N116" s="247">
        <f ca="1">DSUM($B$72:$Y$77,N$72,$C$84:$D116)</f>
        <v>5.9828451815572592</v>
      </c>
      <c r="O116" s="247">
        <f ca="1">DSUM($B$72:$Y$77,O$72,$C$84:$D116)</f>
        <v>5.982558010320556</v>
      </c>
      <c r="P116" s="247">
        <f ca="1">DSUM($B$72:$Y$77,P$72,$C$84:$D116)</f>
        <v>5.9821684268980357</v>
      </c>
      <c r="Q116" s="247">
        <f ca="1">DSUM($B$72:$Y$77,Q$72,$C$84:$D116)</f>
        <v>5.9818835142446058</v>
      </c>
      <c r="R116" s="247">
        <f ca="1">DSUM($B$72:$Y$77,R$72,$C$84:$D116)</f>
        <v>5.9816847615782267</v>
      </c>
      <c r="S116" s="247">
        <f ca="1">DSUM($B$72:$Y$77,S$72,$C$84:$D116)</f>
        <v>5.9815438240996226</v>
      </c>
      <c r="T116" s="247">
        <f ca="1">DSUM($B$72:$Y$77,T$72,$C$84:$D116)</f>
        <v>5.9814397176673531</v>
      </c>
      <c r="U116" s="247">
        <f ca="1">DSUM($B$72:$Y$77,U$72,$C$84:$D116)</f>
        <v>5.9813645064391014</v>
      </c>
      <c r="V116" s="247">
        <f ca="1">DSUM($B$72:$Y$77,V$72,$C$84:$D116)</f>
        <v>5.9813008031548272</v>
      </c>
      <c r="W116" s="247">
        <f ca="1">DSUM($B$72:$Y$77,W$72,$C$84:$D116)</f>
        <v>5.9812379228458452</v>
      </c>
      <c r="X116" s="247">
        <f ca="1">DSUM($B$72:$Y$77,X$72,$C$84:$D116)</f>
        <v>5.9811786343939168</v>
      </c>
      <c r="Y116" s="166">
        <f ca="1">DSUM($B$72:$Y$77,Y$72,$C$84:$D116)</f>
        <v>54.214701088024171</v>
      </c>
    </row>
    <row r="119" spans="1:25" ht="15">
      <c r="A119" s="432" t="s">
        <v>727</v>
      </c>
      <c r="B119" s="432"/>
    </row>
    <row r="120" spans="1:25" ht="15">
      <c r="C120" s="258" t="s">
        <v>996</v>
      </c>
      <c r="D120" s="258" t="str">
        <f>C8</f>
        <v>Street and Roadway Lighting-NR</v>
      </c>
      <c r="E120" s="406">
        <f>E14</f>
        <v>2016</v>
      </c>
      <c r="F120" s="406">
        <f t="shared" ref="F120:X120" si="43">F14</f>
        <v>2017</v>
      </c>
      <c r="G120" s="406">
        <f t="shared" si="43"/>
        <v>2018</v>
      </c>
      <c r="H120" s="406">
        <f t="shared" si="43"/>
        <v>2019</v>
      </c>
      <c r="I120" s="406">
        <f t="shared" si="43"/>
        <v>2020</v>
      </c>
      <c r="J120" s="406">
        <f t="shared" si="43"/>
        <v>2021</v>
      </c>
      <c r="K120" s="406">
        <f t="shared" si="43"/>
        <v>2022</v>
      </c>
      <c r="L120" s="406">
        <f t="shared" si="43"/>
        <v>2023</v>
      </c>
      <c r="M120" s="406">
        <f t="shared" si="43"/>
        <v>2024</v>
      </c>
      <c r="N120" s="406">
        <f t="shared" si="43"/>
        <v>2025</v>
      </c>
      <c r="O120" s="406">
        <f t="shared" si="43"/>
        <v>2026</v>
      </c>
      <c r="P120" s="406">
        <f t="shared" si="43"/>
        <v>2027</v>
      </c>
      <c r="Q120" s="406">
        <f t="shared" si="43"/>
        <v>2028</v>
      </c>
      <c r="R120" s="406">
        <f t="shared" si="43"/>
        <v>2029</v>
      </c>
      <c r="S120" s="406">
        <f t="shared" si="43"/>
        <v>2030</v>
      </c>
      <c r="T120" s="406">
        <f t="shared" si="43"/>
        <v>2031</v>
      </c>
      <c r="U120" s="406">
        <f t="shared" si="43"/>
        <v>2032</v>
      </c>
      <c r="V120" s="406">
        <f t="shared" si="43"/>
        <v>2033</v>
      </c>
      <c r="W120" s="406">
        <f t="shared" si="43"/>
        <v>2034</v>
      </c>
      <c r="X120" s="406">
        <f t="shared" si="43"/>
        <v>2035</v>
      </c>
      <c r="Y120" s="258"/>
    </row>
    <row r="121" spans="1:25" ht="15">
      <c r="C121" s="258">
        <f>C9</f>
        <v>2035</v>
      </c>
      <c r="D121" s="258"/>
      <c r="E121" s="407" t="str">
        <f>CONCATENATE("aMW_",E$14)</f>
        <v>aMW_2016</v>
      </c>
      <c r="F121" s="407" t="str">
        <f t="shared" ref="F121:X121" si="44">CONCATENATE("aMW_",F$14)</f>
        <v>aMW_2017</v>
      </c>
      <c r="G121" s="407" t="str">
        <f t="shared" si="44"/>
        <v>aMW_2018</v>
      </c>
      <c r="H121" s="407" t="str">
        <f t="shared" si="44"/>
        <v>aMW_2019</v>
      </c>
      <c r="I121" s="407" t="str">
        <f t="shared" si="44"/>
        <v>aMW_2020</v>
      </c>
      <c r="J121" s="407" t="str">
        <f t="shared" si="44"/>
        <v>aMW_2021</v>
      </c>
      <c r="K121" s="407" t="str">
        <f t="shared" si="44"/>
        <v>aMW_2022</v>
      </c>
      <c r="L121" s="407" t="str">
        <f t="shared" si="44"/>
        <v>aMW_2023</v>
      </c>
      <c r="M121" s="407" t="str">
        <f t="shared" si="44"/>
        <v>aMW_2024</v>
      </c>
      <c r="N121" s="407" t="str">
        <f t="shared" si="44"/>
        <v>aMW_2025</v>
      </c>
      <c r="O121" s="407" t="str">
        <f t="shared" si="44"/>
        <v>aMW_2026</v>
      </c>
      <c r="P121" s="407" t="str">
        <f t="shared" si="44"/>
        <v>aMW_2027</v>
      </c>
      <c r="Q121" s="407" t="str">
        <f t="shared" si="44"/>
        <v>aMW_2028</v>
      </c>
      <c r="R121" s="407" t="str">
        <f t="shared" si="44"/>
        <v>aMW_2029</v>
      </c>
      <c r="S121" s="407" t="str">
        <f t="shared" si="44"/>
        <v>aMW_2030</v>
      </c>
      <c r="T121" s="407" t="str">
        <f t="shared" si="44"/>
        <v>aMW_2031</v>
      </c>
      <c r="U121" s="407" t="str">
        <f t="shared" si="44"/>
        <v>aMW_2032</v>
      </c>
      <c r="V121" s="407" t="str">
        <f t="shared" si="44"/>
        <v>aMW_2033</v>
      </c>
      <c r="W121" s="407" t="str">
        <f t="shared" si="44"/>
        <v>aMW_2034</v>
      </c>
      <c r="X121" s="407" t="str">
        <f t="shared" si="44"/>
        <v>aMW_2035</v>
      </c>
      <c r="Y121" s="409" t="s">
        <v>772</v>
      </c>
    </row>
    <row r="122" spans="1:25">
      <c r="C122" s="11" t="s">
        <v>639</v>
      </c>
      <c r="E122" s="264">
        <f t="shared" ref="E122:X122" ca="1" si="45">E85</f>
        <v>2.4628508284356094</v>
      </c>
      <c r="F122" s="264">
        <f t="shared" ca="1" si="45"/>
        <v>3.6121812150388939</v>
      </c>
      <c r="G122" s="264">
        <f t="shared" ca="1" si="45"/>
        <v>4.3784014727744172</v>
      </c>
      <c r="H122" s="264">
        <f t="shared" ca="1" si="45"/>
        <v>4.8709716384615387</v>
      </c>
      <c r="I122" s="264">
        <f t="shared" ca="1" si="45"/>
        <v>5.1968361526364752</v>
      </c>
      <c r="J122" s="264">
        <f t="shared" ca="1" si="45"/>
        <v>5.388547464589613</v>
      </c>
      <c r="K122" s="264">
        <f t="shared" ca="1" si="45"/>
        <v>5.4531571544227946</v>
      </c>
      <c r="L122" s="264">
        <f t="shared" ca="1" si="45"/>
        <v>5.4765942115463346</v>
      </c>
      <c r="M122" s="264">
        <f t="shared" ca="1" si="45"/>
        <v>5.4833522722699914</v>
      </c>
      <c r="N122" s="264">
        <f t="shared" ca="1" si="45"/>
        <v>5.4843079645974937</v>
      </c>
      <c r="O122" s="264">
        <f t="shared" ca="1" si="45"/>
        <v>5.4840447227028992</v>
      </c>
      <c r="P122" s="264">
        <f t="shared" ca="1" si="45"/>
        <v>5.483687602402747</v>
      </c>
      <c r="Q122" s="264">
        <f t="shared" ca="1" si="45"/>
        <v>5.4834264308886933</v>
      </c>
      <c r="R122" s="264">
        <f t="shared" ca="1" si="45"/>
        <v>5.4832442398411008</v>
      </c>
      <c r="S122" s="264">
        <f t="shared" ca="1" si="45"/>
        <v>5.4831150463699405</v>
      </c>
      <c r="T122" s="264">
        <f t="shared" ca="1" si="45"/>
        <v>5.4830196148957286</v>
      </c>
      <c r="U122" s="264">
        <f t="shared" ca="1" si="45"/>
        <v>5.4829506708522828</v>
      </c>
      <c r="V122" s="264">
        <f t="shared" ca="1" si="45"/>
        <v>5.4828922758213707</v>
      </c>
      <c r="W122" s="264">
        <f t="shared" ca="1" si="45"/>
        <v>5.4828346351890458</v>
      </c>
      <c r="X122" s="264">
        <f t="shared" ca="1" si="45"/>
        <v>5.4827802871122948</v>
      </c>
      <c r="Y122" s="264">
        <f ca="1">Y85</f>
        <v>50.204016497269777</v>
      </c>
    </row>
    <row r="123" spans="1:25">
      <c r="C123" s="11" t="s">
        <v>640</v>
      </c>
      <c r="E123" s="264">
        <f t="shared" ref="E123:X123" ca="1" si="46">E86-E85</f>
        <v>0</v>
      </c>
      <c r="F123" s="264">
        <f t="shared" ca="1" si="46"/>
        <v>0</v>
      </c>
      <c r="G123" s="264">
        <f t="shared" ca="1" si="46"/>
        <v>0</v>
      </c>
      <c r="H123" s="264">
        <f t="shared" ca="1" si="46"/>
        <v>0</v>
      </c>
      <c r="I123" s="264">
        <f t="shared" ca="1" si="46"/>
        <v>0</v>
      </c>
      <c r="J123" s="264">
        <f t="shared" ca="1" si="46"/>
        <v>0</v>
      </c>
      <c r="K123" s="264">
        <f t="shared" ca="1" si="46"/>
        <v>0</v>
      </c>
      <c r="L123" s="264">
        <f t="shared" ca="1" si="46"/>
        <v>0</v>
      </c>
      <c r="M123" s="264">
        <f t="shared" ca="1" si="46"/>
        <v>0</v>
      </c>
      <c r="N123" s="264">
        <f t="shared" ca="1" si="46"/>
        <v>0</v>
      </c>
      <c r="O123" s="264">
        <f t="shared" ca="1" si="46"/>
        <v>0</v>
      </c>
      <c r="P123" s="264">
        <f t="shared" ca="1" si="46"/>
        <v>0</v>
      </c>
      <c r="Q123" s="264">
        <f t="shared" ca="1" si="46"/>
        <v>0</v>
      </c>
      <c r="R123" s="264">
        <f t="shared" ca="1" si="46"/>
        <v>0</v>
      </c>
      <c r="S123" s="264">
        <f t="shared" ca="1" si="46"/>
        <v>0</v>
      </c>
      <c r="T123" s="264">
        <f t="shared" ca="1" si="46"/>
        <v>0</v>
      </c>
      <c r="U123" s="264">
        <f t="shared" ca="1" si="46"/>
        <v>0</v>
      </c>
      <c r="V123" s="264">
        <f t="shared" ca="1" si="46"/>
        <v>0</v>
      </c>
      <c r="W123" s="264">
        <f t="shared" ca="1" si="46"/>
        <v>0</v>
      </c>
      <c r="X123" s="264">
        <f t="shared" ca="1" si="46"/>
        <v>0</v>
      </c>
      <c r="Y123" s="264">
        <f t="shared" ref="Y123:Y153" ca="1" si="47">Y86-Y85</f>
        <v>0</v>
      </c>
    </row>
    <row r="124" spans="1:25">
      <c r="C124" s="11" t="s">
        <v>641</v>
      </c>
      <c r="E124" s="264">
        <f t="shared" ref="E124:X124" ca="1" si="48">E87-E86</f>
        <v>0.22387925800688624</v>
      </c>
      <c r="F124" s="264">
        <f t="shared" ca="1" si="48"/>
        <v>0.32835624507676631</v>
      </c>
      <c r="G124" s="264">
        <f t="shared" ca="1" si="48"/>
        <v>0.39800756979001939</v>
      </c>
      <c r="H124" s="264">
        <f t="shared" ca="1" si="48"/>
        <v>0.44278342139139681</v>
      </c>
      <c r="I124" s="264">
        <f t="shared" ca="1" si="48"/>
        <v>0.47240531517478956</v>
      </c>
      <c r="J124" s="264">
        <f t="shared" ca="1" si="48"/>
        <v>0.48983234964072064</v>
      </c>
      <c r="K124" s="264">
        <f t="shared" ca="1" si="48"/>
        <v>0.49570553093651792</v>
      </c>
      <c r="L124" s="264">
        <f t="shared" ca="1" si="48"/>
        <v>0.49783601764651397</v>
      </c>
      <c r="M124" s="264">
        <f t="shared" ca="1" si="48"/>
        <v>0.498450342153264</v>
      </c>
      <c r="N124" s="264">
        <f t="shared" ca="1" si="48"/>
        <v>0.49853721695976549</v>
      </c>
      <c r="O124" s="264">
        <f t="shared" ca="1" si="48"/>
        <v>0.49851328761765679</v>
      </c>
      <c r="P124" s="264">
        <f t="shared" ca="1" si="48"/>
        <v>0.49848082449528874</v>
      </c>
      <c r="Q124" s="264">
        <f t="shared" ca="1" si="48"/>
        <v>0.49845708335591254</v>
      </c>
      <c r="R124" s="264">
        <f t="shared" ca="1" si="48"/>
        <v>0.49844052173712594</v>
      </c>
      <c r="S124" s="264">
        <f t="shared" ca="1" si="48"/>
        <v>0.49842877772968208</v>
      </c>
      <c r="T124" s="264">
        <f t="shared" ca="1" si="48"/>
        <v>0.49842010277162441</v>
      </c>
      <c r="U124" s="264">
        <f t="shared" ca="1" si="48"/>
        <v>0.49841383558681862</v>
      </c>
      <c r="V124" s="264">
        <f t="shared" ca="1" si="48"/>
        <v>0.49840852733345642</v>
      </c>
      <c r="W124" s="264">
        <f t="shared" ca="1" si="48"/>
        <v>0.49840328765679942</v>
      </c>
      <c r="X124" s="264">
        <f t="shared" ca="1" si="48"/>
        <v>0.49839834728162202</v>
      </c>
      <c r="Y124" s="264">
        <f t="shared" ca="1" si="47"/>
        <v>4.0106845907543942</v>
      </c>
    </row>
    <row r="125" spans="1:25">
      <c r="C125" s="11" t="s">
        <v>642</v>
      </c>
      <c r="E125" s="264">
        <f t="shared" ref="E125:X125" ca="1" si="49">E88-E87</f>
        <v>0</v>
      </c>
      <c r="F125" s="264">
        <f t="shared" ca="1" si="49"/>
        <v>0</v>
      </c>
      <c r="G125" s="264">
        <f t="shared" ca="1" si="49"/>
        <v>0</v>
      </c>
      <c r="H125" s="264">
        <f t="shared" ca="1" si="49"/>
        <v>0</v>
      </c>
      <c r="I125" s="264">
        <f t="shared" ca="1" si="49"/>
        <v>0</v>
      </c>
      <c r="J125" s="264">
        <f t="shared" ca="1" si="49"/>
        <v>0</v>
      </c>
      <c r="K125" s="264">
        <f t="shared" ca="1" si="49"/>
        <v>0</v>
      </c>
      <c r="L125" s="264">
        <f t="shared" ca="1" si="49"/>
        <v>0</v>
      </c>
      <c r="M125" s="264">
        <f t="shared" ca="1" si="49"/>
        <v>0</v>
      </c>
      <c r="N125" s="264">
        <f t="shared" ca="1" si="49"/>
        <v>0</v>
      </c>
      <c r="O125" s="264">
        <f t="shared" ca="1" si="49"/>
        <v>0</v>
      </c>
      <c r="P125" s="264">
        <f t="shared" ca="1" si="49"/>
        <v>0</v>
      </c>
      <c r="Q125" s="264">
        <f t="shared" ca="1" si="49"/>
        <v>0</v>
      </c>
      <c r="R125" s="264">
        <f t="shared" ca="1" si="49"/>
        <v>0</v>
      </c>
      <c r="S125" s="264">
        <f t="shared" ca="1" si="49"/>
        <v>0</v>
      </c>
      <c r="T125" s="264">
        <f t="shared" ca="1" si="49"/>
        <v>0</v>
      </c>
      <c r="U125" s="264">
        <f t="shared" ca="1" si="49"/>
        <v>0</v>
      </c>
      <c r="V125" s="264">
        <f t="shared" ca="1" si="49"/>
        <v>0</v>
      </c>
      <c r="W125" s="264">
        <f t="shared" ca="1" si="49"/>
        <v>0</v>
      </c>
      <c r="X125" s="264">
        <f t="shared" ca="1" si="49"/>
        <v>0</v>
      </c>
      <c r="Y125" s="264">
        <f t="shared" ca="1" si="47"/>
        <v>0</v>
      </c>
    </row>
    <row r="126" spans="1:25">
      <c r="C126" s="11" t="s">
        <v>643</v>
      </c>
      <c r="E126" s="264">
        <f t="shared" ref="E126:X126" ca="1" si="50">E89-E88</f>
        <v>0</v>
      </c>
      <c r="F126" s="264">
        <f t="shared" ca="1" si="50"/>
        <v>0</v>
      </c>
      <c r="G126" s="264">
        <f t="shared" ca="1" si="50"/>
        <v>0</v>
      </c>
      <c r="H126" s="264">
        <f t="shared" ca="1" si="50"/>
        <v>0</v>
      </c>
      <c r="I126" s="264">
        <f t="shared" ca="1" si="50"/>
        <v>0</v>
      </c>
      <c r="J126" s="264">
        <f t="shared" ca="1" si="50"/>
        <v>0</v>
      </c>
      <c r="K126" s="264">
        <f t="shared" ca="1" si="50"/>
        <v>0</v>
      </c>
      <c r="L126" s="264">
        <f t="shared" ca="1" si="50"/>
        <v>0</v>
      </c>
      <c r="M126" s="264">
        <f t="shared" ca="1" si="50"/>
        <v>0</v>
      </c>
      <c r="N126" s="264">
        <f t="shared" ca="1" si="50"/>
        <v>0</v>
      </c>
      <c r="O126" s="264">
        <f t="shared" ca="1" si="50"/>
        <v>0</v>
      </c>
      <c r="P126" s="264">
        <f t="shared" ca="1" si="50"/>
        <v>0</v>
      </c>
      <c r="Q126" s="264">
        <f t="shared" ca="1" si="50"/>
        <v>0</v>
      </c>
      <c r="R126" s="264">
        <f t="shared" ca="1" si="50"/>
        <v>0</v>
      </c>
      <c r="S126" s="264">
        <f t="shared" ca="1" si="50"/>
        <v>0</v>
      </c>
      <c r="T126" s="264">
        <f t="shared" ca="1" si="50"/>
        <v>0</v>
      </c>
      <c r="U126" s="264">
        <f t="shared" ca="1" si="50"/>
        <v>0</v>
      </c>
      <c r="V126" s="264">
        <f t="shared" ca="1" si="50"/>
        <v>0</v>
      </c>
      <c r="W126" s="264">
        <f t="shared" ca="1" si="50"/>
        <v>0</v>
      </c>
      <c r="X126" s="264">
        <f t="shared" ca="1" si="50"/>
        <v>0</v>
      </c>
      <c r="Y126" s="264">
        <f t="shared" ca="1" si="47"/>
        <v>0</v>
      </c>
    </row>
    <row r="127" spans="1:25">
      <c r="C127" s="11" t="s">
        <v>644</v>
      </c>
      <c r="E127" s="264">
        <f t="shared" ref="E127:X127" ca="1" si="51">E90-E89</f>
        <v>0</v>
      </c>
      <c r="F127" s="264">
        <f t="shared" ca="1" si="51"/>
        <v>0</v>
      </c>
      <c r="G127" s="264">
        <f t="shared" ca="1" si="51"/>
        <v>0</v>
      </c>
      <c r="H127" s="264">
        <f t="shared" ca="1" si="51"/>
        <v>0</v>
      </c>
      <c r="I127" s="264">
        <f t="shared" ca="1" si="51"/>
        <v>0</v>
      </c>
      <c r="J127" s="264">
        <f t="shared" ca="1" si="51"/>
        <v>0</v>
      </c>
      <c r="K127" s="264">
        <f t="shared" ca="1" si="51"/>
        <v>0</v>
      </c>
      <c r="L127" s="264">
        <f t="shared" ca="1" si="51"/>
        <v>0</v>
      </c>
      <c r="M127" s="264">
        <f t="shared" ca="1" si="51"/>
        <v>0</v>
      </c>
      <c r="N127" s="264">
        <f t="shared" ca="1" si="51"/>
        <v>0</v>
      </c>
      <c r="O127" s="264">
        <f t="shared" ca="1" si="51"/>
        <v>0</v>
      </c>
      <c r="P127" s="264">
        <f t="shared" ca="1" si="51"/>
        <v>0</v>
      </c>
      <c r="Q127" s="264">
        <f t="shared" ca="1" si="51"/>
        <v>0</v>
      </c>
      <c r="R127" s="264">
        <f t="shared" ca="1" si="51"/>
        <v>0</v>
      </c>
      <c r="S127" s="264">
        <f t="shared" ca="1" si="51"/>
        <v>0</v>
      </c>
      <c r="T127" s="264">
        <f t="shared" ca="1" si="51"/>
        <v>0</v>
      </c>
      <c r="U127" s="264">
        <f t="shared" ca="1" si="51"/>
        <v>0</v>
      </c>
      <c r="V127" s="264">
        <f t="shared" ca="1" si="51"/>
        <v>0</v>
      </c>
      <c r="W127" s="264">
        <f t="shared" ca="1" si="51"/>
        <v>0</v>
      </c>
      <c r="X127" s="264">
        <f t="shared" ca="1" si="51"/>
        <v>0</v>
      </c>
      <c r="Y127" s="264">
        <f t="shared" ca="1" si="47"/>
        <v>0</v>
      </c>
    </row>
    <row r="128" spans="1:25">
      <c r="C128" s="11" t="s">
        <v>645</v>
      </c>
      <c r="E128" s="264">
        <f t="shared" ref="E128:X128" ca="1" si="52">E91-E90</f>
        <v>0</v>
      </c>
      <c r="F128" s="264">
        <f t="shared" ca="1" si="52"/>
        <v>0</v>
      </c>
      <c r="G128" s="264">
        <f t="shared" ca="1" si="52"/>
        <v>0</v>
      </c>
      <c r="H128" s="264">
        <f t="shared" ca="1" si="52"/>
        <v>0</v>
      </c>
      <c r="I128" s="264">
        <f t="shared" ca="1" si="52"/>
        <v>0</v>
      </c>
      <c r="J128" s="264">
        <f t="shared" ca="1" si="52"/>
        <v>0</v>
      </c>
      <c r="K128" s="264">
        <f t="shared" ca="1" si="52"/>
        <v>0</v>
      </c>
      <c r="L128" s="264">
        <f t="shared" ca="1" si="52"/>
        <v>0</v>
      </c>
      <c r="M128" s="264">
        <f t="shared" ca="1" si="52"/>
        <v>0</v>
      </c>
      <c r="N128" s="264">
        <f t="shared" ca="1" si="52"/>
        <v>0</v>
      </c>
      <c r="O128" s="264">
        <f t="shared" ca="1" si="52"/>
        <v>0</v>
      </c>
      <c r="P128" s="264">
        <f t="shared" ca="1" si="52"/>
        <v>0</v>
      </c>
      <c r="Q128" s="264">
        <f t="shared" ca="1" si="52"/>
        <v>0</v>
      </c>
      <c r="R128" s="264">
        <f t="shared" ca="1" si="52"/>
        <v>0</v>
      </c>
      <c r="S128" s="264">
        <f t="shared" ca="1" si="52"/>
        <v>0</v>
      </c>
      <c r="T128" s="264">
        <f t="shared" ca="1" si="52"/>
        <v>0</v>
      </c>
      <c r="U128" s="264">
        <f t="shared" ca="1" si="52"/>
        <v>0</v>
      </c>
      <c r="V128" s="264">
        <f t="shared" ca="1" si="52"/>
        <v>0</v>
      </c>
      <c r="W128" s="264">
        <f t="shared" ca="1" si="52"/>
        <v>0</v>
      </c>
      <c r="X128" s="264">
        <f t="shared" ca="1" si="52"/>
        <v>0</v>
      </c>
      <c r="Y128" s="264">
        <f t="shared" ca="1" si="47"/>
        <v>0</v>
      </c>
    </row>
    <row r="129" spans="3:25">
      <c r="C129" s="11" t="s">
        <v>646</v>
      </c>
      <c r="E129" s="264">
        <f t="shared" ref="E129:X129" ca="1" si="53">E92-E91</f>
        <v>0</v>
      </c>
      <c r="F129" s="264">
        <f t="shared" ca="1" si="53"/>
        <v>0</v>
      </c>
      <c r="G129" s="264">
        <f t="shared" ca="1" si="53"/>
        <v>0</v>
      </c>
      <c r="H129" s="264">
        <f t="shared" ca="1" si="53"/>
        <v>0</v>
      </c>
      <c r="I129" s="264">
        <f t="shared" ca="1" si="53"/>
        <v>0</v>
      </c>
      <c r="J129" s="264">
        <f t="shared" ca="1" si="53"/>
        <v>0</v>
      </c>
      <c r="K129" s="264">
        <f t="shared" ca="1" si="53"/>
        <v>0</v>
      </c>
      <c r="L129" s="264">
        <f t="shared" ca="1" si="53"/>
        <v>0</v>
      </c>
      <c r="M129" s="264">
        <f t="shared" ca="1" si="53"/>
        <v>0</v>
      </c>
      <c r="N129" s="264">
        <f t="shared" ca="1" si="53"/>
        <v>0</v>
      </c>
      <c r="O129" s="264">
        <f t="shared" ca="1" si="53"/>
        <v>0</v>
      </c>
      <c r="P129" s="264">
        <f t="shared" ca="1" si="53"/>
        <v>0</v>
      </c>
      <c r="Q129" s="264">
        <f t="shared" ca="1" si="53"/>
        <v>0</v>
      </c>
      <c r="R129" s="264">
        <f t="shared" ca="1" si="53"/>
        <v>0</v>
      </c>
      <c r="S129" s="264">
        <f t="shared" ca="1" si="53"/>
        <v>0</v>
      </c>
      <c r="T129" s="264">
        <f t="shared" ca="1" si="53"/>
        <v>0</v>
      </c>
      <c r="U129" s="264">
        <f t="shared" ca="1" si="53"/>
        <v>0</v>
      </c>
      <c r="V129" s="264">
        <f t="shared" ca="1" si="53"/>
        <v>0</v>
      </c>
      <c r="W129" s="264">
        <f t="shared" ca="1" si="53"/>
        <v>0</v>
      </c>
      <c r="X129" s="264">
        <f t="shared" ca="1" si="53"/>
        <v>0</v>
      </c>
      <c r="Y129" s="264">
        <f t="shared" ca="1" si="47"/>
        <v>0</v>
      </c>
    </row>
    <row r="130" spans="3:25">
      <c r="C130" s="11" t="s">
        <v>647</v>
      </c>
      <c r="E130" s="264">
        <f t="shared" ref="E130:X130" ca="1" si="54">E93-E92</f>
        <v>0</v>
      </c>
      <c r="F130" s="264">
        <f t="shared" ca="1" si="54"/>
        <v>0</v>
      </c>
      <c r="G130" s="264">
        <f t="shared" ca="1" si="54"/>
        <v>0</v>
      </c>
      <c r="H130" s="264">
        <f t="shared" ca="1" si="54"/>
        <v>0</v>
      </c>
      <c r="I130" s="264">
        <f t="shared" ca="1" si="54"/>
        <v>0</v>
      </c>
      <c r="J130" s="264">
        <f t="shared" ca="1" si="54"/>
        <v>0</v>
      </c>
      <c r="K130" s="264">
        <f t="shared" ca="1" si="54"/>
        <v>0</v>
      </c>
      <c r="L130" s="264">
        <f t="shared" ca="1" si="54"/>
        <v>0</v>
      </c>
      <c r="M130" s="264">
        <f t="shared" ca="1" si="54"/>
        <v>0</v>
      </c>
      <c r="N130" s="264">
        <f t="shared" ca="1" si="54"/>
        <v>0</v>
      </c>
      <c r="O130" s="264">
        <f t="shared" ca="1" si="54"/>
        <v>0</v>
      </c>
      <c r="P130" s="264">
        <f t="shared" ca="1" si="54"/>
        <v>0</v>
      </c>
      <c r="Q130" s="264">
        <f t="shared" ca="1" si="54"/>
        <v>0</v>
      </c>
      <c r="R130" s="264">
        <f t="shared" ca="1" si="54"/>
        <v>0</v>
      </c>
      <c r="S130" s="264">
        <f t="shared" ca="1" si="54"/>
        <v>0</v>
      </c>
      <c r="T130" s="264">
        <f t="shared" ca="1" si="54"/>
        <v>0</v>
      </c>
      <c r="U130" s="264">
        <f t="shared" ca="1" si="54"/>
        <v>0</v>
      </c>
      <c r="V130" s="264">
        <f t="shared" ca="1" si="54"/>
        <v>0</v>
      </c>
      <c r="W130" s="264">
        <f t="shared" ca="1" si="54"/>
        <v>0</v>
      </c>
      <c r="X130" s="264">
        <f t="shared" ca="1" si="54"/>
        <v>0</v>
      </c>
      <c r="Y130" s="264">
        <f t="shared" ca="1" si="47"/>
        <v>0</v>
      </c>
    </row>
    <row r="131" spans="3:25">
      <c r="C131" s="11" t="s">
        <v>648</v>
      </c>
      <c r="E131" s="264">
        <f t="shared" ref="E131:X131" ca="1" si="55">E94-E93</f>
        <v>0</v>
      </c>
      <c r="F131" s="264">
        <f t="shared" ca="1" si="55"/>
        <v>0</v>
      </c>
      <c r="G131" s="264">
        <f t="shared" ca="1" si="55"/>
        <v>0</v>
      </c>
      <c r="H131" s="264">
        <f t="shared" ca="1" si="55"/>
        <v>0</v>
      </c>
      <c r="I131" s="264">
        <f t="shared" ca="1" si="55"/>
        <v>0</v>
      </c>
      <c r="J131" s="264">
        <f t="shared" ca="1" si="55"/>
        <v>0</v>
      </c>
      <c r="K131" s="264">
        <f t="shared" ca="1" si="55"/>
        <v>0</v>
      </c>
      <c r="L131" s="264">
        <f t="shared" ca="1" si="55"/>
        <v>0</v>
      </c>
      <c r="M131" s="264">
        <f t="shared" ca="1" si="55"/>
        <v>0</v>
      </c>
      <c r="N131" s="264">
        <f t="shared" ca="1" si="55"/>
        <v>0</v>
      </c>
      <c r="O131" s="264">
        <f t="shared" ca="1" si="55"/>
        <v>0</v>
      </c>
      <c r="P131" s="264">
        <f t="shared" ca="1" si="55"/>
        <v>0</v>
      </c>
      <c r="Q131" s="264">
        <f t="shared" ca="1" si="55"/>
        <v>0</v>
      </c>
      <c r="R131" s="264">
        <f t="shared" ca="1" si="55"/>
        <v>0</v>
      </c>
      <c r="S131" s="264">
        <f t="shared" ca="1" si="55"/>
        <v>0</v>
      </c>
      <c r="T131" s="264">
        <f t="shared" ca="1" si="55"/>
        <v>0</v>
      </c>
      <c r="U131" s="264">
        <f t="shared" ca="1" si="55"/>
        <v>0</v>
      </c>
      <c r="V131" s="264">
        <f t="shared" ca="1" si="55"/>
        <v>0</v>
      </c>
      <c r="W131" s="264">
        <f t="shared" ca="1" si="55"/>
        <v>0</v>
      </c>
      <c r="X131" s="264">
        <f t="shared" ca="1" si="55"/>
        <v>0</v>
      </c>
      <c r="Y131" s="264">
        <f t="shared" ca="1" si="47"/>
        <v>0</v>
      </c>
    </row>
    <row r="132" spans="3:25">
      <c r="C132" s="11" t="s">
        <v>649</v>
      </c>
      <c r="E132" s="264">
        <f t="shared" ref="E132:X132" ca="1" si="56">E95-E94</f>
        <v>0</v>
      </c>
      <c r="F132" s="264">
        <f t="shared" ca="1" si="56"/>
        <v>0</v>
      </c>
      <c r="G132" s="264">
        <f t="shared" ca="1" si="56"/>
        <v>0</v>
      </c>
      <c r="H132" s="264">
        <f t="shared" ca="1" si="56"/>
        <v>0</v>
      </c>
      <c r="I132" s="264">
        <f t="shared" ca="1" si="56"/>
        <v>0</v>
      </c>
      <c r="J132" s="264">
        <f t="shared" ca="1" si="56"/>
        <v>0</v>
      </c>
      <c r="K132" s="264">
        <f t="shared" ca="1" si="56"/>
        <v>0</v>
      </c>
      <c r="L132" s="264">
        <f t="shared" ca="1" si="56"/>
        <v>0</v>
      </c>
      <c r="M132" s="264">
        <f t="shared" ca="1" si="56"/>
        <v>0</v>
      </c>
      <c r="N132" s="264">
        <f t="shared" ca="1" si="56"/>
        <v>0</v>
      </c>
      <c r="O132" s="264">
        <f t="shared" ca="1" si="56"/>
        <v>0</v>
      </c>
      <c r="P132" s="264">
        <f t="shared" ca="1" si="56"/>
        <v>0</v>
      </c>
      <c r="Q132" s="264">
        <f t="shared" ca="1" si="56"/>
        <v>0</v>
      </c>
      <c r="R132" s="264">
        <f t="shared" ca="1" si="56"/>
        <v>0</v>
      </c>
      <c r="S132" s="264">
        <f t="shared" ca="1" si="56"/>
        <v>0</v>
      </c>
      <c r="T132" s="264">
        <f t="shared" ca="1" si="56"/>
        <v>0</v>
      </c>
      <c r="U132" s="264">
        <f t="shared" ca="1" si="56"/>
        <v>0</v>
      </c>
      <c r="V132" s="264">
        <f t="shared" ca="1" si="56"/>
        <v>0</v>
      </c>
      <c r="W132" s="264">
        <f t="shared" ca="1" si="56"/>
        <v>0</v>
      </c>
      <c r="X132" s="264">
        <f t="shared" ca="1" si="56"/>
        <v>0</v>
      </c>
      <c r="Y132" s="264">
        <f t="shared" ca="1" si="47"/>
        <v>0</v>
      </c>
    </row>
    <row r="133" spans="3:25">
      <c r="C133" s="11" t="s">
        <v>650</v>
      </c>
      <c r="E133" s="264">
        <f t="shared" ref="E133:X133" ca="1" si="57">E96-E95</f>
        <v>0</v>
      </c>
      <c r="F133" s="264">
        <f t="shared" ca="1" si="57"/>
        <v>0</v>
      </c>
      <c r="G133" s="264">
        <f t="shared" ca="1" si="57"/>
        <v>0</v>
      </c>
      <c r="H133" s="264">
        <f t="shared" ca="1" si="57"/>
        <v>0</v>
      </c>
      <c r="I133" s="264">
        <f t="shared" ca="1" si="57"/>
        <v>0</v>
      </c>
      <c r="J133" s="264">
        <f t="shared" ca="1" si="57"/>
        <v>0</v>
      </c>
      <c r="K133" s="264">
        <f t="shared" ca="1" si="57"/>
        <v>0</v>
      </c>
      <c r="L133" s="264">
        <f t="shared" ca="1" si="57"/>
        <v>0</v>
      </c>
      <c r="M133" s="264">
        <f t="shared" ca="1" si="57"/>
        <v>0</v>
      </c>
      <c r="N133" s="264">
        <f t="shared" ca="1" si="57"/>
        <v>0</v>
      </c>
      <c r="O133" s="264">
        <f t="shared" ca="1" si="57"/>
        <v>0</v>
      </c>
      <c r="P133" s="264">
        <f t="shared" ca="1" si="57"/>
        <v>0</v>
      </c>
      <c r="Q133" s="264">
        <f t="shared" ca="1" si="57"/>
        <v>0</v>
      </c>
      <c r="R133" s="264">
        <f t="shared" ca="1" si="57"/>
        <v>0</v>
      </c>
      <c r="S133" s="264">
        <f t="shared" ca="1" si="57"/>
        <v>0</v>
      </c>
      <c r="T133" s="264">
        <f t="shared" ca="1" si="57"/>
        <v>0</v>
      </c>
      <c r="U133" s="264">
        <f t="shared" ca="1" si="57"/>
        <v>0</v>
      </c>
      <c r="V133" s="264">
        <f t="shared" ca="1" si="57"/>
        <v>0</v>
      </c>
      <c r="W133" s="264">
        <f t="shared" ca="1" si="57"/>
        <v>0</v>
      </c>
      <c r="X133" s="264">
        <f t="shared" ca="1" si="57"/>
        <v>0</v>
      </c>
      <c r="Y133" s="264">
        <f t="shared" ca="1" si="47"/>
        <v>0</v>
      </c>
    </row>
    <row r="134" spans="3:25">
      <c r="C134" s="11" t="s">
        <v>651</v>
      </c>
      <c r="E134" s="264">
        <f t="shared" ref="E134:X134" ca="1" si="58">E97-E96</f>
        <v>0</v>
      </c>
      <c r="F134" s="264">
        <f t="shared" ca="1" si="58"/>
        <v>0</v>
      </c>
      <c r="G134" s="264">
        <f t="shared" ca="1" si="58"/>
        <v>0</v>
      </c>
      <c r="H134" s="264">
        <f t="shared" ca="1" si="58"/>
        <v>0</v>
      </c>
      <c r="I134" s="264">
        <f t="shared" ca="1" si="58"/>
        <v>0</v>
      </c>
      <c r="J134" s="264">
        <f t="shared" ca="1" si="58"/>
        <v>0</v>
      </c>
      <c r="K134" s="264">
        <f t="shared" ca="1" si="58"/>
        <v>0</v>
      </c>
      <c r="L134" s="264">
        <f t="shared" ca="1" si="58"/>
        <v>0</v>
      </c>
      <c r="M134" s="264">
        <f t="shared" ca="1" si="58"/>
        <v>0</v>
      </c>
      <c r="N134" s="264">
        <f t="shared" ca="1" si="58"/>
        <v>0</v>
      </c>
      <c r="O134" s="264">
        <f t="shared" ca="1" si="58"/>
        <v>0</v>
      </c>
      <c r="P134" s="264">
        <f t="shared" ca="1" si="58"/>
        <v>0</v>
      </c>
      <c r="Q134" s="264">
        <f t="shared" ca="1" si="58"/>
        <v>0</v>
      </c>
      <c r="R134" s="264">
        <f t="shared" ca="1" si="58"/>
        <v>0</v>
      </c>
      <c r="S134" s="264">
        <f t="shared" ca="1" si="58"/>
        <v>0</v>
      </c>
      <c r="T134" s="264">
        <f t="shared" ca="1" si="58"/>
        <v>0</v>
      </c>
      <c r="U134" s="264">
        <f t="shared" ca="1" si="58"/>
        <v>0</v>
      </c>
      <c r="V134" s="264">
        <f t="shared" ca="1" si="58"/>
        <v>0</v>
      </c>
      <c r="W134" s="264">
        <f t="shared" ca="1" si="58"/>
        <v>0</v>
      </c>
      <c r="X134" s="264">
        <f t="shared" ca="1" si="58"/>
        <v>0</v>
      </c>
      <c r="Y134" s="264">
        <f t="shared" ca="1" si="47"/>
        <v>0</v>
      </c>
    </row>
    <row r="135" spans="3:25">
      <c r="C135" s="11" t="s">
        <v>652</v>
      </c>
      <c r="E135" s="264">
        <f t="shared" ref="E135:X135" ca="1" si="59">E98-E97</f>
        <v>0</v>
      </c>
      <c r="F135" s="264">
        <f t="shared" ca="1" si="59"/>
        <v>0</v>
      </c>
      <c r="G135" s="264">
        <f t="shared" ca="1" si="59"/>
        <v>0</v>
      </c>
      <c r="H135" s="264">
        <f t="shared" ca="1" si="59"/>
        <v>0</v>
      </c>
      <c r="I135" s="264">
        <f t="shared" ca="1" si="59"/>
        <v>0</v>
      </c>
      <c r="J135" s="264">
        <f t="shared" ca="1" si="59"/>
        <v>0</v>
      </c>
      <c r="K135" s="264">
        <f t="shared" ca="1" si="59"/>
        <v>0</v>
      </c>
      <c r="L135" s="264">
        <f t="shared" ca="1" si="59"/>
        <v>0</v>
      </c>
      <c r="M135" s="264">
        <f t="shared" ca="1" si="59"/>
        <v>0</v>
      </c>
      <c r="N135" s="264">
        <f t="shared" ca="1" si="59"/>
        <v>0</v>
      </c>
      <c r="O135" s="264">
        <f t="shared" ca="1" si="59"/>
        <v>0</v>
      </c>
      <c r="P135" s="264">
        <f t="shared" ca="1" si="59"/>
        <v>0</v>
      </c>
      <c r="Q135" s="264">
        <f t="shared" ca="1" si="59"/>
        <v>0</v>
      </c>
      <c r="R135" s="264">
        <f t="shared" ca="1" si="59"/>
        <v>0</v>
      </c>
      <c r="S135" s="264">
        <f t="shared" ca="1" si="59"/>
        <v>0</v>
      </c>
      <c r="T135" s="264">
        <f t="shared" ca="1" si="59"/>
        <v>0</v>
      </c>
      <c r="U135" s="264">
        <f t="shared" ca="1" si="59"/>
        <v>0</v>
      </c>
      <c r="V135" s="264">
        <f t="shared" ca="1" si="59"/>
        <v>0</v>
      </c>
      <c r="W135" s="264">
        <f t="shared" ca="1" si="59"/>
        <v>0</v>
      </c>
      <c r="X135" s="264">
        <f t="shared" ca="1" si="59"/>
        <v>0</v>
      </c>
      <c r="Y135" s="264">
        <f t="shared" ca="1" si="47"/>
        <v>0</v>
      </c>
    </row>
    <row r="136" spans="3:25">
      <c r="C136" s="11" t="s">
        <v>653</v>
      </c>
      <c r="E136" s="264">
        <f t="shared" ref="E136:X136" ca="1" si="60">E99-E98</f>
        <v>0</v>
      </c>
      <c r="F136" s="264">
        <f t="shared" ca="1" si="60"/>
        <v>0</v>
      </c>
      <c r="G136" s="264">
        <f t="shared" ca="1" si="60"/>
        <v>0</v>
      </c>
      <c r="H136" s="264">
        <f t="shared" ca="1" si="60"/>
        <v>0</v>
      </c>
      <c r="I136" s="264">
        <f t="shared" ca="1" si="60"/>
        <v>0</v>
      </c>
      <c r="J136" s="264">
        <f t="shared" ca="1" si="60"/>
        <v>0</v>
      </c>
      <c r="K136" s="264">
        <f t="shared" ca="1" si="60"/>
        <v>0</v>
      </c>
      <c r="L136" s="264">
        <f t="shared" ca="1" si="60"/>
        <v>0</v>
      </c>
      <c r="M136" s="264">
        <f t="shared" ca="1" si="60"/>
        <v>0</v>
      </c>
      <c r="N136" s="264">
        <f t="shared" ca="1" si="60"/>
        <v>0</v>
      </c>
      <c r="O136" s="264">
        <f t="shared" ca="1" si="60"/>
        <v>0</v>
      </c>
      <c r="P136" s="264">
        <f t="shared" ca="1" si="60"/>
        <v>0</v>
      </c>
      <c r="Q136" s="264">
        <f t="shared" ca="1" si="60"/>
        <v>0</v>
      </c>
      <c r="R136" s="264">
        <f t="shared" ca="1" si="60"/>
        <v>0</v>
      </c>
      <c r="S136" s="264">
        <f t="shared" ca="1" si="60"/>
        <v>0</v>
      </c>
      <c r="T136" s="264">
        <f t="shared" ca="1" si="60"/>
        <v>0</v>
      </c>
      <c r="U136" s="264">
        <f t="shared" ca="1" si="60"/>
        <v>0</v>
      </c>
      <c r="V136" s="264">
        <f t="shared" ca="1" si="60"/>
        <v>0</v>
      </c>
      <c r="W136" s="264">
        <f t="shared" ca="1" si="60"/>
        <v>0</v>
      </c>
      <c r="X136" s="264">
        <f t="shared" ca="1" si="60"/>
        <v>0</v>
      </c>
      <c r="Y136" s="264">
        <f t="shared" ca="1" si="47"/>
        <v>0</v>
      </c>
    </row>
    <row r="137" spans="3:25">
      <c r="C137" s="11" t="s">
        <v>654</v>
      </c>
      <c r="E137" s="264">
        <f t="shared" ref="E137:X137" ca="1" si="61">E100-E99</f>
        <v>0</v>
      </c>
      <c r="F137" s="264">
        <f t="shared" ca="1" si="61"/>
        <v>0</v>
      </c>
      <c r="G137" s="264">
        <f t="shared" ca="1" si="61"/>
        <v>0</v>
      </c>
      <c r="H137" s="264">
        <f t="shared" ca="1" si="61"/>
        <v>0</v>
      </c>
      <c r="I137" s="264">
        <f t="shared" ca="1" si="61"/>
        <v>0</v>
      </c>
      <c r="J137" s="264">
        <f t="shared" ca="1" si="61"/>
        <v>0</v>
      </c>
      <c r="K137" s="264">
        <f t="shared" ca="1" si="61"/>
        <v>0</v>
      </c>
      <c r="L137" s="264">
        <f t="shared" ca="1" si="61"/>
        <v>0</v>
      </c>
      <c r="M137" s="264">
        <f t="shared" ca="1" si="61"/>
        <v>0</v>
      </c>
      <c r="N137" s="264">
        <f t="shared" ca="1" si="61"/>
        <v>0</v>
      </c>
      <c r="O137" s="264">
        <f t="shared" ca="1" si="61"/>
        <v>0</v>
      </c>
      <c r="P137" s="264">
        <f t="shared" ca="1" si="61"/>
        <v>0</v>
      </c>
      <c r="Q137" s="264">
        <f t="shared" ca="1" si="61"/>
        <v>0</v>
      </c>
      <c r="R137" s="264">
        <f t="shared" ca="1" si="61"/>
        <v>0</v>
      </c>
      <c r="S137" s="264">
        <f t="shared" ca="1" si="61"/>
        <v>0</v>
      </c>
      <c r="T137" s="264">
        <f t="shared" ca="1" si="61"/>
        <v>0</v>
      </c>
      <c r="U137" s="264">
        <f t="shared" ca="1" si="61"/>
        <v>0</v>
      </c>
      <c r="V137" s="264">
        <f t="shared" ca="1" si="61"/>
        <v>0</v>
      </c>
      <c r="W137" s="264">
        <f t="shared" ca="1" si="61"/>
        <v>0</v>
      </c>
      <c r="X137" s="264">
        <f t="shared" ca="1" si="61"/>
        <v>0</v>
      </c>
      <c r="Y137" s="264">
        <f t="shared" ca="1" si="47"/>
        <v>0</v>
      </c>
    </row>
    <row r="138" spans="3:25">
      <c r="C138" s="11" t="s">
        <v>655</v>
      </c>
      <c r="E138" s="264">
        <f t="shared" ref="E138:X138" ca="1" si="62">E101-E100</f>
        <v>0</v>
      </c>
      <c r="F138" s="264">
        <f t="shared" ca="1" si="62"/>
        <v>0</v>
      </c>
      <c r="G138" s="264">
        <f t="shared" ca="1" si="62"/>
        <v>0</v>
      </c>
      <c r="H138" s="264">
        <f t="shared" ca="1" si="62"/>
        <v>0</v>
      </c>
      <c r="I138" s="264">
        <f t="shared" ca="1" si="62"/>
        <v>0</v>
      </c>
      <c r="J138" s="264">
        <f t="shared" ca="1" si="62"/>
        <v>0</v>
      </c>
      <c r="K138" s="264">
        <f t="shared" ca="1" si="62"/>
        <v>0</v>
      </c>
      <c r="L138" s="264">
        <f t="shared" ca="1" si="62"/>
        <v>0</v>
      </c>
      <c r="M138" s="264">
        <f t="shared" ca="1" si="62"/>
        <v>0</v>
      </c>
      <c r="N138" s="264">
        <f t="shared" ca="1" si="62"/>
        <v>0</v>
      </c>
      <c r="O138" s="264">
        <f t="shared" ca="1" si="62"/>
        <v>0</v>
      </c>
      <c r="P138" s="264">
        <f t="shared" ca="1" si="62"/>
        <v>0</v>
      </c>
      <c r="Q138" s="264">
        <f t="shared" ca="1" si="62"/>
        <v>0</v>
      </c>
      <c r="R138" s="264">
        <f t="shared" ca="1" si="62"/>
        <v>0</v>
      </c>
      <c r="S138" s="264">
        <f t="shared" ca="1" si="62"/>
        <v>0</v>
      </c>
      <c r="T138" s="264">
        <f t="shared" ca="1" si="62"/>
        <v>0</v>
      </c>
      <c r="U138" s="264">
        <f t="shared" ca="1" si="62"/>
        <v>0</v>
      </c>
      <c r="V138" s="264">
        <f t="shared" ca="1" si="62"/>
        <v>0</v>
      </c>
      <c r="W138" s="264">
        <f t="shared" ca="1" si="62"/>
        <v>0</v>
      </c>
      <c r="X138" s="264">
        <f t="shared" ca="1" si="62"/>
        <v>0</v>
      </c>
      <c r="Y138" s="264">
        <f t="shared" ca="1" si="47"/>
        <v>0</v>
      </c>
    </row>
    <row r="139" spans="3:25">
      <c r="C139" s="11" t="s">
        <v>656</v>
      </c>
      <c r="E139" s="264">
        <f t="shared" ref="E139:X139" ca="1" si="63">E102-E101</f>
        <v>0</v>
      </c>
      <c r="F139" s="264">
        <f t="shared" ca="1" si="63"/>
        <v>0</v>
      </c>
      <c r="G139" s="264">
        <f t="shared" ca="1" si="63"/>
        <v>0</v>
      </c>
      <c r="H139" s="264">
        <f t="shared" ca="1" si="63"/>
        <v>0</v>
      </c>
      <c r="I139" s="264">
        <f t="shared" ca="1" si="63"/>
        <v>0</v>
      </c>
      <c r="J139" s="264">
        <f t="shared" ca="1" si="63"/>
        <v>0</v>
      </c>
      <c r="K139" s="264">
        <f t="shared" ca="1" si="63"/>
        <v>0</v>
      </c>
      <c r="L139" s="264">
        <f t="shared" ca="1" si="63"/>
        <v>0</v>
      </c>
      <c r="M139" s="264">
        <f t="shared" ca="1" si="63"/>
        <v>0</v>
      </c>
      <c r="N139" s="264">
        <f t="shared" ca="1" si="63"/>
        <v>0</v>
      </c>
      <c r="O139" s="264">
        <f t="shared" ca="1" si="63"/>
        <v>0</v>
      </c>
      <c r="P139" s="264">
        <f t="shared" ca="1" si="63"/>
        <v>0</v>
      </c>
      <c r="Q139" s="264">
        <f t="shared" ca="1" si="63"/>
        <v>0</v>
      </c>
      <c r="R139" s="264">
        <f t="shared" ca="1" si="63"/>
        <v>0</v>
      </c>
      <c r="S139" s="264">
        <f t="shared" ca="1" si="63"/>
        <v>0</v>
      </c>
      <c r="T139" s="264">
        <f t="shared" ca="1" si="63"/>
        <v>0</v>
      </c>
      <c r="U139" s="264">
        <f t="shared" ca="1" si="63"/>
        <v>0</v>
      </c>
      <c r="V139" s="264">
        <f t="shared" ca="1" si="63"/>
        <v>0</v>
      </c>
      <c r="W139" s="264">
        <f t="shared" ca="1" si="63"/>
        <v>0</v>
      </c>
      <c r="X139" s="264">
        <f t="shared" ca="1" si="63"/>
        <v>0</v>
      </c>
      <c r="Y139" s="264">
        <f t="shared" ca="1" si="47"/>
        <v>0</v>
      </c>
    </row>
    <row r="140" spans="3:25">
      <c r="C140" s="11" t="s">
        <v>657</v>
      </c>
      <c r="E140" s="264">
        <f t="shared" ref="E140:X140" ca="1" si="64">E103-E102</f>
        <v>0</v>
      </c>
      <c r="F140" s="264">
        <f t="shared" ca="1" si="64"/>
        <v>0</v>
      </c>
      <c r="G140" s="264">
        <f t="shared" ca="1" si="64"/>
        <v>0</v>
      </c>
      <c r="H140" s="264">
        <f t="shared" ca="1" si="64"/>
        <v>0</v>
      </c>
      <c r="I140" s="264">
        <f t="shared" ca="1" si="64"/>
        <v>0</v>
      </c>
      <c r="J140" s="264">
        <f t="shared" ca="1" si="64"/>
        <v>0</v>
      </c>
      <c r="K140" s="264">
        <f t="shared" ca="1" si="64"/>
        <v>0</v>
      </c>
      <c r="L140" s="264">
        <f t="shared" ca="1" si="64"/>
        <v>0</v>
      </c>
      <c r="M140" s="264">
        <f t="shared" ca="1" si="64"/>
        <v>0</v>
      </c>
      <c r="N140" s="264">
        <f t="shared" ca="1" si="64"/>
        <v>0</v>
      </c>
      <c r="O140" s="264">
        <f t="shared" ca="1" si="64"/>
        <v>0</v>
      </c>
      <c r="P140" s="264">
        <f t="shared" ca="1" si="64"/>
        <v>0</v>
      </c>
      <c r="Q140" s="264">
        <f t="shared" ca="1" si="64"/>
        <v>0</v>
      </c>
      <c r="R140" s="264">
        <f t="shared" ca="1" si="64"/>
        <v>0</v>
      </c>
      <c r="S140" s="264">
        <f t="shared" ca="1" si="64"/>
        <v>0</v>
      </c>
      <c r="T140" s="264">
        <f t="shared" ca="1" si="64"/>
        <v>0</v>
      </c>
      <c r="U140" s="264">
        <f t="shared" ca="1" si="64"/>
        <v>0</v>
      </c>
      <c r="V140" s="264">
        <f t="shared" ca="1" si="64"/>
        <v>0</v>
      </c>
      <c r="W140" s="264">
        <f t="shared" ca="1" si="64"/>
        <v>0</v>
      </c>
      <c r="X140" s="264">
        <f t="shared" ca="1" si="64"/>
        <v>0</v>
      </c>
      <c r="Y140" s="264">
        <f t="shared" ca="1" si="47"/>
        <v>0</v>
      </c>
    </row>
    <row r="141" spans="3:25">
      <c r="C141" s="11" t="s">
        <v>658</v>
      </c>
      <c r="E141" s="264">
        <f t="shared" ref="E141:X141" ca="1" si="65">E104-E103</f>
        <v>0</v>
      </c>
      <c r="F141" s="264">
        <f t="shared" ca="1" si="65"/>
        <v>0</v>
      </c>
      <c r="G141" s="264">
        <f t="shared" ca="1" si="65"/>
        <v>0</v>
      </c>
      <c r="H141" s="264">
        <f t="shared" ca="1" si="65"/>
        <v>0</v>
      </c>
      <c r="I141" s="264">
        <f t="shared" ca="1" si="65"/>
        <v>0</v>
      </c>
      <c r="J141" s="264">
        <f t="shared" ca="1" si="65"/>
        <v>0</v>
      </c>
      <c r="K141" s="264">
        <f t="shared" ca="1" si="65"/>
        <v>0</v>
      </c>
      <c r="L141" s="264">
        <f t="shared" ca="1" si="65"/>
        <v>0</v>
      </c>
      <c r="M141" s="264">
        <f t="shared" ca="1" si="65"/>
        <v>0</v>
      </c>
      <c r="N141" s="264">
        <f t="shared" ca="1" si="65"/>
        <v>0</v>
      </c>
      <c r="O141" s="264">
        <f t="shared" ca="1" si="65"/>
        <v>0</v>
      </c>
      <c r="P141" s="264">
        <f t="shared" ca="1" si="65"/>
        <v>0</v>
      </c>
      <c r="Q141" s="264">
        <f t="shared" ca="1" si="65"/>
        <v>0</v>
      </c>
      <c r="R141" s="264">
        <f t="shared" ca="1" si="65"/>
        <v>0</v>
      </c>
      <c r="S141" s="264">
        <f t="shared" ca="1" si="65"/>
        <v>0</v>
      </c>
      <c r="T141" s="264">
        <f t="shared" ca="1" si="65"/>
        <v>0</v>
      </c>
      <c r="U141" s="264">
        <f t="shared" ca="1" si="65"/>
        <v>0</v>
      </c>
      <c r="V141" s="264">
        <f t="shared" ca="1" si="65"/>
        <v>0</v>
      </c>
      <c r="W141" s="264">
        <f t="shared" ca="1" si="65"/>
        <v>0</v>
      </c>
      <c r="X141" s="264">
        <f t="shared" ca="1" si="65"/>
        <v>0</v>
      </c>
      <c r="Y141" s="264">
        <f t="shared" ca="1" si="47"/>
        <v>0</v>
      </c>
    </row>
    <row r="142" spans="3:25">
      <c r="C142" s="11" t="s">
        <v>659</v>
      </c>
      <c r="E142" s="264">
        <f t="shared" ref="E142:X142" ca="1" si="66">E105-E104</f>
        <v>0</v>
      </c>
      <c r="F142" s="264">
        <f t="shared" ca="1" si="66"/>
        <v>0</v>
      </c>
      <c r="G142" s="264">
        <f t="shared" ca="1" si="66"/>
        <v>0</v>
      </c>
      <c r="H142" s="264">
        <f t="shared" ca="1" si="66"/>
        <v>0</v>
      </c>
      <c r="I142" s="264">
        <f t="shared" ca="1" si="66"/>
        <v>0</v>
      </c>
      <c r="J142" s="264">
        <f t="shared" ca="1" si="66"/>
        <v>0</v>
      </c>
      <c r="K142" s="264">
        <f t="shared" ca="1" si="66"/>
        <v>0</v>
      </c>
      <c r="L142" s="264">
        <f t="shared" ca="1" si="66"/>
        <v>0</v>
      </c>
      <c r="M142" s="264">
        <f t="shared" ca="1" si="66"/>
        <v>0</v>
      </c>
      <c r="N142" s="264">
        <f t="shared" ca="1" si="66"/>
        <v>0</v>
      </c>
      <c r="O142" s="264">
        <f t="shared" ca="1" si="66"/>
        <v>0</v>
      </c>
      <c r="P142" s="264">
        <f t="shared" ca="1" si="66"/>
        <v>0</v>
      </c>
      <c r="Q142" s="264">
        <f t="shared" ca="1" si="66"/>
        <v>0</v>
      </c>
      <c r="R142" s="264">
        <f t="shared" ca="1" si="66"/>
        <v>0</v>
      </c>
      <c r="S142" s="264">
        <f t="shared" ca="1" si="66"/>
        <v>0</v>
      </c>
      <c r="T142" s="264">
        <f t="shared" ca="1" si="66"/>
        <v>0</v>
      </c>
      <c r="U142" s="264">
        <f t="shared" ca="1" si="66"/>
        <v>0</v>
      </c>
      <c r="V142" s="264">
        <f t="shared" ca="1" si="66"/>
        <v>0</v>
      </c>
      <c r="W142" s="264">
        <f t="shared" ca="1" si="66"/>
        <v>0</v>
      </c>
      <c r="X142" s="264">
        <f t="shared" ca="1" si="66"/>
        <v>0</v>
      </c>
      <c r="Y142" s="264">
        <f t="shared" ca="1" si="47"/>
        <v>0</v>
      </c>
    </row>
    <row r="143" spans="3:25">
      <c r="C143" s="11" t="s">
        <v>757</v>
      </c>
      <c r="E143" s="264">
        <f t="shared" ref="E143:X143" ca="1" si="67">E106-E105</f>
        <v>0</v>
      </c>
      <c r="F143" s="264">
        <f t="shared" ca="1" si="67"/>
        <v>0</v>
      </c>
      <c r="G143" s="264">
        <f t="shared" ca="1" si="67"/>
        <v>0</v>
      </c>
      <c r="H143" s="264">
        <f t="shared" ca="1" si="67"/>
        <v>0</v>
      </c>
      <c r="I143" s="264">
        <f t="shared" ca="1" si="67"/>
        <v>0</v>
      </c>
      <c r="J143" s="264">
        <f t="shared" ca="1" si="67"/>
        <v>0</v>
      </c>
      <c r="K143" s="264">
        <f t="shared" ca="1" si="67"/>
        <v>0</v>
      </c>
      <c r="L143" s="264">
        <f t="shared" ca="1" si="67"/>
        <v>0</v>
      </c>
      <c r="M143" s="264">
        <f t="shared" ca="1" si="67"/>
        <v>0</v>
      </c>
      <c r="N143" s="264">
        <f t="shared" ca="1" si="67"/>
        <v>0</v>
      </c>
      <c r="O143" s="264">
        <f t="shared" ca="1" si="67"/>
        <v>0</v>
      </c>
      <c r="P143" s="264">
        <f t="shared" ca="1" si="67"/>
        <v>0</v>
      </c>
      <c r="Q143" s="264">
        <f t="shared" ca="1" si="67"/>
        <v>0</v>
      </c>
      <c r="R143" s="264">
        <f t="shared" ca="1" si="67"/>
        <v>0</v>
      </c>
      <c r="S143" s="264">
        <f t="shared" ca="1" si="67"/>
        <v>0</v>
      </c>
      <c r="T143" s="264">
        <f t="shared" ca="1" si="67"/>
        <v>0</v>
      </c>
      <c r="U143" s="264">
        <f t="shared" ca="1" si="67"/>
        <v>0</v>
      </c>
      <c r="V143" s="264">
        <f t="shared" ca="1" si="67"/>
        <v>0</v>
      </c>
      <c r="W143" s="264">
        <f t="shared" ca="1" si="67"/>
        <v>0</v>
      </c>
      <c r="X143" s="264">
        <f t="shared" ca="1" si="67"/>
        <v>0</v>
      </c>
      <c r="Y143" s="264">
        <f t="shared" ca="1" si="47"/>
        <v>0</v>
      </c>
    </row>
    <row r="144" spans="3:25">
      <c r="C144" s="11" t="s">
        <v>758</v>
      </c>
      <c r="E144" s="264">
        <f t="shared" ref="E144:X144" ca="1" si="68">E107-E106</f>
        <v>0</v>
      </c>
      <c r="F144" s="264">
        <f t="shared" ca="1" si="68"/>
        <v>0</v>
      </c>
      <c r="G144" s="264">
        <f t="shared" ca="1" si="68"/>
        <v>0</v>
      </c>
      <c r="H144" s="264">
        <f t="shared" ca="1" si="68"/>
        <v>0</v>
      </c>
      <c r="I144" s="264">
        <f t="shared" ca="1" si="68"/>
        <v>0</v>
      </c>
      <c r="J144" s="264">
        <f t="shared" ca="1" si="68"/>
        <v>0</v>
      </c>
      <c r="K144" s="264">
        <f t="shared" ca="1" si="68"/>
        <v>0</v>
      </c>
      <c r="L144" s="264">
        <f t="shared" ca="1" si="68"/>
        <v>0</v>
      </c>
      <c r="M144" s="264">
        <f t="shared" ca="1" si="68"/>
        <v>0</v>
      </c>
      <c r="N144" s="264">
        <f t="shared" ca="1" si="68"/>
        <v>0</v>
      </c>
      <c r="O144" s="264">
        <f t="shared" ca="1" si="68"/>
        <v>0</v>
      </c>
      <c r="P144" s="264">
        <f t="shared" ca="1" si="68"/>
        <v>0</v>
      </c>
      <c r="Q144" s="264">
        <f t="shared" ca="1" si="68"/>
        <v>0</v>
      </c>
      <c r="R144" s="264">
        <f t="shared" ca="1" si="68"/>
        <v>0</v>
      </c>
      <c r="S144" s="264">
        <f t="shared" ca="1" si="68"/>
        <v>0</v>
      </c>
      <c r="T144" s="264">
        <f t="shared" ca="1" si="68"/>
        <v>0</v>
      </c>
      <c r="U144" s="264">
        <f t="shared" ca="1" si="68"/>
        <v>0</v>
      </c>
      <c r="V144" s="264">
        <f t="shared" ca="1" si="68"/>
        <v>0</v>
      </c>
      <c r="W144" s="264">
        <f t="shared" ca="1" si="68"/>
        <v>0</v>
      </c>
      <c r="X144" s="264">
        <f t="shared" ca="1" si="68"/>
        <v>0</v>
      </c>
      <c r="Y144" s="264">
        <f t="shared" ca="1" si="47"/>
        <v>0</v>
      </c>
    </row>
    <row r="145" spans="3:25">
      <c r="C145" s="11" t="s">
        <v>759</v>
      </c>
      <c r="E145" s="264">
        <f t="shared" ref="E145:X145" ca="1" si="69">E108-E107</f>
        <v>0</v>
      </c>
      <c r="F145" s="264">
        <f t="shared" ca="1" si="69"/>
        <v>0</v>
      </c>
      <c r="G145" s="264">
        <f t="shared" ca="1" si="69"/>
        <v>0</v>
      </c>
      <c r="H145" s="264">
        <f t="shared" ca="1" si="69"/>
        <v>0</v>
      </c>
      <c r="I145" s="264">
        <f t="shared" ca="1" si="69"/>
        <v>0</v>
      </c>
      <c r="J145" s="264">
        <f t="shared" ca="1" si="69"/>
        <v>0</v>
      </c>
      <c r="K145" s="264">
        <f t="shared" ca="1" si="69"/>
        <v>0</v>
      </c>
      <c r="L145" s="264">
        <f t="shared" ca="1" si="69"/>
        <v>0</v>
      </c>
      <c r="M145" s="264">
        <f t="shared" ca="1" si="69"/>
        <v>0</v>
      </c>
      <c r="N145" s="264">
        <f t="shared" ca="1" si="69"/>
        <v>0</v>
      </c>
      <c r="O145" s="264">
        <f t="shared" ca="1" si="69"/>
        <v>0</v>
      </c>
      <c r="P145" s="264">
        <f t="shared" ca="1" si="69"/>
        <v>0</v>
      </c>
      <c r="Q145" s="264">
        <f t="shared" ca="1" si="69"/>
        <v>0</v>
      </c>
      <c r="R145" s="264">
        <f t="shared" ca="1" si="69"/>
        <v>0</v>
      </c>
      <c r="S145" s="264">
        <f t="shared" ca="1" si="69"/>
        <v>0</v>
      </c>
      <c r="T145" s="264">
        <f t="shared" ca="1" si="69"/>
        <v>0</v>
      </c>
      <c r="U145" s="264">
        <f t="shared" ca="1" si="69"/>
        <v>0</v>
      </c>
      <c r="V145" s="264">
        <f t="shared" ca="1" si="69"/>
        <v>0</v>
      </c>
      <c r="W145" s="264">
        <f t="shared" ca="1" si="69"/>
        <v>0</v>
      </c>
      <c r="X145" s="264">
        <f t="shared" ca="1" si="69"/>
        <v>0</v>
      </c>
      <c r="Y145" s="264">
        <f t="shared" ca="1" si="47"/>
        <v>0</v>
      </c>
    </row>
    <row r="146" spans="3:25">
      <c r="C146" s="11" t="s">
        <v>760</v>
      </c>
      <c r="E146" s="264">
        <f t="shared" ref="E146:X146" ca="1" si="70">E109-E108</f>
        <v>0</v>
      </c>
      <c r="F146" s="264">
        <f t="shared" ca="1" si="70"/>
        <v>0</v>
      </c>
      <c r="G146" s="264">
        <f t="shared" ca="1" si="70"/>
        <v>0</v>
      </c>
      <c r="H146" s="264">
        <f t="shared" ca="1" si="70"/>
        <v>0</v>
      </c>
      <c r="I146" s="264">
        <f t="shared" ca="1" si="70"/>
        <v>0</v>
      </c>
      <c r="J146" s="264">
        <f t="shared" ca="1" si="70"/>
        <v>0</v>
      </c>
      <c r="K146" s="264">
        <f t="shared" ca="1" si="70"/>
        <v>0</v>
      </c>
      <c r="L146" s="264">
        <f t="shared" ca="1" si="70"/>
        <v>0</v>
      </c>
      <c r="M146" s="264">
        <f t="shared" ca="1" si="70"/>
        <v>0</v>
      </c>
      <c r="N146" s="264">
        <f t="shared" ca="1" si="70"/>
        <v>0</v>
      </c>
      <c r="O146" s="264">
        <f t="shared" ca="1" si="70"/>
        <v>0</v>
      </c>
      <c r="P146" s="264">
        <f t="shared" ca="1" si="70"/>
        <v>0</v>
      </c>
      <c r="Q146" s="264">
        <f t="shared" ca="1" si="70"/>
        <v>0</v>
      </c>
      <c r="R146" s="264">
        <f t="shared" ca="1" si="70"/>
        <v>0</v>
      </c>
      <c r="S146" s="264">
        <f t="shared" ca="1" si="70"/>
        <v>0</v>
      </c>
      <c r="T146" s="264">
        <f t="shared" ca="1" si="70"/>
        <v>0</v>
      </c>
      <c r="U146" s="264">
        <f t="shared" ca="1" si="70"/>
        <v>0</v>
      </c>
      <c r="V146" s="264">
        <f t="shared" ca="1" si="70"/>
        <v>0</v>
      </c>
      <c r="W146" s="264">
        <f t="shared" ca="1" si="70"/>
        <v>0</v>
      </c>
      <c r="X146" s="264">
        <f t="shared" ca="1" si="70"/>
        <v>0</v>
      </c>
      <c r="Y146" s="264">
        <f t="shared" ca="1" si="47"/>
        <v>0</v>
      </c>
    </row>
    <row r="147" spans="3:25">
      <c r="C147" s="11" t="s">
        <v>761</v>
      </c>
      <c r="E147" s="264">
        <f t="shared" ref="E147:X147" ca="1" si="71">E110-E109</f>
        <v>0</v>
      </c>
      <c r="F147" s="264">
        <f t="shared" ca="1" si="71"/>
        <v>0</v>
      </c>
      <c r="G147" s="264">
        <f t="shared" ca="1" si="71"/>
        <v>0</v>
      </c>
      <c r="H147" s="264">
        <f t="shared" ca="1" si="71"/>
        <v>0</v>
      </c>
      <c r="I147" s="264">
        <f t="shared" ca="1" si="71"/>
        <v>0</v>
      </c>
      <c r="J147" s="264">
        <f t="shared" ca="1" si="71"/>
        <v>0</v>
      </c>
      <c r="K147" s="264">
        <f t="shared" ca="1" si="71"/>
        <v>0</v>
      </c>
      <c r="L147" s="264">
        <f t="shared" ca="1" si="71"/>
        <v>0</v>
      </c>
      <c r="M147" s="264">
        <f t="shared" ca="1" si="71"/>
        <v>0</v>
      </c>
      <c r="N147" s="264">
        <f t="shared" ca="1" si="71"/>
        <v>0</v>
      </c>
      <c r="O147" s="264">
        <f t="shared" ca="1" si="71"/>
        <v>0</v>
      </c>
      <c r="P147" s="264">
        <f t="shared" ca="1" si="71"/>
        <v>0</v>
      </c>
      <c r="Q147" s="264">
        <f t="shared" ca="1" si="71"/>
        <v>0</v>
      </c>
      <c r="R147" s="264">
        <f t="shared" ca="1" si="71"/>
        <v>0</v>
      </c>
      <c r="S147" s="264">
        <f t="shared" ca="1" si="71"/>
        <v>0</v>
      </c>
      <c r="T147" s="264">
        <f t="shared" ca="1" si="71"/>
        <v>0</v>
      </c>
      <c r="U147" s="264">
        <f t="shared" ca="1" si="71"/>
        <v>0</v>
      </c>
      <c r="V147" s="264">
        <f t="shared" ca="1" si="71"/>
        <v>0</v>
      </c>
      <c r="W147" s="264">
        <f t="shared" ca="1" si="71"/>
        <v>0</v>
      </c>
      <c r="X147" s="264">
        <f t="shared" ca="1" si="71"/>
        <v>0</v>
      </c>
      <c r="Y147" s="264">
        <f t="shared" ca="1" si="47"/>
        <v>0</v>
      </c>
    </row>
    <row r="148" spans="3:25">
      <c r="C148" s="11" t="s">
        <v>762</v>
      </c>
      <c r="E148" s="264">
        <f t="shared" ref="E148:X148" ca="1" si="72">E111-E110</f>
        <v>0</v>
      </c>
      <c r="F148" s="264">
        <f t="shared" ca="1" si="72"/>
        <v>0</v>
      </c>
      <c r="G148" s="264">
        <f t="shared" ca="1" si="72"/>
        <v>0</v>
      </c>
      <c r="H148" s="264">
        <f t="shared" ca="1" si="72"/>
        <v>0</v>
      </c>
      <c r="I148" s="264">
        <f t="shared" ca="1" si="72"/>
        <v>0</v>
      </c>
      <c r="J148" s="264">
        <f t="shared" ca="1" si="72"/>
        <v>0</v>
      </c>
      <c r="K148" s="264">
        <f t="shared" ca="1" si="72"/>
        <v>0</v>
      </c>
      <c r="L148" s="264">
        <f t="shared" ca="1" si="72"/>
        <v>0</v>
      </c>
      <c r="M148" s="264">
        <f t="shared" ca="1" si="72"/>
        <v>0</v>
      </c>
      <c r="N148" s="264">
        <f t="shared" ca="1" si="72"/>
        <v>0</v>
      </c>
      <c r="O148" s="264">
        <f t="shared" ca="1" si="72"/>
        <v>0</v>
      </c>
      <c r="P148" s="264">
        <f t="shared" ca="1" si="72"/>
        <v>0</v>
      </c>
      <c r="Q148" s="264">
        <f t="shared" ca="1" si="72"/>
        <v>0</v>
      </c>
      <c r="R148" s="264">
        <f t="shared" ca="1" si="72"/>
        <v>0</v>
      </c>
      <c r="S148" s="264">
        <f t="shared" ca="1" si="72"/>
        <v>0</v>
      </c>
      <c r="T148" s="264">
        <f t="shared" ca="1" si="72"/>
        <v>0</v>
      </c>
      <c r="U148" s="264">
        <f t="shared" ca="1" si="72"/>
        <v>0</v>
      </c>
      <c r="V148" s="264">
        <f t="shared" ca="1" si="72"/>
        <v>0</v>
      </c>
      <c r="W148" s="264">
        <f t="shared" ca="1" si="72"/>
        <v>0</v>
      </c>
      <c r="X148" s="264">
        <f t="shared" ca="1" si="72"/>
        <v>0</v>
      </c>
      <c r="Y148" s="264">
        <f t="shared" ca="1" si="47"/>
        <v>0</v>
      </c>
    </row>
    <row r="149" spans="3:25">
      <c r="C149" s="11" t="s">
        <v>763</v>
      </c>
      <c r="E149" s="264">
        <f t="shared" ref="E149:X149" ca="1" si="73">E112-E111</f>
        <v>0</v>
      </c>
      <c r="F149" s="264">
        <f t="shared" ca="1" si="73"/>
        <v>0</v>
      </c>
      <c r="G149" s="264">
        <f t="shared" ca="1" si="73"/>
        <v>0</v>
      </c>
      <c r="H149" s="264">
        <f t="shared" ca="1" si="73"/>
        <v>0</v>
      </c>
      <c r="I149" s="264">
        <f t="shared" ca="1" si="73"/>
        <v>0</v>
      </c>
      <c r="J149" s="264">
        <f t="shared" ca="1" si="73"/>
        <v>0</v>
      </c>
      <c r="K149" s="264">
        <f t="shared" ca="1" si="73"/>
        <v>0</v>
      </c>
      <c r="L149" s="264">
        <f t="shared" ca="1" si="73"/>
        <v>0</v>
      </c>
      <c r="M149" s="264">
        <f t="shared" ca="1" si="73"/>
        <v>0</v>
      </c>
      <c r="N149" s="264">
        <f t="shared" ca="1" si="73"/>
        <v>0</v>
      </c>
      <c r="O149" s="264">
        <f t="shared" ca="1" si="73"/>
        <v>0</v>
      </c>
      <c r="P149" s="264">
        <f t="shared" ca="1" si="73"/>
        <v>0</v>
      </c>
      <c r="Q149" s="264">
        <f t="shared" ca="1" si="73"/>
        <v>0</v>
      </c>
      <c r="R149" s="264">
        <f t="shared" ca="1" si="73"/>
        <v>0</v>
      </c>
      <c r="S149" s="264">
        <f t="shared" ca="1" si="73"/>
        <v>0</v>
      </c>
      <c r="T149" s="264">
        <f t="shared" ca="1" si="73"/>
        <v>0</v>
      </c>
      <c r="U149" s="264">
        <f t="shared" ca="1" si="73"/>
        <v>0</v>
      </c>
      <c r="V149" s="264">
        <f t="shared" ca="1" si="73"/>
        <v>0</v>
      </c>
      <c r="W149" s="264">
        <f t="shared" ca="1" si="73"/>
        <v>0</v>
      </c>
      <c r="X149" s="264">
        <f t="shared" ca="1" si="73"/>
        <v>0</v>
      </c>
      <c r="Y149" s="264">
        <f t="shared" ca="1" si="47"/>
        <v>0</v>
      </c>
    </row>
    <row r="150" spans="3:25">
      <c r="C150" s="11" t="s">
        <v>764</v>
      </c>
      <c r="E150" s="264">
        <f t="shared" ref="E150:X150" ca="1" si="74">E113-E112</f>
        <v>0</v>
      </c>
      <c r="F150" s="264">
        <f t="shared" ca="1" si="74"/>
        <v>0</v>
      </c>
      <c r="G150" s="264">
        <f t="shared" ca="1" si="74"/>
        <v>0</v>
      </c>
      <c r="H150" s="264">
        <f t="shared" ca="1" si="74"/>
        <v>0</v>
      </c>
      <c r="I150" s="264">
        <f t="shared" ca="1" si="74"/>
        <v>0</v>
      </c>
      <c r="J150" s="264">
        <f t="shared" ca="1" si="74"/>
        <v>0</v>
      </c>
      <c r="K150" s="264">
        <f t="shared" ca="1" si="74"/>
        <v>0</v>
      </c>
      <c r="L150" s="264">
        <f t="shared" ca="1" si="74"/>
        <v>0</v>
      </c>
      <c r="M150" s="264">
        <f t="shared" ca="1" si="74"/>
        <v>0</v>
      </c>
      <c r="N150" s="264">
        <f t="shared" ca="1" si="74"/>
        <v>0</v>
      </c>
      <c r="O150" s="264">
        <f t="shared" ca="1" si="74"/>
        <v>0</v>
      </c>
      <c r="P150" s="264">
        <f t="shared" ca="1" si="74"/>
        <v>0</v>
      </c>
      <c r="Q150" s="264">
        <f t="shared" ca="1" si="74"/>
        <v>0</v>
      </c>
      <c r="R150" s="264">
        <f t="shared" ca="1" si="74"/>
        <v>0</v>
      </c>
      <c r="S150" s="264">
        <f t="shared" ca="1" si="74"/>
        <v>0</v>
      </c>
      <c r="T150" s="264">
        <f t="shared" ca="1" si="74"/>
        <v>0</v>
      </c>
      <c r="U150" s="264">
        <f t="shared" ca="1" si="74"/>
        <v>0</v>
      </c>
      <c r="V150" s="264">
        <f t="shared" ca="1" si="74"/>
        <v>0</v>
      </c>
      <c r="W150" s="264">
        <f t="shared" ca="1" si="74"/>
        <v>0</v>
      </c>
      <c r="X150" s="264">
        <f t="shared" ca="1" si="74"/>
        <v>0</v>
      </c>
      <c r="Y150" s="264">
        <f t="shared" ca="1" si="47"/>
        <v>0</v>
      </c>
    </row>
    <row r="151" spans="3:25">
      <c r="C151" s="11" t="s">
        <v>765</v>
      </c>
      <c r="E151" s="264">
        <f t="shared" ref="E151:X151" ca="1" si="75">E114-E113</f>
        <v>0</v>
      </c>
      <c r="F151" s="264">
        <f t="shared" ca="1" si="75"/>
        <v>0</v>
      </c>
      <c r="G151" s="264">
        <f t="shared" ca="1" si="75"/>
        <v>0</v>
      </c>
      <c r="H151" s="264">
        <f t="shared" ca="1" si="75"/>
        <v>0</v>
      </c>
      <c r="I151" s="264">
        <f t="shared" ca="1" si="75"/>
        <v>0</v>
      </c>
      <c r="J151" s="264">
        <f t="shared" ca="1" si="75"/>
        <v>0</v>
      </c>
      <c r="K151" s="264">
        <f t="shared" ca="1" si="75"/>
        <v>0</v>
      </c>
      <c r="L151" s="264">
        <f t="shared" ca="1" si="75"/>
        <v>0</v>
      </c>
      <c r="M151" s="264">
        <f t="shared" ca="1" si="75"/>
        <v>0</v>
      </c>
      <c r="N151" s="264">
        <f t="shared" ca="1" si="75"/>
        <v>0</v>
      </c>
      <c r="O151" s="264">
        <f t="shared" ca="1" si="75"/>
        <v>0</v>
      </c>
      <c r="P151" s="264">
        <f t="shared" ca="1" si="75"/>
        <v>0</v>
      </c>
      <c r="Q151" s="264">
        <f t="shared" ca="1" si="75"/>
        <v>0</v>
      </c>
      <c r="R151" s="264">
        <f t="shared" ca="1" si="75"/>
        <v>0</v>
      </c>
      <c r="S151" s="264">
        <f t="shared" ca="1" si="75"/>
        <v>0</v>
      </c>
      <c r="T151" s="264">
        <f t="shared" ca="1" si="75"/>
        <v>0</v>
      </c>
      <c r="U151" s="264">
        <f t="shared" ca="1" si="75"/>
        <v>0</v>
      </c>
      <c r="V151" s="264">
        <f t="shared" ca="1" si="75"/>
        <v>0</v>
      </c>
      <c r="W151" s="264">
        <f t="shared" ca="1" si="75"/>
        <v>0</v>
      </c>
      <c r="X151" s="264">
        <f t="shared" ca="1" si="75"/>
        <v>0</v>
      </c>
      <c r="Y151" s="264">
        <f t="shared" ca="1" si="47"/>
        <v>0</v>
      </c>
    </row>
    <row r="152" spans="3:25">
      <c r="C152" s="11" t="s">
        <v>766</v>
      </c>
      <c r="E152" s="264">
        <f t="shared" ref="E152:X152" ca="1" si="76">E115-E114</f>
        <v>0</v>
      </c>
      <c r="F152" s="264">
        <f t="shared" ca="1" si="76"/>
        <v>0</v>
      </c>
      <c r="G152" s="264">
        <f t="shared" ca="1" si="76"/>
        <v>0</v>
      </c>
      <c r="H152" s="264">
        <f t="shared" ca="1" si="76"/>
        <v>0</v>
      </c>
      <c r="I152" s="264">
        <f t="shared" ca="1" si="76"/>
        <v>0</v>
      </c>
      <c r="J152" s="264">
        <f t="shared" ca="1" si="76"/>
        <v>0</v>
      </c>
      <c r="K152" s="264">
        <f t="shared" ca="1" si="76"/>
        <v>0</v>
      </c>
      <c r="L152" s="264">
        <f t="shared" ca="1" si="76"/>
        <v>0</v>
      </c>
      <c r="M152" s="264">
        <f t="shared" ca="1" si="76"/>
        <v>0</v>
      </c>
      <c r="N152" s="264">
        <f t="shared" ca="1" si="76"/>
        <v>0</v>
      </c>
      <c r="O152" s="264">
        <f t="shared" ca="1" si="76"/>
        <v>0</v>
      </c>
      <c r="P152" s="264">
        <f t="shared" ca="1" si="76"/>
        <v>0</v>
      </c>
      <c r="Q152" s="264">
        <f t="shared" ca="1" si="76"/>
        <v>0</v>
      </c>
      <c r="R152" s="264">
        <f t="shared" ca="1" si="76"/>
        <v>0</v>
      </c>
      <c r="S152" s="264">
        <f t="shared" ca="1" si="76"/>
        <v>0</v>
      </c>
      <c r="T152" s="264">
        <f t="shared" ca="1" si="76"/>
        <v>0</v>
      </c>
      <c r="U152" s="264">
        <f t="shared" ca="1" si="76"/>
        <v>0</v>
      </c>
      <c r="V152" s="264">
        <f t="shared" ca="1" si="76"/>
        <v>0</v>
      </c>
      <c r="W152" s="264">
        <f t="shared" ca="1" si="76"/>
        <v>0</v>
      </c>
      <c r="X152" s="264">
        <f t="shared" ca="1" si="76"/>
        <v>0</v>
      </c>
      <c r="Y152" s="264">
        <f t="shared" ca="1" si="47"/>
        <v>0</v>
      </c>
    </row>
    <row r="153" spans="3:25">
      <c r="C153" s="11" t="s">
        <v>767</v>
      </c>
      <c r="E153" s="264">
        <f t="shared" ref="E153:X153" ca="1" si="77">E116-E115</f>
        <v>0</v>
      </c>
      <c r="F153" s="264">
        <f t="shared" ca="1" si="77"/>
        <v>0</v>
      </c>
      <c r="G153" s="264">
        <f t="shared" ca="1" si="77"/>
        <v>0</v>
      </c>
      <c r="H153" s="264">
        <f t="shared" ca="1" si="77"/>
        <v>0</v>
      </c>
      <c r="I153" s="264">
        <f t="shared" ca="1" si="77"/>
        <v>0</v>
      </c>
      <c r="J153" s="264">
        <f t="shared" ca="1" si="77"/>
        <v>0</v>
      </c>
      <c r="K153" s="264">
        <f t="shared" ca="1" si="77"/>
        <v>0</v>
      </c>
      <c r="L153" s="264">
        <f t="shared" ca="1" si="77"/>
        <v>0</v>
      </c>
      <c r="M153" s="264">
        <f t="shared" ca="1" si="77"/>
        <v>0</v>
      </c>
      <c r="N153" s="264">
        <f t="shared" ca="1" si="77"/>
        <v>0</v>
      </c>
      <c r="O153" s="264">
        <f t="shared" ca="1" si="77"/>
        <v>0</v>
      </c>
      <c r="P153" s="264">
        <f t="shared" ca="1" si="77"/>
        <v>0</v>
      </c>
      <c r="Q153" s="264">
        <f t="shared" ca="1" si="77"/>
        <v>0</v>
      </c>
      <c r="R153" s="264">
        <f t="shared" ca="1" si="77"/>
        <v>0</v>
      </c>
      <c r="S153" s="264">
        <f t="shared" ca="1" si="77"/>
        <v>0</v>
      </c>
      <c r="T153" s="264">
        <f t="shared" ca="1" si="77"/>
        <v>0</v>
      </c>
      <c r="U153" s="264">
        <f t="shared" ca="1" si="77"/>
        <v>0</v>
      </c>
      <c r="V153" s="264">
        <f t="shared" ca="1" si="77"/>
        <v>0</v>
      </c>
      <c r="W153" s="264">
        <f t="shared" ca="1" si="77"/>
        <v>0</v>
      </c>
      <c r="X153" s="264">
        <f t="shared" ca="1" si="77"/>
        <v>0</v>
      </c>
      <c r="Y153" s="264">
        <f t="shared" ca="1" si="47"/>
        <v>0</v>
      </c>
    </row>
    <row r="154" spans="3:25">
      <c r="E154" s="170"/>
    </row>
    <row r="155" spans="3:25" ht="15">
      <c r="C155" s="415" t="s">
        <v>969</v>
      </c>
      <c r="D155" s="416"/>
      <c r="E155" s="416">
        <f t="shared" ref="E155:X155" ca="1" si="78">SUM(E122:E153)</f>
        <v>2.6867300864424957</v>
      </c>
      <c r="F155" s="416">
        <f t="shared" ca="1" si="78"/>
        <v>3.9405374601156602</v>
      </c>
      <c r="G155" s="416">
        <f t="shared" ca="1" si="78"/>
        <v>4.7764090425644365</v>
      </c>
      <c r="H155" s="416">
        <f t="shared" ca="1" si="78"/>
        <v>5.3137550598529355</v>
      </c>
      <c r="I155" s="416">
        <f t="shared" ca="1" si="78"/>
        <v>5.6692414678112648</v>
      </c>
      <c r="J155" s="416">
        <f t="shared" ca="1" si="78"/>
        <v>5.8783798142303336</v>
      </c>
      <c r="K155" s="416">
        <f t="shared" ca="1" si="78"/>
        <v>5.9488626853593125</v>
      </c>
      <c r="L155" s="416">
        <f t="shared" ca="1" si="78"/>
        <v>5.9744302291928486</v>
      </c>
      <c r="M155" s="416">
        <f t="shared" ca="1" si="78"/>
        <v>5.9818026144232554</v>
      </c>
      <c r="N155" s="416">
        <f t="shared" ca="1" si="78"/>
        <v>5.9828451815572592</v>
      </c>
      <c r="O155" s="416">
        <f t="shared" ca="1" si="78"/>
        <v>5.982558010320556</v>
      </c>
      <c r="P155" s="416">
        <f t="shared" ca="1" si="78"/>
        <v>5.9821684268980357</v>
      </c>
      <c r="Q155" s="416">
        <f t="shared" ca="1" si="78"/>
        <v>5.9818835142446058</v>
      </c>
      <c r="R155" s="416">
        <f t="shared" ca="1" si="78"/>
        <v>5.9816847615782267</v>
      </c>
      <c r="S155" s="416">
        <f t="shared" ca="1" si="78"/>
        <v>5.9815438240996226</v>
      </c>
      <c r="T155" s="416">
        <f t="shared" ca="1" si="78"/>
        <v>5.9814397176673531</v>
      </c>
      <c r="U155" s="416">
        <f t="shared" ca="1" si="78"/>
        <v>5.9813645064391014</v>
      </c>
      <c r="V155" s="416">
        <f t="shared" ca="1" si="78"/>
        <v>5.9813008031548272</v>
      </c>
      <c r="W155" s="416">
        <f t="shared" ca="1" si="78"/>
        <v>5.9812379228458452</v>
      </c>
      <c r="X155" s="416">
        <f t="shared" ca="1" si="78"/>
        <v>5.9811786343939168</v>
      </c>
      <c r="Y155" s="416"/>
    </row>
    <row r="156" spans="3:25" ht="15">
      <c r="C156" s="415" t="s">
        <v>998</v>
      </c>
      <c r="D156" s="416"/>
      <c r="E156" s="416">
        <f t="shared" ref="E156:X156" ca="1" si="79">IF((D156+E155)&lt;$Y$156,(D156+E155),$Y$156)</f>
        <v>2.6867300864424957</v>
      </c>
      <c r="F156" s="416">
        <f t="shared" ca="1" si="79"/>
        <v>6.6272675465581559</v>
      </c>
      <c r="G156" s="416">
        <f t="shared" ca="1" si="79"/>
        <v>11.403676589122593</v>
      </c>
      <c r="H156" s="416">
        <f t="shared" ca="1" si="79"/>
        <v>16.717431648975527</v>
      </c>
      <c r="I156" s="416">
        <f t="shared" ca="1" si="79"/>
        <v>22.386673116786792</v>
      </c>
      <c r="J156" s="416">
        <f t="shared" ca="1" si="79"/>
        <v>28.265052931017124</v>
      </c>
      <c r="K156" s="416">
        <f t="shared" ca="1" si="79"/>
        <v>34.21391561637644</v>
      </c>
      <c r="L156" s="416">
        <f t="shared" ca="1" si="79"/>
        <v>40.188345845569287</v>
      </c>
      <c r="M156" s="416">
        <f t="shared" ca="1" si="79"/>
        <v>46.170148459992546</v>
      </c>
      <c r="N156" s="416">
        <f t="shared" ca="1" si="79"/>
        <v>52.152993641549806</v>
      </c>
      <c r="O156" s="416">
        <f t="shared" ca="1" si="79"/>
        <v>54.214701088024171</v>
      </c>
      <c r="P156" s="416">
        <f t="shared" ca="1" si="79"/>
        <v>54.214701088024171</v>
      </c>
      <c r="Q156" s="416">
        <f t="shared" ca="1" si="79"/>
        <v>54.214701088024171</v>
      </c>
      <c r="R156" s="416">
        <f t="shared" ca="1" si="79"/>
        <v>54.214701088024171</v>
      </c>
      <c r="S156" s="416">
        <f t="shared" ca="1" si="79"/>
        <v>54.214701088024171</v>
      </c>
      <c r="T156" s="416">
        <f t="shared" ca="1" si="79"/>
        <v>54.214701088024171</v>
      </c>
      <c r="U156" s="416">
        <f t="shared" ca="1" si="79"/>
        <v>54.214701088024171</v>
      </c>
      <c r="V156" s="416">
        <f t="shared" ca="1" si="79"/>
        <v>54.214701088024171</v>
      </c>
      <c r="W156" s="416">
        <f t="shared" ca="1" si="79"/>
        <v>54.214701088024171</v>
      </c>
      <c r="X156" s="416">
        <f t="shared" ca="1" si="79"/>
        <v>54.214701088024171</v>
      </c>
      <c r="Y156" s="416">
        <f ca="1">SUM(Y122:Y153)</f>
        <v>54.214701088024171</v>
      </c>
    </row>
    <row r="157" spans="3:25">
      <c r="C157" s="243"/>
      <c r="D157" s="243"/>
      <c r="E157" s="332"/>
      <c r="F157" s="332"/>
      <c r="G157" s="332"/>
      <c r="H157" s="332"/>
      <c r="I157" s="332"/>
      <c r="J157" s="332"/>
      <c r="K157" s="332"/>
      <c r="L157" s="332"/>
      <c r="M157" s="332"/>
      <c r="N157" s="332"/>
      <c r="O157" s="332"/>
      <c r="P157" s="332"/>
      <c r="Q157" s="332"/>
      <c r="R157" s="332"/>
      <c r="S157" s="332"/>
      <c r="T157" s="332"/>
      <c r="U157" s="332"/>
      <c r="V157" s="332"/>
      <c r="W157" s="332"/>
      <c r="X157" s="332"/>
    </row>
    <row r="158" spans="3:25">
      <c r="C158" s="243"/>
      <c r="D158" s="243"/>
      <c r="E158" s="332"/>
      <c r="F158" s="332"/>
      <c r="G158" s="332"/>
      <c r="H158" s="332"/>
      <c r="I158" s="332"/>
      <c r="J158" s="332"/>
      <c r="K158" s="332"/>
      <c r="L158" s="332"/>
      <c r="M158" s="332"/>
      <c r="N158" s="332"/>
      <c r="O158" s="332"/>
      <c r="P158" s="332"/>
      <c r="Q158" s="332"/>
      <c r="R158" s="332"/>
      <c r="S158" s="332"/>
      <c r="T158" s="332"/>
      <c r="U158" s="332"/>
      <c r="V158" s="332"/>
      <c r="W158" s="332"/>
      <c r="X158" s="332"/>
    </row>
  </sheetData>
  <mergeCells count="1">
    <mergeCell ref="B1:S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dimension ref="A1:EA14"/>
  <sheetViews>
    <sheetView workbookViewId="0">
      <selection sqref="A1:EA14"/>
    </sheetView>
  </sheetViews>
  <sheetFormatPr defaultRowHeight="12.75"/>
  <sheetData>
    <row r="1" spans="1:131" ht="13.5" thickBot="1">
      <c r="A1" s="367" t="s">
        <v>661</v>
      </c>
      <c r="B1" s="369"/>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32"/>
      <c r="CU1" s="32"/>
      <c r="CV1" s="32"/>
      <c r="CW1" s="32"/>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row>
    <row r="2" spans="1:131" ht="13.5" thickBot="1">
      <c r="A2" s="395"/>
      <c r="B2" s="396"/>
      <c r="C2" s="397"/>
      <c r="D2" s="397"/>
      <c r="E2" s="397"/>
      <c r="F2" s="397"/>
      <c r="G2" s="397"/>
      <c r="H2" s="397"/>
      <c r="I2" s="397"/>
      <c r="J2" s="397"/>
      <c r="K2" s="397"/>
      <c r="L2" s="397"/>
      <c r="M2" s="397"/>
      <c r="N2" s="397"/>
      <c r="O2" s="398" t="s">
        <v>956</v>
      </c>
      <c r="P2" s="399"/>
      <c r="Q2" s="399"/>
      <c r="R2" s="399"/>
      <c r="S2" s="399"/>
      <c r="T2" s="399"/>
      <c r="U2" s="399"/>
      <c r="V2" s="399"/>
      <c r="W2" s="399"/>
      <c r="X2" s="399"/>
      <c r="Y2" s="399"/>
      <c r="Z2" s="387"/>
      <c r="AA2" s="397"/>
      <c r="AB2" s="398" t="s">
        <v>957</v>
      </c>
      <c r="AC2" s="399"/>
      <c r="AD2" s="399"/>
      <c r="AE2" s="399"/>
      <c r="AF2" s="399"/>
      <c r="AG2" s="399"/>
      <c r="AH2" s="399"/>
      <c r="AI2" s="399"/>
      <c r="AJ2" s="399"/>
      <c r="AK2" s="399"/>
      <c r="AL2" s="399"/>
      <c r="AM2" s="387"/>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row>
    <row r="3" spans="1:131" ht="191.25">
      <c r="A3" s="378" t="s">
        <v>308</v>
      </c>
      <c r="B3" s="379" t="s">
        <v>309</v>
      </c>
      <c r="C3" s="380" t="s">
        <v>662</v>
      </c>
      <c r="D3" s="380" t="s">
        <v>616</v>
      </c>
      <c r="E3" s="380" t="s">
        <v>617</v>
      </c>
      <c r="F3" s="380" t="s">
        <v>618</v>
      </c>
      <c r="G3" s="380" t="s">
        <v>619</v>
      </c>
      <c r="H3" s="380" t="s">
        <v>620</v>
      </c>
      <c r="I3" s="380" t="s">
        <v>621</v>
      </c>
      <c r="J3" s="380" t="s">
        <v>622</v>
      </c>
      <c r="K3" s="380" t="s">
        <v>372</v>
      </c>
      <c r="L3" s="380" t="s">
        <v>371</v>
      </c>
      <c r="M3" s="380" t="s">
        <v>623</v>
      </c>
      <c r="N3" s="380" t="s">
        <v>958</v>
      </c>
      <c r="O3" s="380" t="s">
        <v>624</v>
      </c>
      <c r="P3" s="380" t="s">
        <v>625</v>
      </c>
      <c r="Q3" s="380" t="s">
        <v>626</v>
      </c>
      <c r="R3" s="380" t="s">
        <v>627</v>
      </c>
      <c r="S3" s="380" t="s">
        <v>628</v>
      </c>
      <c r="T3" s="380" t="s">
        <v>629</v>
      </c>
      <c r="U3" s="380" t="s">
        <v>630</v>
      </c>
      <c r="V3" s="380" t="s">
        <v>631</v>
      </c>
      <c r="W3" s="380" t="s">
        <v>632</v>
      </c>
      <c r="X3" s="380" t="s">
        <v>633</v>
      </c>
      <c r="Y3" s="380" t="s">
        <v>634</v>
      </c>
      <c r="Z3" s="380" t="s">
        <v>635</v>
      </c>
      <c r="AA3" s="380"/>
      <c r="AB3" s="380" t="s">
        <v>624</v>
      </c>
      <c r="AC3" s="380" t="s">
        <v>625</v>
      </c>
      <c r="AD3" s="380" t="s">
        <v>626</v>
      </c>
      <c r="AE3" s="380" t="s">
        <v>627</v>
      </c>
      <c r="AF3" s="380" t="s">
        <v>628</v>
      </c>
      <c r="AG3" s="380" t="s">
        <v>629</v>
      </c>
      <c r="AH3" s="380" t="s">
        <v>630</v>
      </c>
      <c r="AI3" s="380" t="s">
        <v>631</v>
      </c>
      <c r="AJ3" s="380" t="s">
        <v>632</v>
      </c>
      <c r="AK3" s="380" t="s">
        <v>633</v>
      </c>
      <c r="AL3" s="380" t="s">
        <v>634</v>
      </c>
      <c r="AM3" s="380" t="s">
        <v>635</v>
      </c>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row>
    <row r="4" spans="1:131">
      <c r="A4" s="11" t="s">
        <v>663</v>
      </c>
      <c r="B4" s="11"/>
      <c r="C4" s="166">
        <v>327.31145340319665</v>
      </c>
      <c r="D4" s="166">
        <v>-8.5918959509302795</v>
      </c>
      <c r="E4" s="166">
        <v>-1.7183791901860559</v>
      </c>
      <c r="F4" s="166">
        <v>-10.310275141116335</v>
      </c>
      <c r="G4" s="166">
        <v>-470.74212778866809</v>
      </c>
      <c r="H4" s="166">
        <v>215.83401368381348</v>
      </c>
      <c r="I4" s="166">
        <v>-275.93904611984783</v>
      </c>
      <c r="J4" s="166">
        <v>-14.913956936814882</v>
      </c>
      <c r="K4" s="166">
        <v>-119.07831740351027</v>
      </c>
      <c r="L4" s="382">
        <v>9999</v>
      </c>
      <c r="M4" s="166">
        <v>3.109467045598445</v>
      </c>
      <c r="N4" s="166">
        <v>7.6399321391375424E-2</v>
      </c>
      <c r="O4" s="166">
        <v>13.405847760628477</v>
      </c>
      <c r="P4" s="166">
        <v>9.9104403633442892</v>
      </c>
      <c r="Q4" s="166">
        <v>9.2320322947720754</v>
      </c>
      <c r="R4" s="166">
        <v>5.2998660086111791</v>
      </c>
      <c r="S4" s="166">
        <v>4.2573236582329095</v>
      </c>
      <c r="T4" s="166">
        <v>3.3024378660413309</v>
      </c>
      <c r="U4" s="166">
        <v>3.4460681308315255</v>
      </c>
      <c r="V4" s="166">
        <v>5.0158659436189756</v>
      </c>
      <c r="W4" s="166">
        <v>6.3371529039448617</v>
      </c>
      <c r="X4" s="166">
        <v>10.338349500632882</v>
      </c>
      <c r="Y4" s="166">
        <v>11.972086583086911</v>
      </c>
      <c r="Z4" s="166">
        <v>14.102876580967084</v>
      </c>
      <c r="AA4" s="166"/>
      <c r="AB4" s="166">
        <v>22.218084772927305</v>
      </c>
      <c r="AC4" s="166">
        <v>19.272326811572601</v>
      </c>
      <c r="AD4" s="166">
        <v>19.428590693501764</v>
      </c>
      <c r="AE4" s="166">
        <v>18.500875203589072</v>
      </c>
      <c r="AF4" s="166">
        <v>17.04024781160178</v>
      </c>
      <c r="AG4" s="166">
        <v>15.482647792872569</v>
      </c>
      <c r="AH4" s="166">
        <v>16.906651918914203</v>
      </c>
      <c r="AI4" s="166">
        <v>18.255862401883515</v>
      </c>
      <c r="AJ4" s="166">
        <v>19.677937557907565</v>
      </c>
      <c r="AK4" s="166">
        <v>20.308746339638414</v>
      </c>
      <c r="AL4" s="166">
        <v>21.289237818974108</v>
      </c>
      <c r="AM4" s="32">
        <v>22.309896685101304</v>
      </c>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c r="EA4" s="11"/>
    </row>
    <row r="5" spans="1:131">
      <c r="A5" s="11" t="s">
        <v>665</v>
      </c>
      <c r="B5" s="11"/>
      <c r="C5" s="166">
        <v>714.55317292247162</v>
      </c>
      <c r="D5" s="166">
        <v>2.0115772129567233</v>
      </c>
      <c r="E5" s="166">
        <v>0.40231544259134466</v>
      </c>
      <c r="F5" s="166">
        <v>2.413892655548068</v>
      </c>
      <c r="G5" s="166">
        <v>-454.17738425940229</v>
      </c>
      <c r="H5" s="166">
        <v>471.18693128156463</v>
      </c>
      <c r="I5" s="166">
        <v>29.592898700759623</v>
      </c>
      <c r="J5" s="166">
        <v>-13.074224745945859</v>
      </c>
      <c r="K5" s="166">
        <v>-60.021736881709074</v>
      </c>
      <c r="L5" s="382">
        <v>251.59311198510389</v>
      </c>
      <c r="M5" s="166">
        <v>6.788273127714926</v>
      </c>
      <c r="N5" s="166">
        <v>0.16678725092483371</v>
      </c>
      <c r="O5" s="166">
        <v>29.266287364752312</v>
      </c>
      <c r="P5" s="166">
        <v>21.635468398850211</v>
      </c>
      <c r="Q5" s="166">
        <v>20.154436699854532</v>
      </c>
      <c r="R5" s="166">
        <v>11.570130018799055</v>
      </c>
      <c r="S5" s="166">
        <v>9.2941572820577623</v>
      </c>
      <c r="T5" s="166">
        <v>7.2095474540338929</v>
      </c>
      <c r="U5" s="166">
        <v>7.5231064828012189</v>
      </c>
      <c r="V5" s="166">
        <v>10.950129876914666</v>
      </c>
      <c r="W5" s="166">
        <v>13.834629579034559</v>
      </c>
      <c r="X5" s="166">
        <v>22.569636233776009</v>
      </c>
      <c r="Y5" s="166">
        <v>26.136245357443258</v>
      </c>
      <c r="Z5" s="166">
        <v>30.787970000702796</v>
      </c>
      <c r="AA5" s="166"/>
      <c r="AB5" s="166">
        <v>48.504269574700466</v>
      </c>
      <c r="AC5" s="166">
        <v>42.07338951822188</v>
      </c>
      <c r="AD5" s="166">
        <v>42.414528978771465</v>
      </c>
      <c r="AE5" s="166">
        <v>40.389234599384601</v>
      </c>
      <c r="AF5" s="166">
        <v>37.200540997158818</v>
      </c>
      <c r="AG5" s="166">
        <v>33.800146590073922</v>
      </c>
      <c r="AH5" s="166">
        <v>36.908887991995798</v>
      </c>
      <c r="AI5" s="166">
        <v>39.854347497069654</v>
      </c>
      <c r="AJ5" s="166">
        <v>42.958877767263004</v>
      </c>
      <c r="AK5" s="166">
        <v>44.335995530196548</v>
      </c>
      <c r="AL5" s="166">
        <v>46.476505097760381</v>
      </c>
      <c r="AM5" s="32">
        <v>48.70470403085497</v>
      </c>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11"/>
      <c r="CY5" s="11"/>
      <c r="CZ5" s="11"/>
      <c r="DA5" s="11"/>
      <c r="DB5" s="11"/>
      <c r="DC5" s="11"/>
      <c r="DD5" s="11"/>
      <c r="DE5" s="11"/>
      <c r="DF5" s="11"/>
      <c r="DG5" s="11"/>
      <c r="DH5" s="11"/>
      <c r="DI5" s="11"/>
      <c r="DJ5" s="11"/>
      <c r="DK5" s="11"/>
      <c r="DL5" s="11"/>
      <c r="DM5" s="11"/>
      <c r="DN5" s="11"/>
      <c r="DO5" s="11"/>
      <c r="DP5" s="11"/>
      <c r="DQ5" s="11"/>
      <c r="DR5" s="11"/>
      <c r="DS5" s="11"/>
      <c r="DT5" s="11"/>
      <c r="DU5" s="11"/>
      <c r="DV5" s="11"/>
      <c r="DW5" s="11"/>
      <c r="DX5" s="11"/>
      <c r="DY5" s="11"/>
      <c r="DZ5" s="11"/>
      <c r="EA5" s="11"/>
    </row>
    <row r="6" spans="1:131">
      <c r="A6" s="11" t="s">
        <v>664</v>
      </c>
      <c r="B6" s="11"/>
      <c r="C6" s="166">
        <v>424.12188328301545</v>
      </c>
      <c r="D6" s="166">
        <v>2.0115772129567233</v>
      </c>
      <c r="E6" s="166">
        <v>0.40231544259134466</v>
      </c>
      <c r="F6" s="166">
        <v>2.413892655548068</v>
      </c>
      <c r="G6" s="166">
        <v>-454.17738425940229</v>
      </c>
      <c r="H6" s="166">
        <v>279.67224308325115</v>
      </c>
      <c r="I6" s="166">
        <v>49.857601071931967</v>
      </c>
      <c r="J6" s="166">
        <v>-12.952202725261527</v>
      </c>
      <c r="K6" s="166">
        <v>-92.048554693123435</v>
      </c>
      <c r="L6" s="382">
        <v>199.73001233832747</v>
      </c>
      <c r="M6" s="166">
        <v>4.0291685661275602</v>
      </c>
      <c r="N6" s="166">
        <v>9.8996303774740002E-2</v>
      </c>
      <c r="O6" s="166">
        <v>17.370957661659439</v>
      </c>
      <c r="P6" s="166">
        <v>12.841697372220771</v>
      </c>
      <c r="Q6" s="166">
        <v>11.962633396042692</v>
      </c>
      <c r="R6" s="166">
        <v>6.8674320111581491</v>
      </c>
      <c r="S6" s="166">
        <v>5.5165320641891231</v>
      </c>
      <c r="T6" s="166">
        <v>4.2792152630394726</v>
      </c>
      <c r="U6" s="166">
        <v>4.46532771882395</v>
      </c>
      <c r="V6" s="166">
        <v>6.4994319269428988</v>
      </c>
      <c r="W6" s="166">
        <v>8.2115220727172868</v>
      </c>
      <c r="X6" s="166">
        <v>13.396171183918664</v>
      </c>
      <c r="Y6" s="166">
        <v>15.513126276675999</v>
      </c>
      <c r="Z6" s="166">
        <v>18.274149935901015</v>
      </c>
      <c r="AA6" s="166"/>
      <c r="AB6" s="166">
        <v>28.789630973370599</v>
      </c>
      <c r="AC6" s="166">
        <v>24.972592488234923</v>
      </c>
      <c r="AD6" s="166">
        <v>25.175075264819196</v>
      </c>
      <c r="AE6" s="166">
        <v>23.972965052537958</v>
      </c>
      <c r="AF6" s="166">
        <v>22.080321107991043</v>
      </c>
      <c r="AG6" s="166">
        <v>20.062022492172908</v>
      </c>
      <c r="AH6" s="166">
        <v>21.907210937184605</v>
      </c>
      <c r="AI6" s="166">
        <v>23.655483675680056</v>
      </c>
      <c r="AJ6" s="166">
        <v>25.498172610246431</v>
      </c>
      <c r="AK6" s="166">
        <v>26.315558637277952</v>
      </c>
      <c r="AL6" s="166">
        <v>27.586054638670678</v>
      </c>
      <c r="AM6" s="32">
        <v>28.908598521539727</v>
      </c>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11"/>
      <c r="CY6" s="11"/>
      <c r="CZ6" s="11"/>
      <c r="DA6" s="11"/>
      <c r="DB6" s="11"/>
      <c r="DC6" s="11"/>
      <c r="DD6" s="11"/>
      <c r="DE6" s="11"/>
      <c r="DF6" s="11"/>
      <c r="DG6" s="11"/>
      <c r="DH6" s="11"/>
      <c r="DI6" s="11"/>
      <c r="DJ6" s="11"/>
      <c r="DK6" s="11"/>
      <c r="DL6" s="11"/>
      <c r="DM6" s="11"/>
      <c r="DN6" s="11"/>
      <c r="DO6" s="11"/>
      <c r="DP6" s="11"/>
      <c r="DQ6" s="11"/>
      <c r="DR6" s="11"/>
      <c r="DS6" s="11"/>
      <c r="DT6" s="11"/>
      <c r="DU6" s="11"/>
      <c r="DV6" s="11"/>
      <c r="DW6" s="11"/>
      <c r="DX6" s="11"/>
      <c r="DY6" s="11"/>
      <c r="DZ6" s="11"/>
      <c r="EA6" s="11"/>
    </row>
    <row r="7" spans="1:131">
      <c r="A7" s="11" t="s">
        <v>666</v>
      </c>
      <c r="B7" s="11"/>
      <c r="C7" s="166">
        <v>1235.4854860853059</v>
      </c>
      <c r="D7" s="166">
        <v>134.02315442591345</v>
      </c>
      <c r="E7" s="166">
        <v>26.804630885182689</v>
      </c>
      <c r="F7" s="166">
        <v>160.82778531109614</v>
      </c>
      <c r="G7" s="166">
        <v>-219.07219957215756</v>
      </c>
      <c r="H7" s="166">
        <v>814.69740376425398</v>
      </c>
      <c r="I7" s="166">
        <v>1140.3220962062569</v>
      </c>
      <c r="J7" s="166">
        <v>-6.38607218242658</v>
      </c>
      <c r="K7" s="166">
        <v>-26.299688202993423</v>
      </c>
      <c r="L7" s="382">
        <v>5.2018158161913037</v>
      </c>
      <c r="M7" s="166">
        <v>11.737143214371596</v>
      </c>
      <c r="N7" s="166">
        <v>0.28838053708293826</v>
      </c>
      <c r="O7" s="166">
        <v>50.602354927442711</v>
      </c>
      <c r="P7" s="166">
        <v>37.408422779947465</v>
      </c>
      <c r="Q7" s="166">
        <v>34.847671197167841</v>
      </c>
      <c r="R7" s="166">
        <v>20.005128032504174</v>
      </c>
      <c r="S7" s="166">
        <v>16.069897752203097</v>
      </c>
      <c r="T7" s="166">
        <v>12.465540114071507</v>
      </c>
      <c r="U7" s="166">
        <v>13.007693789617592</v>
      </c>
      <c r="V7" s="166">
        <v>18.93312778718149</v>
      </c>
      <c r="W7" s="166">
        <v>23.920520820524271</v>
      </c>
      <c r="X7" s="166">
        <v>39.023629100980457</v>
      </c>
      <c r="Y7" s="166">
        <v>45.190411327708347</v>
      </c>
      <c r="Z7" s="166">
        <v>53.233393291537745</v>
      </c>
      <c r="AA7" s="166"/>
      <c r="AB7" s="166">
        <v>83.865446748514358</v>
      </c>
      <c r="AC7" s="166">
        <v>72.746247683119122</v>
      </c>
      <c r="AD7" s="166">
        <v>73.336088814908095</v>
      </c>
      <c r="AE7" s="166">
        <v>69.834289500871449</v>
      </c>
      <c r="AF7" s="166">
        <v>64.320935401539117</v>
      </c>
      <c r="AG7" s="166">
        <v>58.441543781547168</v>
      </c>
      <c r="AH7" s="166">
        <v>63.816657947450807</v>
      </c>
      <c r="AI7" s="166">
        <v>68.909452446546254</v>
      </c>
      <c r="AJ7" s="166">
        <v>74.277285429848305</v>
      </c>
      <c r="AK7" s="166">
        <v>76.658366465114042</v>
      </c>
      <c r="AL7" s="166">
        <v>80.359376556127629</v>
      </c>
      <c r="AM7" s="32">
        <v>84.212004388833122</v>
      </c>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11"/>
      <c r="CY7" s="11"/>
      <c r="CZ7" s="11"/>
      <c r="DA7" s="11"/>
      <c r="DB7" s="11"/>
      <c r="DC7" s="11"/>
      <c r="DD7" s="11"/>
      <c r="DE7" s="11"/>
      <c r="DF7" s="11"/>
      <c r="DG7" s="11"/>
      <c r="DH7" s="11"/>
      <c r="DI7" s="11"/>
      <c r="DJ7" s="11"/>
      <c r="DK7" s="11"/>
      <c r="DL7" s="11"/>
      <c r="DM7" s="11"/>
      <c r="DN7" s="11"/>
      <c r="DO7" s="11"/>
      <c r="DP7" s="11"/>
      <c r="DQ7" s="11"/>
      <c r="DR7" s="11"/>
      <c r="DS7" s="11"/>
      <c r="DT7" s="11"/>
      <c r="DU7" s="11"/>
      <c r="DV7" s="11"/>
      <c r="DW7" s="11"/>
      <c r="DX7" s="11"/>
      <c r="DY7" s="11"/>
      <c r="DZ7" s="11"/>
      <c r="EA7" s="11"/>
    </row>
    <row r="8" spans="1:131">
      <c r="A8" s="11" t="s">
        <v>668</v>
      </c>
      <c r="B8" s="11"/>
      <c r="C8" s="166">
        <v>327.31145340319665</v>
      </c>
      <c r="D8" s="166">
        <v>113.40810404906972</v>
      </c>
      <c r="E8" s="166">
        <v>22.681620809813946</v>
      </c>
      <c r="F8" s="166">
        <v>136.08972485888367</v>
      </c>
      <c r="G8" s="166">
        <v>-246.78404455533823</v>
      </c>
      <c r="H8" s="166">
        <v>215.83401368381348</v>
      </c>
      <c r="I8" s="166">
        <v>3642.2373166858997</v>
      </c>
      <c r="J8" s="166">
        <v>8.6789776363219229</v>
      </c>
      <c r="K8" s="166">
        <v>-68.731079037080974</v>
      </c>
      <c r="L8" s="382">
        <v>3.2221408348517913</v>
      </c>
      <c r="M8" s="166">
        <v>3.109467045598445</v>
      </c>
      <c r="N8" s="166">
        <v>7.6399321391375424E-2</v>
      </c>
      <c r="O8" s="166">
        <v>13.405847760628477</v>
      </c>
      <c r="P8" s="166">
        <v>9.9104403633442892</v>
      </c>
      <c r="Q8" s="166">
        <v>9.2320322947720754</v>
      </c>
      <c r="R8" s="166">
        <v>5.2998660086111791</v>
      </c>
      <c r="S8" s="166">
        <v>4.2573236582329095</v>
      </c>
      <c r="T8" s="166">
        <v>3.3024378660413309</v>
      </c>
      <c r="U8" s="166">
        <v>3.4460681308315255</v>
      </c>
      <c r="V8" s="166">
        <v>5.0158659436189756</v>
      </c>
      <c r="W8" s="166">
        <v>6.3371529039448617</v>
      </c>
      <c r="X8" s="166">
        <v>10.338349500632882</v>
      </c>
      <c r="Y8" s="166">
        <v>11.972086583086911</v>
      </c>
      <c r="Z8" s="166">
        <v>14.102876580967084</v>
      </c>
      <c r="AA8" s="166"/>
      <c r="AB8" s="166">
        <v>22.218084772927305</v>
      </c>
      <c r="AC8" s="166">
        <v>19.272326811572601</v>
      </c>
      <c r="AD8" s="166">
        <v>19.428590693501764</v>
      </c>
      <c r="AE8" s="166">
        <v>18.500875203589072</v>
      </c>
      <c r="AF8" s="166">
        <v>17.04024781160178</v>
      </c>
      <c r="AG8" s="166">
        <v>15.482647792872569</v>
      </c>
      <c r="AH8" s="166">
        <v>16.906651918914203</v>
      </c>
      <c r="AI8" s="166">
        <v>18.255862401883515</v>
      </c>
      <c r="AJ8" s="166">
        <v>19.677937557907565</v>
      </c>
      <c r="AK8" s="166">
        <v>20.308746339638414</v>
      </c>
      <c r="AL8" s="166">
        <v>21.289237818974108</v>
      </c>
      <c r="AM8" s="32">
        <v>22.309896685101304</v>
      </c>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11"/>
      <c r="CY8" s="11"/>
      <c r="CZ8" s="11"/>
      <c r="DA8" s="11"/>
      <c r="DB8" s="11"/>
      <c r="DC8" s="11"/>
      <c r="DD8" s="11"/>
      <c r="DE8" s="11"/>
      <c r="DF8" s="11"/>
      <c r="DG8" s="11"/>
      <c r="DH8" s="11"/>
      <c r="DI8" s="11"/>
      <c r="DJ8" s="11"/>
      <c r="DK8" s="11"/>
      <c r="DL8" s="11"/>
      <c r="DM8" s="11"/>
      <c r="DN8" s="11"/>
      <c r="DO8" s="11"/>
      <c r="DP8" s="11"/>
      <c r="DQ8" s="11"/>
      <c r="DR8" s="11"/>
      <c r="DS8" s="11"/>
      <c r="DT8" s="11"/>
      <c r="DU8" s="11"/>
      <c r="DV8" s="11"/>
      <c r="DW8" s="11"/>
      <c r="DX8" s="11"/>
      <c r="DY8" s="11"/>
      <c r="DZ8" s="11"/>
      <c r="EA8" s="11"/>
    </row>
    <row r="9" spans="1:131">
      <c r="A9" s="11" t="s">
        <v>670</v>
      </c>
      <c r="B9" s="11"/>
      <c r="C9" s="166">
        <v>714.55317292247162</v>
      </c>
      <c r="D9" s="166">
        <v>162.01157721295672</v>
      </c>
      <c r="E9" s="166">
        <v>32.402315442591345</v>
      </c>
      <c r="F9" s="166">
        <v>194.41389265554807</v>
      </c>
      <c r="G9" s="166">
        <v>-160.46186526487142</v>
      </c>
      <c r="H9" s="166">
        <v>471.18693128156463</v>
      </c>
      <c r="I9" s="166">
        <v>2383.3995344211876</v>
      </c>
      <c r="J9" s="166">
        <v>1.0990030039660381</v>
      </c>
      <c r="K9" s="166">
        <v>-29.77611933318255</v>
      </c>
      <c r="L9" s="382">
        <v>3.1238444789711561</v>
      </c>
      <c r="M9" s="166">
        <v>6.788273127714926</v>
      </c>
      <c r="N9" s="166">
        <v>0.16678725092483371</v>
      </c>
      <c r="O9" s="166">
        <v>29.266287364752312</v>
      </c>
      <c r="P9" s="166">
        <v>21.635468398850211</v>
      </c>
      <c r="Q9" s="166">
        <v>20.154436699854532</v>
      </c>
      <c r="R9" s="166">
        <v>11.570130018799055</v>
      </c>
      <c r="S9" s="166">
        <v>9.2941572820577623</v>
      </c>
      <c r="T9" s="166">
        <v>7.2095474540338929</v>
      </c>
      <c r="U9" s="166">
        <v>7.5231064828012189</v>
      </c>
      <c r="V9" s="166">
        <v>10.950129876914666</v>
      </c>
      <c r="W9" s="166">
        <v>13.834629579034559</v>
      </c>
      <c r="X9" s="166">
        <v>22.569636233776009</v>
      </c>
      <c r="Y9" s="166">
        <v>26.136245357443258</v>
      </c>
      <c r="Z9" s="166">
        <v>30.787970000702796</v>
      </c>
      <c r="AA9" s="166"/>
      <c r="AB9" s="166">
        <v>48.504269574700466</v>
      </c>
      <c r="AC9" s="166">
        <v>42.07338951822188</v>
      </c>
      <c r="AD9" s="166">
        <v>42.414528978771465</v>
      </c>
      <c r="AE9" s="166">
        <v>40.389234599384601</v>
      </c>
      <c r="AF9" s="166">
        <v>37.200540997158818</v>
      </c>
      <c r="AG9" s="166">
        <v>33.800146590073922</v>
      </c>
      <c r="AH9" s="166">
        <v>36.908887991995798</v>
      </c>
      <c r="AI9" s="166">
        <v>39.854347497069654</v>
      </c>
      <c r="AJ9" s="166">
        <v>42.958877767263004</v>
      </c>
      <c r="AK9" s="166">
        <v>44.335995530196548</v>
      </c>
      <c r="AL9" s="166">
        <v>46.476505097760381</v>
      </c>
      <c r="AM9" s="32">
        <v>48.70470403085497</v>
      </c>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2"/>
      <c r="CK9" s="32"/>
      <c r="CL9" s="32"/>
      <c r="CM9" s="32"/>
      <c r="CN9" s="32"/>
      <c r="CO9" s="32"/>
      <c r="CP9" s="32"/>
      <c r="CQ9" s="32"/>
      <c r="CR9" s="32"/>
      <c r="CS9" s="32"/>
      <c r="CT9" s="32"/>
      <c r="CU9" s="32"/>
      <c r="CV9" s="32"/>
      <c r="CW9" s="32"/>
      <c r="CX9" s="11"/>
      <c r="CY9" s="11"/>
      <c r="CZ9" s="11"/>
      <c r="DA9" s="11"/>
      <c r="DB9" s="11"/>
      <c r="DC9" s="11"/>
      <c r="DD9" s="11"/>
      <c r="DE9" s="11"/>
      <c r="DF9" s="11"/>
      <c r="DG9" s="11"/>
      <c r="DH9" s="11"/>
      <c r="DI9" s="11"/>
      <c r="DJ9" s="11"/>
      <c r="DK9" s="11"/>
      <c r="DL9" s="11"/>
      <c r="DM9" s="11"/>
      <c r="DN9" s="11"/>
      <c r="DO9" s="11"/>
      <c r="DP9" s="11"/>
      <c r="DQ9" s="11"/>
      <c r="DR9" s="11"/>
      <c r="DS9" s="11"/>
      <c r="DT9" s="11"/>
      <c r="DU9" s="11"/>
      <c r="DV9" s="11"/>
      <c r="DW9" s="11"/>
      <c r="DX9" s="11"/>
      <c r="DY9" s="11"/>
      <c r="DZ9" s="11"/>
      <c r="EA9" s="11"/>
    </row>
    <row r="10" spans="1:131">
      <c r="A10" s="11" t="s">
        <v>667</v>
      </c>
      <c r="B10" s="11"/>
      <c r="C10" s="166">
        <v>3130.2038994474719</v>
      </c>
      <c r="D10" s="166">
        <v>532.0694632777404</v>
      </c>
      <c r="E10" s="166">
        <v>106.41389265554808</v>
      </c>
      <c r="F10" s="166">
        <v>638.48335593328852</v>
      </c>
      <c r="G10" s="166">
        <v>509.59227701635024</v>
      </c>
      <c r="H10" s="166">
        <v>2064.1027505818233</v>
      </c>
      <c r="I10" s="166">
        <v>1786.8210434990756</v>
      </c>
      <c r="J10" s="166">
        <v>-2.4932388965458538</v>
      </c>
      <c r="K10" s="166">
        <v>-1.273422282914503</v>
      </c>
      <c r="L10" s="382">
        <v>2.5915431099214019</v>
      </c>
      <c r="M10" s="166">
        <v>29.73701583044155</v>
      </c>
      <c r="N10" s="166">
        <v>0.73063576372878758</v>
      </c>
      <c r="O10" s="166">
        <v>128.20522013333431</v>
      </c>
      <c r="P10" s="166">
        <v>94.777309953672855</v>
      </c>
      <c r="Q10" s="166">
        <v>88.289435607749851</v>
      </c>
      <c r="R10" s="166">
        <v>50.684634082351991</v>
      </c>
      <c r="S10" s="166">
        <v>40.714405125917544</v>
      </c>
      <c r="T10" s="166">
        <v>31.582469169606536</v>
      </c>
      <c r="U10" s="166">
        <v>32.956060011755014</v>
      </c>
      <c r="V10" s="166">
        <v>47.968633460806828</v>
      </c>
      <c r="W10" s="166">
        <v>60.604603123641709</v>
      </c>
      <c r="X10" s="166">
        <v>98.869567759573613</v>
      </c>
      <c r="Y10" s="166">
        <v>114.49361675938046</v>
      </c>
      <c r="Z10" s="166">
        <v>134.8711718095303</v>
      </c>
      <c r="AA10" s="166"/>
      <c r="AB10" s="166">
        <v>212.479993814333</v>
      </c>
      <c r="AC10" s="166">
        <v>184.30859021208164</v>
      </c>
      <c r="AD10" s="166">
        <v>185.80300113926339</v>
      </c>
      <c r="AE10" s="166">
        <v>176.93090511601383</v>
      </c>
      <c r="AF10" s="166">
        <v>162.96236991658603</v>
      </c>
      <c r="AG10" s="166">
        <v>148.06644861071092</v>
      </c>
      <c r="AH10" s="166">
        <v>161.68474159074287</v>
      </c>
      <c r="AI10" s="166">
        <v>174.58775451942125</v>
      </c>
      <c r="AJ10" s="166">
        <v>188.18760002562308</v>
      </c>
      <c r="AK10" s="166">
        <v>194.22026429034486</v>
      </c>
      <c r="AL10" s="166">
        <v>203.59707717018901</v>
      </c>
      <c r="AM10" s="32">
        <v>213.35802604484209</v>
      </c>
      <c r="AN10" s="32"/>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c r="BT10" s="32"/>
      <c r="BU10" s="32"/>
      <c r="BV10" s="32"/>
      <c r="BW10" s="32"/>
      <c r="BX10" s="32"/>
      <c r="BY10" s="32"/>
      <c r="BZ10" s="32"/>
      <c r="CA10" s="32"/>
      <c r="CB10" s="32"/>
      <c r="CC10" s="32"/>
      <c r="CD10" s="32"/>
      <c r="CE10" s="32"/>
      <c r="CF10" s="32"/>
      <c r="CG10" s="32"/>
      <c r="CH10" s="32"/>
      <c r="CI10" s="32"/>
      <c r="CJ10" s="32"/>
      <c r="CK10" s="32"/>
      <c r="CL10" s="32"/>
      <c r="CM10" s="32"/>
      <c r="CN10" s="32"/>
      <c r="CO10" s="32"/>
      <c r="CP10" s="32"/>
      <c r="CQ10" s="32"/>
      <c r="CR10" s="32"/>
      <c r="CS10" s="32"/>
      <c r="CT10" s="32"/>
      <c r="CU10" s="32"/>
      <c r="CV10" s="32"/>
      <c r="CW10" s="32"/>
      <c r="CX10" s="11"/>
      <c r="CY10" s="11"/>
      <c r="CZ10" s="11"/>
      <c r="DA10" s="11"/>
      <c r="DB10" s="11"/>
      <c r="DC10" s="11"/>
      <c r="DD10" s="11"/>
      <c r="DE10" s="11"/>
      <c r="DF10" s="11"/>
      <c r="DG10" s="11"/>
      <c r="DH10" s="11"/>
      <c r="DI10" s="11"/>
      <c r="DJ10" s="11"/>
      <c r="DK10" s="11"/>
      <c r="DL10" s="11"/>
      <c r="DM10" s="11"/>
      <c r="DN10" s="11"/>
      <c r="DO10" s="11"/>
      <c r="DP10" s="11"/>
      <c r="DQ10" s="11"/>
      <c r="DR10" s="11"/>
      <c r="DS10" s="11"/>
      <c r="DT10" s="11"/>
      <c r="DU10" s="11"/>
      <c r="DV10" s="11"/>
      <c r="DW10" s="11"/>
      <c r="DX10" s="11"/>
      <c r="DY10" s="11"/>
      <c r="DZ10" s="11"/>
      <c r="EA10" s="11"/>
    </row>
    <row r="11" spans="1:131">
      <c r="A11" s="11" t="s">
        <v>669</v>
      </c>
      <c r="B11" s="11"/>
      <c r="C11" s="166">
        <v>424.12188328301545</v>
      </c>
      <c r="D11" s="166">
        <v>162.01157721295672</v>
      </c>
      <c r="E11" s="166">
        <v>32.402315442591345</v>
      </c>
      <c r="F11" s="166">
        <v>194.41389265554807</v>
      </c>
      <c r="G11" s="166">
        <v>-160.46186526487142</v>
      </c>
      <c r="H11" s="166">
        <v>279.67224308325115</v>
      </c>
      <c r="I11" s="166">
        <v>4015.5100851661305</v>
      </c>
      <c r="J11" s="166">
        <v>10.926604896872652</v>
      </c>
      <c r="K11" s="166">
        <v>-41.091264258105952</v>
      </c>
      <c r="L11" s="382">
        <v>2.4798989583024276</v>
      </c>
      <c r="M11" s="166">
        <v>4.0291685661275602</v>
      </c>
      <c r="N11" s="166">
        <v>9.8996303774740002E-2</v>
      </c>
      <c r="O11" s="166">
        <v>17.370957661659439</v>
      </c>
      <c r="P11" s="166">
        <v>12.841697372220771</v>
      </c>
      <c r="Q11" s="166">
        <v>11.962633396042692</v>
      </c>
      <c r="R11" s="166">
        <v>6.8674320111581491</v>
      </c>
      <c r="S11" s="166">
        <v>5.5165320641891231</v>
      </c>
      <c r="T11" s="166">
        <v>4.2792152630394726</v>
      </c>
      <c r="U11" s="166">
        <v>4.46532771882395</v>
      </c>
      <c r="V11" s="166">
        <v>6.4994319269428988</v>
      </c>
      <c r="W11" s="166">
        <v>8.2115220727172868</v>
      </c>
      <c r="X11" s="166">
        <v>13.396171183918664</v>
      </c>
      <c r="Y11" s="166">
        <v>15.513126276675999</v>
      </c>
      <c r="Z11" s="166">
        <v>18.274149935901015</v>
      </c>
      <c r="AA11" s="166"/>
      <c r="AB11" s="166">
        <v>28.789630973370599</v>
      </c>
      <c r="AC11" s="166">
        <v>24.972592488234923</v>
      </c>
      <c r="AD11" s="166">
        <v>25.175075264819196</v>
      </c>
      <c r="AE11" s="166">
        <v>23.972965052537958</v>
      </c>
      <c r="AF11" s="166">
        <v>22.080321107991043</v>
      </c>
      <c r="AG11" s="166">
        <v>20.062022492172908</v>
      </c>
      <c r="AH11" s="166">
        <v>21.907210937184605</v>
      </c>
      <c r="AI11" s="166">
        <v>23.655483675680056</v>
      </c>
      <c r="AJ11" s="166">
        <v>25.498172610246431</v>
      </c>
      <c r="AK11" s="166">
        <v>26.315558637277952</v>
      </c>
      <c r="AL11" s="166">
        <v>27.586054638670678</v>
      </c>
      <c r="AM11" s="32">
        <v>28.908598521539727</v>
      </c>
      <c r="AN11" s="32"/>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c r="BO11" s="32"/>
      <c r="BP11" s="32"/>
      <c r="BQ11" s="32"/>
      <c r="BR11" s="32"/>
      <c r="BS11" s="32"/>
      <c r="BT11" s="32"/>
      <c r="BU11" s="32"/>
      <c r="BV11" s="32"/>
      <c r="BW11" s="32"/>
      <c r="BX11" s="32"/>
      <c r="BY11" s="32"/>
      <c r="BZ11" s="32"/>
      <c r="CA11" s="32"/>
      <c r="CB11" s="32"/>
      <c r="CC11" s="32"/>
      <c r="CD11" s="32"/>
      <c r="CE11" s="32"/>
      <c r="CF11" s="32"/>
      <c r="CG11" s="32"/>
      <c r="CH11" s="32"/>
      <c r="CI11" s="32"/>
      <c r="CJ11" s="32"/>
      <c r="CK11" s="32"/>
      <c r="CL11" s="32"/>
      <c r="CM11" s="32"/>
      <c r="CN11" s="32"/>
      <c r="CO11" s="32"/>
      <c r="CP11" s="32"/>
      <c r="CQ11" s="32"/>
      <c r="CR11" s="32"/>
      <c r="CS11" s="32"/>
      <c r="CT11" s="32"/>
      <c r="CU11" s="32"/>
      <c r="CV11" s="32"/>
      <c r="CW11" s="32"/>
      <c r="CX11" s="11"/>
      <c r="CY11" s="11"/>
      <c r="CZ11" s="11"/>
      <c r="DA11" s="11"/>
      <c r="DB11" s="11"/>
      <c r="DC11" s="11"/>
      <c r="DD11" s="11"/>
      <c r="DE11" s="11"/>
      <c r="DF11" s="11"/>
      <c r="DG11" s="11"/>
      <c r="DH11" s="11"/>
      <c r="DI11" s="11"/>
      <c r="DJ11" s="11"/>
      <c r="DK11" s="11"/>
      <c r="DL11" s="11"/>
      <c r="DM11" s="11"/>
      <c r="DN11" s="11"/>
      <c r="DO11" s="11"/>
      <c r="DP11" s="11"/>
      <c r="DQ11" s="11"/>
      <c r="DR11" s="11"/>
      <c r="DS11" s="11"/>
      <c r="DT11" s="11"/>
      <c r="DU11" s="11"/>
      <c r="DV11" s="11"/>
      <c r="DW11" s="11"/>
      <c r="DX11" s="11"/>
      <c r="DY11" s="11"/>
      <c r="DZ11" s="11"/>
      <c r="EA11" s="11"/>
    </row>
    <row r="12" spans="1:131">
      <c r="A12" s="11" t="s">
        <v>671</v>
      </c>
      <c r="B12" s="11"/>
      <c r="C12" s="166">
        <v>1235.4854860853059</v>
      </c>
      <c r="D12" s="166">
        <v>324.02315442591345</v>
      </c>
      <c r="E12" s="166">
        <v>64.804630885182689</v>
      </c>
      <c r="F12" s="166">
        <v>388.82778531109614</v>
      </c>
      <c r="G12" s="166">
        <v>129.71497923384788</v>
      </c>
      <c r="H12" s="166">
        <v>814.69740376425398</v>
      </c>
      <c r="I12" s="166">
        <v>2756.9173719051046</v>
      </c>
      <c r="J12" s="166">
        <v>3.3481059247307288</v>
      </c>
      <c r="K12" s="166">
        <v>-5.5269867849872165</v>
      </c>
      <c r="L12" s="382">
        <v>2.1515862521114051</v>
      </c>
      <c r="M12" s="166">
        <v>11.737143214371596</v>
      </c>
      <c r="N12" s="166">
        <v>0.28838053708293826</v>
      </c>
      <c r="O12" s="166">
        <v>50.602354927442711</v>
      </c>
      <c r="P12" s="166">
        <v>37.408422779947465</v>
      </c>
      <c r="Q12" s="166">
        <v>34.847671197167841</v>
      </c>
      <c r="R12" s="166">
        <v>20.005128032504174</v>
      </c>
      <c r="S12" s="166">
        <v>16.069897752203097</v>
      </c>
      <c r="T12" s="166">
        <v>12.465540114071507</v>
      </c>
      <c r="U12" s="166">
        <v>13.007693789617592</v>
      </c>
      <c r="V12" s="166">
        <v>18.93312778718149</v>
      </c>
      <c r="W12" s="166">
        <v>23.920520820524271</v>
      </c>
      <c r="X12" s="166">
        <v>39.023629100980457</v>
      </c>
      <c r="Y12" s="166">
        <v>45.190411327708347</v>
      </c>
      <c r="Z12" s="166">
        <v>53.233393291537745</v>
      </c>
      <c r="AA12" s="166"/>
      <c r="AB12" s="166">
        <v>83.865446748514358</v>
      </c>
      <c r="AC12" s="166">
        <v>72.746247683119122</v>
      </c>
      <c r="AD12" s="166">
        <v>73.336088814908095</v>
      </c>
      <c r="AE12" s="166">
        <v>69.834289500871449</v>
      </c>
      <c r="AF12" s="166">
        <v>64.320935401539117</v>
      </c>
      <c r="AG12" s="166">
        <v>58.441543781547168</v>
      </c>
      <c r="AH12" s="166">
        <v>63.816657947450807</v>
      </c>
      <c r="AI12" s="166">
        <v>68.909452446546254</v>
      </c>
      <c r="AJ12" s="166">
        <v>74.277285429848305</v>
      </c>
      <c r="AK12" s="166">
        <v>76.658366465114042</v>
      </c>
      <c r="AL12" s="166">
        <v>80.359376556127629</v>
      </c>
      <c r="AM12" s="32">
        <v>84.212004388833122</v>
      </c>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2"/>
      <c r="CK12" s="32"/>
      <c r="CL12" s="32"/>
      <c r="CM12" s="32"/>
      <c r="CN12" s="32"/>
      <c r="CO12" s="32"/>
      <c r="CP12" s="32"/>
      <c r="CQ12" s="32"/>
      <c r="CR12" s="32"/>
      <c r="CS12" s="32"/>
      <c r="CT12" s="32"/>
      <c r="CU12" s="32"/>
      <c r="CV12" s="32"/>
      <c r="CW12" s="32"/>
      <c r="CX12" s="11"/>
      <c r="CY12" s="11"/>
      <c r="CZ12" s="11"/>
      <c r="DA12" s="11"/>
      <c r="DB12" s="11"/>
      <c r="DC12" s="11"/>
      <c r="DD12" s="11"/>
      <c r="DE12" s="11"/>
      <c r="DF12" s="11"/>
      <c r="DG12" s="11"/>
      <c r="DH12" s="11"/>
      <c r="DI12" s="11"/>
      <c r="DJ12" s="11"/>
      <c r="DK12" s="11"/>
      <c r="DL12" s="11"/>
      <c r="DM12" s="11"/>
      <c r="DN12" s="11"/>
      <c r="DO12" s="11"/>
      <c r="DP12" s="11"/>
      <c r="DQ12" s="11"/>
      <c r="DR12" s="11"/>
      <c r="DS12" s="11"/>
      <c r="DT12" s="11"/>
      <c r="DU12" s="11"/>
      <c r="DV12" s="11"/>
      <c r="DW12" s="11"/>
      <c r="DX12" s="11"/>
      <c r="DY12" s="11"/>
      <c r="DZ12" s="11"/>
      <c r="EA12" s="11"/>
    </row>
    <row r="13" spans="1:131">
      <c r="A13" s="11" t="s">
        <v>672</v>
      </c>
      <c r="B13" s="11"/>
      <c r="C13" s="166">
        <v>3130.2038994474719</v>
      </c>
      <c r="D13" s="166">
        <v>972.0694632777404</v>
      </c>
      <c r="E13" s="166">
        <v>194.4138926555481</v>
      </c>
      <c r="F13" s="166">
        <v>1166.4833559332885</v>
      </c>
      <c r="G13" s="166">
        <v>1317.3099542513103</v>
      </c>
      <c r="H13" s="166">
        <v>2064.1027505818233</v>
      </c>
      <c r="I13" s="166">
        <v>3264.4500250540573</v>
      </c>
      <c r="J13" s="166">
        <v>6.4041665944702748</v>
      </c>
      <c r="K13" s="166">
        <v>17.713609351930028</v>
      </c>
      <c r="L13" s="382">
        <v>1.418500429905009</v>
      </c>
      <c r="M13" s="166">
        <v>29.73701583044155</v>
      </c>
      <c r="N13" s="166">
        <v>0.73063576372878758</v>
      </c>
      <c r="O13" s="166">
        <v>128.20522013333431</v>
      </c>
      <c r="P13" s="166">
        <v>94.777309953672855</v>
      </c>
      <c r="Q13" s="166">
        <v>88.289435607749851</v>
      </c>
      <c r="R13" s="166">
        <v>50.684634082351991</v>
      </c>
      <c r="S13" s="166">
        <v>40.714405125917544</v>
      </c>
      <c r="T13" s="166">
        <v>31.582469169606536</v>
      </c>
      <c r="U13" s="166">
        <v>32.956060011755014</v>
      </c>
      <c r="V13" s="166">
        <v>47.968633460806828</v>
      </c>
      <c r="W13" s="166">
        <v>60.604603123641709</v>
      </c>
      <c r="X13" s="166">
        <v>98.869567759573613</v>
      </c>
      <c r="Y13" s="166">
        <v>114.49361675938046</v>
      </c>
      <c r="Z13" s="166">
        <v>134.8711718095303</v>
      </c>
      <c r="AA13" s="166"/>
      <c r="AB13" s="166">
        <v>212.479993814333</v>
      </c>
      <c r="AC13" s="166">
        <v>184.30859021208164</v>
      </c>
      <c r="AD13" s="166">
        <v>185.80300113926339</v>
      </c>
      <c r="AE13" s="166">
        <v>176.93090511601383</v>
      </c>
      <c r="AF13" s="166">
        <v>162.96236991658603</v>
      </c>
      <c r="AG13" s="166">
        <v>148.06644861071092</v>
      </c>
      <c r="AH13" s="166">
        <v>161.68474159074287</v>
      </c>
      <c r="AI13" s="166">
        <v>174.58775451942125</v>
      </c>
      <c r="AJ13" s="166">
        <v>188.18760002562308</v>
      </c>
      <c r="AK13" s="166">
        <v>194.22026429034486</v>
      </c>
      <c r="AL13" s="166">
        <v>203.59707717018901</v>
      </c>
      <c r="AM13" s="32">
        <v>213.35802604484209</v>
      </c>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c r="BV13" s="32"/>
      <c r="BW13" s="32"/>
      <c r="BX13" s="32"/>
      <c r="BY13" s="32"/>
      <c r="BZ13" s="32"/>
      <c r="CA13" s="32"/>
      <c r="CB13" s="32"/>
      <c r="CC13" s="32"/>
      <c r="CD13" s="32"/>
      <c r="CE13" s="32"/>
      <c r="CF13" s="32"/>
      <c r="CG13" s="32"/>
      <c r="CH13" s="32"/>
      <c r="CI13" s="32"/>
      <c r="CJ13" s="32"/>
      <c r="CK13" s="32"/>
      <c r="CL13" s="32"/>
      <c r="CM13" s="32"/>
      <c r="CN13" s="32"/>
      <c r="CO13" s="32"/>
      <c r="CP13" s="32"/>
      <c r="CQ13" s="32"/>
      <c r="CR13" s="32"/>
      <c r="CS13" s="32"/>
      <c r="CT13" s="32"/>
      <c r="CU13" s="32"/>
      <c r="CV13" s="32"/>
      <c r="CW13" s="32"/>
      <c r="CX13" s="11"/>
      <c r="CY13" s="11"/>
      <c r="CZ13" s="11"/>
      <c r="DA13" s="11"/>
      <c r="DB13" s="11"/>
      <c r="DC13" s="11"/>
      <c r="DD13" s="11"/>
      <c r="DE13" s="11"/>
      <c r="DF13" s="11"/>
      <c r="DG13" s="11"/>
      <c r="DH13" s="11"/>
      <c r="DI13" s="11"/>
      <c r="DJ13" s="11"/>
      <c r="DK13" s="11"/>
      <c r="DL13" s="11"/>
      <c r="DM13" s="11"/>
      <c r="DN13" s="11"/>
      <c r="DO13" s="11"/>
      <c r="DP13" s="11"/>
      <c r="DQ13" s="11"/>
      <c r="DR13" s="11"/>
      <c r="DS13" s="11"/>
      <c r="DT13" s="11"/>
      <c r="DU13" s="11"/>
      <c r="DV13" s="11"/>
      <c r="DW13" s="11"/>
      <c r="DX13" s="11"/>
      <c r="DY13" s="11"/>
      <c r="DZ13" s="11"/>
      <c r="EA13" s="11"/>
    </row>
    <row r="14" spans="1:131">
      <c r="A14" s="11"/>
      <c r="B14" s="11"/>
      <c r="C14" s="32"/>
      <c r="D14" s="3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c r="BU14" s="32"/>
      <c r="BV14" s="32"/>
      <c r="BW14" s="32"/>
      <c r="BX14" s="32"/>
      <c r="BY14" s="32"/>
      <c r="BZ14" s="32"/>
      <c r="CA14" s="32"/>
      <c r="CB14" s="32"/>
      <c r="CC14" s="32"/>
      <c r="CD14" s="32"/>
      <c r="CE14" s="32"/>
      <c r="CF14" s="32"/>
      <c r="CG14" s="32"/>
      <c r="CH14" s="32"/>
      <c r="CI14" s="32"/>
      <c r="CJ14" s="32"/>
      <c r="CK14" s="32"/>
      <c r="CL14" s="32"/>
      <c r="CM14" s="32"/>
      <c r="CN14" s="32"/>
      <c r="CO14" s="32"/>
      <c r="CP14" s="32"/>
      <c r="CQ14" s="32"/>
      <c r="CR14" s="32"/>
      <c r="CS14" s="32"/>
      <c r="CT14" s="32"/>
      <c r="CU14" s="32"/>
      <c r="CV14" s="32"/>
      <c r="CW14" s="32"/>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c r="DY14" s="11"/>
      <c r="DZ14" s="11"/>
      <c r="EA14" s="11"/>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sheetPr codeName="Sheet18"/>
  <dimension ref="A1:EA144"/>
  <sheetViews>
    <sheetView workbookViewId="0">
      <selection activeCell="A34" sqref="A34:EA144"/>
    </sheetView>
  </sheetViews>
  <sheetFormatPr defaultRowHeight="12.75"/>
  <cols>
    <col min="1" max="1" width="32.42578125" customWidth="1"/>
    <col min="2" max="2" width="53.28515625" customWidth="1"/>
    <col min="3" max="3" width="17.42578125" bestFit="1" customWidth="1"/>
    <col min="4" max="4" width="12.140625" bestFit="1" customWidth="1"/>
    <col min="5" max="5" width="12.5703125" customWidth="1"/>
    <col min="6" max="6" width="13.7109375" customWidth="1"/>
    <col min="7" max="7" width="25.42578125" customWidth="1"/>
    <col min="8" max="8" width="15.7109375" bestFit="1" customWidth="1"/>
    <col min="9" max="9" width="15.42578125" bestFit="1" customWidth="1"/>
    <col min="10" max="10" width="14.42578125" bestFit="1" customWidth="1"/>
    <col min="11" max="11" width="14.28515625" customWidth="1"/>
    <col min="12" max="12" width="12.5703125" customWidth="1"/>
    <col min="13" max="13" width="13.28515625" bestFit="1" customWidth="1"/>
    <col min="14" max="14" width="12.140625" bestFit="1" customWidth="1"/>
    <col min="15" max="15" width="13.28515625" bestFit="1" customWidth="1"/>
    <col min="16" max="16" width="27.7109375" customWidth="1"/>
    <col min="17" max="18" width="13.28515625" bestFit="1" customWidth="1"/>
    <col min="19" max="19" width="14.42578125" bestFit="1" customWidth="1"/>
    <col min="20" max="20" width="10.7109375" customWidth="1"/>
    <col min="21" max="21" width="14" bestFit="1" customWidth="1"/>
    <col min="22" max="22" width="12.140625" bestFit="1" customWidth="1"/>
    <col min="23" max="23" width="15.42578125" bestFit="1" customWidth="1"/>
    <col min="24" max="24" width="12.42578125" bestFit="1" customWidth="1"/>
    <col min="25" max="25" width="13.28515625" bestFit="1" customWidth="1"/>
    <col min="26" max="26" width="12.28515625" bestFit="1" customWidth="1"/>
    <col min="27" max="27" width="12.5703125" bestFit="1" customWidth="1"/>
    <col min="28" max="30" width="14.28515625" bestFit="1" customWidth="1"/>
    <col min="31" max="31" width="13.7109375" bestFit="1" customWidth="1"/>
    <col min="32" max="32" width="14" bestFit="1" customWidth="1"/>
    <col min="33" max="33" width="12.85546875" bestFit="1" customWidth="1"/>
    <col min="34" max="34" width="15.28515625" bestFit="1" customWidth="1"/>
    <col min="35" max="35" width="12.28515625" bestFit="1" customWidth="1"/>
    <col min="36" max="36" width="10.85546875" bestFit="1" customWidth="1"/>
    <col min="37" max="37" width="12.28515625" bestFit="1" customWidth="1"/>
    <col min="38" max="38" width="12.5703125" bestFit="1" customWidth="1"/>
    <col min="39" max="43" width="12.85546875" customWidth="1"/>
    <col min="44" max="44" width="12.5703125" customWidth="1"/>
    <col min="45" max="45" width="12.28515625" customWidth="1"/>
    <col min="46" max="46" width="12.7109375" customWidth="1"/>
    <col min="47" max="47" width="11.85546875" customWidth="1"/>
    <col min="48" max="48" width="12.5703125" bestFit="1" customWidth="1"/>
    <col min="49" max="49" width="13.42578125" customWidth="1"/>
    <col min="50" max="50" width="15.7109375" bestFit="1" customWidth="1"/>
    <col min="51" max="51" width="11" bestFit="1" customWidth="1"/>
    <col min="52" max="52" width="16.140625" bestFit="1" customWidth="1"/>
    <col min="53" max="53" width="17.28515625" bestFit="1" customWidth="1"/>
    <col min="54" max="54" width="15" bestFit="1" customWidth="1"/>
    <col min="55" max="55" width="12.5703125" bestFit="1" customWidth="1"/>
    <col min="56" max="56" width="13.5703125" customWidth="1"/>
    <col min="57" max="58" width="14.5703125" bestFit="1" customWidth="1"/>
    <col min="59" max="59" width="14.85546875" bestFit="1" customWidth="1"/>
    <col min="60" max="60" width="15" bestFit="1" customWidth="1"/>
    <col min="61" max="61" width="13.28515625" bestFit="1" customWidth="1"/>
    <col min="62" max="62" width="14" bestFit="1" customWidth="1"/>
    <col min="63" max="63" width="13.28515625" bestFit="1" customWidth="1"/>
    <col min="64" max="64" width="11.140625" bestFit="1" customWidth="1"/>
    <col min="65" max="65" width="16.85546875" bestFit="1" customWidth="1"/>
    <col min="66" max="66" width="14.7109375" customWidth="1"/>
    <col min="67" max="67" width="12" customWidth="1"/>
    <col min="68" max="68" width="14" customWidth="1"/>
    <col min="69" max="69" width="12.5703125" customWidth="1"/>
    <col min="70" max="70" width="11.28515625" customWidth="1"/>
    <col min="71" max="71" width="14.42578125" customWidth="1"/>
    <col min="72" max="72" width="15.7109375" customWidth="1"/>
    <col min="73" max="73" width="12.85546875" customWidth="1"/>
    <col min="74" max="74" width="13" customWidth="1"/>
    <col min="75" max="75" width="11.7109375" customWidth="1"/>
    <col min="76" max="76" width="14" customWidth="1"/>
    <col min="77" max="77" width="14.85546875" customWidth="1"/>
    <col min="78" max="78" width="11.85546875" customWidth="1"/>
    <col min="79" max="79" width="13.85546875" customWidth="1"/>
    <col min="80" max="80" width="13.7109375" customWidth="1"/>
    <col min="81" max="81" width="13" customWidth="1"/>
    <col min="82" max="82" width="12.42578125" customWidth="1"/>
    <col min="83" max="83" width="13" customWidth="1"/>
    <col min="84" max="84" width="12.7109375" customWidth="1"/>
    <col min="85" max="85" width="12.42578125" customWidth="1"/>
    <col min="86" max="86" width="10.28515625" customWidth="1"/>
    <col min="87" max="91" width="9.85546875" customWidth="1"/>
    <col min="92" max="99" width="10.7109375" customWidth="1"/>
    <col min="100" max="100" width="16.5703125" customWidth="1"/>
    <col min="101" max="105" width="10.7109375" customWidth="1"/>
  </cols>
  <sheetData>
    <row r="1" spans="1:105">
      <c r="A1" s="2" t="s">
        <v>10</v>
      </c>
      <c r="B1" s="3"/>
      <c r="C1" s="3"/>
      <c r="D1" s="3"/>
      <c r="E1" s="3"/>
      <c r="F1" s="3"/>
      <c r="G1" s="3"/>
      <c r="H1" s="4"/>
      <c r="I1" s="5"/>
      <c r="J1" s="5"/>
      <c r="K1" s="5"/>
      <c r="L1" s="5"/>
      <c r="M1" s="5"/>
      <c r="N1" s="6"/>
      <c r="O1" s="7" t="e">
        <v>#REF!</v>
      </c>
      <c r="P1" s="6"/>
      <c r="Q1" s="6"/>
      <c r="R1" s="6"/>
      <c r="S1" s="4"/>
      <c r="T1" s="4"/>
      <c r="U1" s="4"/>
      <c r="V1" s="6"/>
      <c r="W1" s="4"/>
      <c r="X1" s="4"/>
      <c r="Y1" s="4"/>
      <c r="Z1" s="4"/>
      <c r="AA1" s="4"/>
      <c r="AB1" s="4"/>
      <c r="AC1" s="4"/>
      <c r="AD1" s="4"/>
      <c r="AE1" s="4"/>
      <c r="AF1" s="4"/>
      <c r="AG1" s="4"/>
      <c r="AH1" s="4"/>
      <c r="AI1" s="4"/>
      <c r="AJ1" s="4"/>
      <c r="AK1" s="4"/>
      <c r="AL1" s="4"/>
      <c r="AM1" s="4"/>
      <c r="AN1" s="4"/>
      <c r="AO1" s="4"/>
      <c r="AP1" s="8"/>
      <c r="AQ1" s="4"/>
      <c r="AR1" s="4"/>
      <c r="AS1" s="4"/>
      <c r="AT1" s="4"/>
      <c r="AU1" s="4"/>
      <c r="AV1" s="8"/>
      <c r="AW1" s="4"/>
      <c r="AX1" s="4"/>
      <c r="AY1" s="4"/>
      <c r="AZ1" s="4"/>
      <c r="BA1" s="4"/>
      <c r="BB1" s="4"/>
      <c r="BC1" s="4"/>
      <c r="BD1" s="4"/>
      <c r="BE1" s="4"/>
      <c r="BF1" s="4"/>
      <c r="BG1" s="4"/>
      <c r="BH1" s="4"/>
      <c r="BI1" s="4"/>
      <c r="BJ1" s="4"/>
      <c r="BK1" s="4"/>
      <c r="BL1" s="4"/>
      <c r="BM1" s="9"/>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8"/>
      <c r="CQ1" s="4"/>
      <c r="CR1" s="4"/>
      <c r="CS1" s="4"/>
      <c r="CT1" s="4"/>
      <c r="CU1" s="4"/>
      <c r="CV1" s="4"/>
      <c r="CW1" s="4"/>
      <c r="CX1" s="4"/>
      <c r="CY1" s="4"/>
      <c r="CZ1" s="4"/>
      <c r="DA1" s="4"/>
    </row>
    <row r="2" spans="1:105">
      <c r="A2" s="10" t="s">
        <v>11</v>
      </c>
      <c r="B2" s="4" t="str">
        <f>'7PSourceSummary'!D2</f>
        <v>Street and Roadway Lighting</v>
      </c>
      <c r="C2" s="4"/>
      <c r="D2" s="4"/>
      <c r="E2" s="4"/>
      <c r="F2" s="4"/>
      <c r="G2" s="4"/>
      <c r="H2" s="4"/>
      <c r="I2" s="5"/>
      <c r="J2" s="5"/>
      <c r="K2" s="5"/>
      <c r="L2" s="5"/>
      <c r="M2" s="5"/>
      <c r="N2" s="6"/>
      <c r="O2" s="6"/>
      <c r="P2" s="6"/>
      <c r="Q2" s="6"/>
      <c r="R2" s="6"/>
      <c r="S2" s="4"/>
      <c r="T2" s="4"/>
      <c r="U2" s="4"/>
      <c r="V2" s="6"/>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8"/>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row>
    <row r="3" spans="1:105">
      <c r="A3" s="10" t="s">
        <v>12</v>
      </c>
      <c r="B3" s="11"/>
      <c r="C3" s="10">
        <v>2012</v>
      </c>
      <c r="D3" s="11"/>
      <c r="E3" s="11"/>
      <c r="F3" s="11"/>
      <c r="G3" s="11"/>
      <c r="H3" s="11"/>
      <c r="I3" s="11"/>
      <c r="J3" s="12"/>
      <c r="K3" s="13"/>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3"/>
      <c r="CP3" s="13"/>
      <c r="CQ3" s="11"/>
      <c r="CR3" s="11"/>
      <c r="CS3" s="11"/>
      <c r="CT3" s="11"/>
      <c r="CU3" s="11"/>
      <c r="CV3" s="11"/>
      <c r="CW3" s="11"/>
      <c r="CX3" s="11"/>
      <c r="CY3" s="11"/>
      <c r="CZ3" s="11"/>
      <c r="DA3" s="11"/>
    </row>
    <row r="4" spans="1:105" ht="38.25">
      <c r="A4" s="11"/>
      <c r="B4" s="14" t="s">
        <v>673</v>
      </c>
      <c r="C4" s="433" t="s">
        <v>674</v>
      </c>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row>
    <row r="5" spans="1:105">
      <c r="A5" s="15">
        <v>1</v>
      </c>
      <c r="B5" s="15">
        <v>2</v>
      </c>
      <c r="C5" s="15">
        <v>3</v>
      </c>
      <c r="D5" s="15">
        <v>4</v>
      </c>
      <c r="E5" s="15">
        <v>5</v>
      </c>
      <c r="F5" s="15">
        <v>6</v>
      </c>
      <c r="G5" s="15">
        <v>7</v>
      </c>
      <c r="H5" s="15">
        <v>8</v>
      </c>
      <c r="I5" s="15">
        <v>9</v>
      </c>
      <c r="J5" s="15">
        <v>10</v>
      </c>
      <c r="K5" s="15">
        <v>11</v>
      </c>
      <c r="L5" s="15">
        <v>12</v>
      </c>
      <c r="M5" s="15">
        <v>13</v>
      </c>
      <c r="N5" s="15">
        <v>14</v>
      </c>
      <c r="O5" s="15">
        <v>15</v>
      </c>
      <c r="P5" s="15">
        <v>16</v>
      </c>
      <c r="Q5" s="15">
        <v>17</v>
      </c>
      <c r="R5" s="15">
        <v>18</v>
      </c>
      <c r="S5" s="15">
        <v>19</v>
      </c>
      <c r="T5" s="15">
        <v>20</v>
      </c>
      <c r="U5" s="15">
        <v>21</v>
      </c>
      <c r="V5" s="15">
        <v>22</v>
      </c>
      <c r="W5" s="15">
        <v>23</v>
      </c>
      <c r="X5" s="15">
        <v>24</v>
      </c>
      <c r="Y5" s="15">
        <v>25</v>
      </c>
      <c r="Z5" s="15">
        <v>26</v>
      </c>
      <c r="AA5" s="15">
        <v>27</v>
      </c>
      <c r="AB5" s="15">
        <v>28</v>
      </c>
      <c r="AC5" s="15">
        <v>29</v>
      </c>
      <c r="AD5" s="15">
        <v>30</v>
      </c>
      <c r="AE5" s="15">
        <v>31</v>
      </c>
      <c r="AF5" s="15">
        <v>32</v>
      </c>
      <c r="AG5" s="15">
        <v>33</v>
      </c>
      <c r="AH5" s="15">
        <v>34</v>
      </c>
      <c r="AI5" s="15">
        <v>35</v>
      </c>
      <c r="AJ5" s="15">
        <v>36</v>
      </c>
      <c r="AK5" s="15">
        <v>37</v>
      </c>
      <c r="AL5" s="15">
        <v>38</v>
      </c>
      <c r="AM5" s="15">
        <v>39</v>
      </c>
      <c r="AN5" s="15">
        <v>40</v>
      </c>
      <c r="AO5" s="15">
        <v>41</v>
      </c>
      <c r="AP5" s="15">
        <v>42</v>
      </c>
      <c r="AQ5" s="15">
        <v>43</v>
      </c>
      <c r="AR5" s="15">
        <v>44</v>
      </c>
      <c r="AS5" s="15">
        <v>45</v>
      </c>
      <c r="AT5" s="15">
        <v>46</v>
      </c>
      <c r="AU5" s="15">
        <v>47</v>
      </c>
      <c r="AV5" s="15">
        <v>48</v>
      </c>
      <c r="AW5" s="15">
        <v>49</v>
      </c>
      <c r="AX5" s="15">
        <v>50</v>
      </c>
      <c r="AY5" s="15">
        <v>51</v>
      </c>
      <c r="AZ5" s="15">
        <v>52</v>
      </c>
      <c r="BA5" s="15">
        <v>53</v>
      </c>
      <c r="BB5" s="15">
        <v>54</v>
      </c>
      <c r="BC5" s="15">
        <v>55</v>
      </c>
      <c r="BD5" s="15">
        <v>56</v>
      </c>
      <c r="BE5" s="15">
        <v>57</v>
      </c>
      <c r="BF5" s="15">
        <v>58</v>
      </c>
      <c r="BG5" s="15">
        <v>59</v>
      </c>
      <c r="BH5" s="15">
        <v>60</v>
      </c>
      <c r="BI5" s="15">
        <v>61</v>
      </c>
      <c r="BJ5" s="15">
        <v>62</v>
      </c>
      <c r="BK5" s="15">
        <v>63</v>
      </c>
      <c r="BL5" s="15">
        <v>64</v>
      </c>
      <c r="BM5" s="15">
        <v>65</v>
      </c>
      <c r="BN5" s="15">
        <v>66</v>
      </c>
      <c r="BO5" s="15">
        <v>67</v>
      </c>
      <c r="BP5" s="15">
        <v>68</v>
      </c>
      <c r="BQ5" s="15">
        <v>69</v>
      </c>
      <c r="BR5" s="15">
        <v>70</v>
      </c>
      <c r="BS5" s="15">
        <v>71</v>
      </c>
      <c r="BT5" s="15">
        <v>72</v>
      </c>
      <c r="BU5" s="15">
        <v>73</v>
      </c>
      <c r="BV5" s="15">
        <v>74</v>
      </c>
      <c r="BW5" s="15">
        <v>75</v>
      </c>
      <c r="BX5" s="15">
        <v>76</v>
      </c>
      <c r="BY5" s="15">
        <v>77</v>
      </c>
      <c r="BZ5" s="15">
        <v>78</v>
      </c>
      <c r="CA5" s="15">
        <v>79</v>
      </c>
      <c r="CB5" s="15">
        <v>80</v>
      </c>
      <c r="CC5" s="15">
        <v>81</v>
      </c>
      <c r="CD5" s="15">
        <v>82</v>
      </c>
      <c r="CE5" s="15">
        <v>83</v>
      </c>
      <c r="CF5" s="15">
        <v>84</v>
      </c>
      <c r="CG5" s="15">
        <v>85</v>
      </c>
      <c r="CH5" s="15">
        <v>86</v>
      </c>
      <c r="CI5" s="15">
        <v>87</v>
      </c>
      <c r="CJ5" s="15">
        <v>88</v>
      </c>
      <c r="CK5" s="15">
        <v>89</v>
      </c>
      <c r="CL5" s="15">
        <v>90</v>
      </c>
      <c r="CM5" s="15">
        <v>91</v>
      </c>
      <c r="CN5" s="15">
        <v>92</v>
      </c>
      <c r="CO5" s="15">
        <v>93</v>
      </c>
      <c r="CP5" s="15">
        <v>94</v>
      </c>
      <c r="CQ5" s="15">
        <v>95</v>
      </c>
      <c r="CR5" s="15">
        <v>96</v>
      </c>
      <c r="CS5" s="15">
        <v>97</v>
      </c>
      <c r="CT5" s="15">
        <v>98</v>
      </c>
      <c r="CU5" s="15">
        <v>99</v>
      </c>
      <c r="CV5" s="15">
        <v>100</v>
      </c>
      <c r="CW5" s="15">
        <v>101</v>
      </c>
      <c r="CX5" s="15">
        <v>102</v>
      </c>
      <c r="CY5" s="15">
        <v>103</v>
      </c>
      <c r="CZ5" s="15">
        <v>104</v>
      </c>
      <c r="DA5" s="15">
        <v>105</v>
      </c>
    </row>
    <row r="6" spans="1:105">
      <c r="A6" s="16" t="s">
        <v>13</v>
      </c>
      <c r="B6" s="17"/>
      <c r="C6" s="17"/>
      <c r="D6" s="17"/>
      <c r="E6" s="17"/>
      <c r="F6" s="17"/>
      <c r="G6" s="18"/>
      <c r="H6" s="19"/>
      <c r="I6" s="469" t="s">
        <v>14</v>
      </c>
      <c r="J6" s="470"/>
      <c r="K6" s="470"/>
      <c r="L6" s="470"/>
      <c r="M6" s="470"/>
      <c r="N6" s="471"/>
      <c r="O6" s="472" t="s">
        <v>15</v>
      </c>
      <c r="P6" s="473"/>
      <c r="Q6" s="20" t="s">
        <v>16</v>
      </c>
      <c r="R6" s="474" t="s">
        <v>17</v>
      </c>
      <c r="S6" s="474"/>
      <c r="T6" s="474"/>
      <c r="U6" s="21"/>
      <c r="V6" s="21"/>
      <c r="W6" s="21"/>
      <c r="X6" s="22"/>
      <c r="Y6" s="23"/>
      <c r="Z6" s="21"/>
      <c r="AA6" s="21"/>
      <c r="AB6" s="21"/>
      <c r="AC6" s="21"/>
      <c r="AD6" s="21"/>
      <c r="AE6" s="24"/>
      <c r="AF6" s="24"/>
      <c r="AG6" s="24"/>
      <c r="AH6" s="24"/>
      <c r="AI6" s="24"/>
      <c r="AJ6" s="24"/>
      <c r="AK6" s="24"/>
      <c r="AL6" s="24"/>
      <c r="AM6" s="24"/>
      <c r="AN6" s="24"/>
      <c r="AO6" s="2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row>
    <row r="7" spans="1:105" ht="25.5">
      <c r="A7" s="25" t="s">
        <v>18</v>
      </c>
      <c r="B7" s="25" t="s">
        <v>19</v>
      </c>
      <c r="C7" s="25" t="s">
        <v>20</v>
      </c>
      <c r="D7" s="25" t="s">
        <v>21</v>
      </c>
      <c r="E7" s="25" t="s">
        <v>22</v>
      </c>
      <c r="F7" s="26" t="s">
        <v>23</v>
      </c>
      <c r="G7" s="25" t="s">
        <v>24</v>
      </c>
      <c r="H7" s="27" t="s">
        <v>25</v>
      </c>
      <c r="I7" s="27" t="s">
        <v>26</v>
      </c>
      <c r="J7" s="27" t="s">
        <v>27</v>
      </c>
      <c r="K7" s="27" t="s">
        <v>28</v>
      </c>
      <c r="L7" s="27" t="s">
        <v>29</v>
      </c>
      <c r="M7" s="27" t="s">
        <v>30</v>
      </c>
      <c r="N7" s="27" t="s">
        <v>31</v>
      </c>
      <c r="O7" s="28" t="s">
        <v>32</v>
      </c>
      <c r="P7" s="27" t="s">
        <v>24</v>
      </c>
      <c r="Q7" s="29" t="s">
        <v>33</v>
      </c>
      <c r="R7" s="30" t="s">
        <v>34</v>
      </c>
      <c r="S7" s="30" t="s">
        <v>35</v>
      </c>
      <c r="T7" s="30" t="s">
        <v>36</v>
      </c>
      <c r="U7" s="31"/>
      <c r="V7" s="31"/>
      <c r="W7" s="31"/>
      <c r="X7" s="31"/>
      <c r="Y7" s="31"/>
      <c r="Z7" s="31"/>
      <c r="AA7" s="31"/>
      <c r="AB7" s="31"/>
      <c r="AC7" s="31"/>
      <c r="AD7" s="31"/>
      <c r="AE7" s="24"/>
      <c r="AF7" s="24"/>
      <c r="AG7" s="24"/>
      <c r="AH7" s="24"/>
      <c r="AI7" s="24"/>
      <c r="AJ7" s="24"/>
      <c r="AK7" s="24"/>
      <c r="AL7" s="24"/>
      <c r="AM7" s="24"/>
      <c r="AN7" s="24"/>
      <c r="AO7" s="2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row>
    <row r="8" spans="1:105">
      <c r="A8" s="63" t="str">
        <f>LEFT(B8,22)&amp;" - New"</f>
        <v>Streetlight - HPS 100W - New</v>
      </c>
      <c r="B8" s="32" t="str">
        <f>MMap!F13</f>
        <v>Streetlight - HPS 100W - Group Relamp - to LED 42W - New</v>
      </c>
      <c r="C8" s="33">
        <f>MMap!G13*VLOOKUP(B8,MMap!$F$13:$AU$36,MATCH(M_Input!$C$4,MMap!$F$12:$AU$12,0),FALSE)</f>
        <v>84.924999999999983</v>
      </c>
      <c r="D8" s="63">
        <f>MMap!L13</f>
        <v>11.627906976744185</v>
      </c>
      <c r="E8" s="35">
        <f>MMap!H13*VLOOKUP(B8,MMap!$F$13:$AU$36,MATCH(M_Input!$C$4,MMap!$F$12:$AU$12,0),FALSE)</f>
        <v>-2.1479739877325699</v>
      </c>
      <c r="F8" s="35">
        <f>MMap!M13*VLOOKUP(B8,MMap!$F$13:$AU$36,MATCH(M_Input!$C$4,MMap!$F$12:$AU$12,0),FALSE)</f>
        <v>0</v>
      </c>
      <c r="G8" s="36" t="s">
        <v>525</v>
      </c>
      <c r="H8" s="34"/>
      <c r="I8" s="54">
        <f>MMap!N13*VLOOKUP(B8,MMap!$F$13:$AU$36,MATCH(M_Input!$C$4,MMap!$F$12:$AU$12,0),FALSE)</f>
        <v>-19.25</v>
      </c>
      <c r="J8" s="34">
        <f>MMap!O13</f>
        <v>5</v>
      </c>
      <c r="K8" s="34"/>
      <c r="L8" s="34"/>
      <c r="M8" s="34"/>
      <c r="N8" s="34"/>
      <c r="O8" s="11"/>
      <c r="P8" s="37"/>
      <c r="Q8" s="38" t="s">
        <v>866</v>
      </c>
      <c r="R8" s="34"/>
      <c r="S8" s="34"/>
      <c r="T8" s="34"/>
      <c r="U8" s="31"/>
      <c r="V8" s="31"/>
      <c r="W8" s="31"/>
      <c r="X8" s="31"/>
      <c r="Y8" s="31"/>
      <c r="Z8" s="31"/>
      <c r="AA8" s="31"/>
      <c r="AB8" s="31"/>
      <c r="AC8" s="31"/>
      <c r="AD8" s="31"/>
      <c r="AE8" s="24"/>
      <c r="AF8" s="24"/>
      <c r="AG8" s="24"/>
      <c r="AH8" s="24"/>
      <c r="AI8" s="24"/>
      <c r="AJ8" s="24"/>
      <c r="AK8" s="24"/>
      <c r="AL8" s="24"/>
      <c r="AM8" s="24"/>
      <c r="AN8" s="24"/>
      <c r="AO8" s="24"/>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row>
    <row r="9" spans="1:105">
      <c r="A9" s="63" t="str">
        <f t="shared" ref="A9:A19" si="0">LEFT(B9,22)&amp;" - New"</f>
        <v>Streetlight - HPS 100W - New</v>
      </c>
      <c r="B9" s="32" t="str">
        <f>MMap!F14</f>
        <v>Streetlight - HPS 100W - Tariff Relamp - to LED 42W - New</v>
      </c>
      <c r="C9" s="33">
        <f>MMap!G14*VLOOKUP(B9,MMap!$F$13:$AU$36,MATCH(M_Input!$C$4,MMap!$F$12:$AU$12,0),FALSE)</f>
        <v>84.924999999999983</v>
      </c>
      <c r="D9" s="63">
        <f>MMap!L14</f>
        <v>11.627906976744185</v>
      </c>
      <c r="E9" s="35">
        <f>MMap!H14*VLOOKUP(B9,MMap!$F$13:$AU$36,MATCH(M_Input!$C$4,MMap!$F$12:$AU$12,0),FALSE)</f>
        <v>-2.1479739877325699</v>
      </c>
      <c r="F9" s="35">
        <f>MMap!M14*VLOOKUP(B9,MMap!$F$13:$AU$36,MATCH(M_Input!$C$4,MMap!$F$12:$AU$12,0),FALSE)</f>
        <v>-14</v>
      </c>
      <c r="G9" s="36" t="s">
        <v>525</v>
      </c>
      <c r="H9" s="11"/>
      <c r="I9" s="54">
        <f>MMap!N14*VLOOKUP(B9,MMap!$F$13:$AU$36,MATCH(M_Input!$C$4,MMap!$F$12:$AU$12,0),FALSE)</f>
        <v>0</v>
      </c>
      <c r="J9" s="34">
        <f>MMap!O14</f>
        <v>0</v>
      </c>
      <c r="K9" s="11"/>
      <c r="L9" s="11"/>
      <c r="M9" s="11"/>
      <c r="N9" s="11"/>
      <c r="O9" s="11"/>
      <c r="P9" s="37"/>
      <c r="Q9" s="38" t="s">
        <v>866</v>
      </c>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c r="BU9" s="11"/>
      <c r="BV9" s="11"/>
      <c r="BW9" s="11"/>
      <c r="BX9" s="11"/>
      <c r="BY9" s="11"/>
      <c r="BZ9" s="11"/>
      <c r="CA9" s="11"/>
      <c r="CB9" s="11"/>
      <c r="CC9" s="11"/>
      <c r="CD9" s="11"/>
      <c r="CE9" s="11"/>
      <c r="CF9" s="11"/>
      <c r="CG9" s="11"/>
      <c r="CH9" s="11"/>
      <c r="CI9" s="11"/>
      <c r="CJ9" s="11"/>
      <c r="CK9" s="11"/>
      <c r="CL9" s="11"/>
      <c r="CM9" s="11"/>
      <c r="CN9" s="11"/>
      <c r="CO9" s="11"/>
      <c r="CP9" s="11"/>
      <c r="CQ9" s="11"/>
      <c r="CR9" s="11"/>
      <c r="CS9" s="11"/>
      <c r="CT9" s="11"/>
      <c r="CU9" s="11"/>
      <c r="CV9" s="11"/>
      <c r="CW9" s="11"/>
      <c r="CX9" s="11"/>
      <c r="CY9" s="11"/>
      <c r="CZ9" s="11"/>
      <c r="DA9" s="11"/>
    </row>
    <row r="10" spans="1:105">
      <c r="A10" s="63" t="str">
        <f t="shared" si="0"/>
        <v>Streetlight - HPS 100W - New</v>
      </c>
      <c r="B10" s="32" t="str">
        <f>MMap!F15</f>
        <v>Streetlight - HPS 100W - Group Relamp - to LED 58W - New</v>
      </c>
      <c r="C10" s="33">
        <f>MMap!G15*VLOOKUP(B10,MMap!$F$13:$AU$36,MATCH(M_Input!$C$4,MMap!$F$12:$AU$12,0),FALSE)</f>
        <v>67.724999999999994</v>
      </c>
      <c r="D10" s="63">
        <f>MMap!L15</f>
        <v>11.627906976744185</v>
      </c>
      <c r="E10" s="35">
        <f>MMap!H15*VLOOKUP(B10,MMap!$F$13:$AU$36,MATCH(M_Input!$C$4,MMap!$F$12:$AU$12,0),FALSE)</f>
        <v>-2.1479739877325699</v>
      </c>
      <c r="F10" s="35">
        <f>MMap!M15*VLOOKUP(B10,MMap!$F$13:$AU$36,MATCH(M_Input!$C$4,MMap!$F$12:$AU$12,0),FALSE)</f>
        <v>0</v>
      </c>
      <c r="G10" s="36" t="s">
        <v>525</v>
      </c>
      <c r="H10" s="11"/>
      <c r="I10" s="54">
        <f>MMap!N15*VLOOKUP(B10,MMap!$F$13:$AU$36,MATCH(M_Input!$C$4,MMap!$F$12:$AU$12,0),FALSE)</f>
        <v>-19.25</v>
      </c>
      <c r="J10" s="34">
        <f>MMap!O15</f>
        <v>5</v>
      </c>
      <c r="K10" s="11"/>
      <c r="L10" s="11"/>
      <c r="M10" s="11"/>
      <c r="N10" s="11"/>
      <c r="O10" s="11"/>
      <c r="P10" s="37"/>
      <c r="Q10" s="38" t="s">
        <v>866</v>
      </c>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c r="BW10" s="11"/>
      <c r="BX10" s="11"/>
      <c r="BY10" s="11"/>
      <c r="BZ10" s="11"/>
      <c r="CA10" s="11"/>
      <c r="CB10" s="11"/>
      <c r="CC10" s="11"/>
      <c r="CD10" s="11"/>
      <c r="CE10" s="11"/>
      <c r="CF10" s="11"/>
      <c r="CG10" s="11"/>
      <c r="CH10" s="11"/>
      <c r="CI10" s="11"/>
      <c r="CJ10" s="11"/>
      <c r="CK10" s="11"/>
      <c r="CL10" s="11"/>
      <c r="CM10" s="11"/>
      <c r="CN10" s="11"/>
      <c r="CO10" s="11"/>
      <c r="CP10" s="11"/>
      <c r="CQ10" s="11"/>
      <c r="CR10" s="11"/>
      <c r="CS10" s="11"/>
      <c r="CT10" s="11"/>
      <c r="CU10" s="11"/>
      <c r="CV10" s="11"/>
      <c r="CW10" s="11"/>
      <c r="CX10" s="11"/>
      <c r="CY10" s="11"/>
      <c r="CZ10" s="11"/>
      <c r="DA10" s="11"/>
    </row>
    <row r="11" spans="1:105">
      <c r="A11" s="63" t="str">
        <f t="shared" si="0"/>
        <v>Streetlight - HPS 100W - New</v>
      </c>
      <c r="B11" s="32" t="str">
        <f>MMap!F16</f>
        <v>Streetlight - HPS 100W - Tariff Relamp - to LED 58W - New</v>
      </c>
      <c r="C11" s="33">
        <f>MMap!G16*VLOOKUP(B11,MMap!$F$13:$AU$36,MATCH(M_Input!$C$4,MMap!$F$12:$AU$12,0),FALSE)</f>
        <v>67.724999999999994</v>
      </c>
      <c r="D11" s="63">
        <f>MMap!L16</f>
        <v>11.627906976744185</v>
      </c>
      <c r="E11" s="35">
        <f>MMap!H16*VLOOKUP(B11,MMap!$F$13:$AU$36,MATCH(M_Input!$C$4,MMap!$F$12:$AU$12,0),FALSE)</f>
        <v>-2.1479739877325699</v>
      </c>
      <c r="F11" s="35">
        <f>MMap!M16*VLOOKUP(B11,MMap!$F$13:$AU$36,MATCH(M_Input!$C$4,MMap!$F$12:$AU$12,0),FALSE)</f>
        <v>-14</v>
      </c>
      <c r="G11" s="36" t="s">
        <v>525</v>
      </c>
      <c r="H11" s="11"/>
      <c r="I11" s="54">
        <f>MMap!N16*VLOOKUP(B11,MMap!$F$13:$AU$36,MATCH(M_Input!$C$4,MMap!$F$12:$AU$12,0),FALSE)</f>
        <v>0</v>
      </c>
      <c r="J11" s="34">
        <f>MMap!O16</f>
        <v>0</v>
      </c>
      <c r="K11" s="11"/>
      <c r="L11" s="11"/>
      <c r="M11" s="11"/>
      <c r="N11" s="11"/>
      <c r="O11" s="11"/>
      <c r="P11" s="11"/>
      <c r="Q11" s="38" t="s">
        <v>866</v>
      </c>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1"/>
      <c r="CI11" s="11"/>
      <c r="CJ11" s="11"/>
      <c r="CK11" s="11"/>
      <c r="CL11" s="11"/>
      <c r="CM11" s="11"/>
      <c r="CN11" s="11"/>
      <c r="CO11" s="11"/>
      <c r="CP11" s="11"/>
      <c r="CQ11" s="11"/>
      <c r="CR11" s="11"/>
      <c r="CS11" s="11"/>
      <c r="CT11" s="11"/>
      <c r="CU11" s="11"/>
      <c r="CV11" s="11"/>
      <c r="CW11" s="11"/>
      <c r="CX11" s="11"/>
      <c r="CY11" s="11"/>
      <c r="CZ11" s="11"/>
      <c r="DA11" s="11"/>
    </row>
    <row r="12" spans="1:105">
      <c r="A12" s="63" t="str">
        <f t="shared" si="0"/>
        <v>Streetlight - MH 200W  - New</v>
      </c>
      <c r="B12" s="32" t="str">
        <f>MMap!F17</f>
        <v>Streetlight - MH 200W - Group Relamp - to LED 135W - New</v>
      </c>
      <c r="C12" s="33">
        <f>MMap!G17*VLOOKUP(B12,MMap!$F$13:$AU$36,MATCH(M_Input!$C$4,MMap!$F$12:$AU$12,0),FALSE)</f>
        <v>197.8</v>
      </c>
      <c r="D12" s="63">
        <f>MMap!L17</f>
        <v>11.627906976744185</v>
      </c>
      <c r="E12" s="35">
        <f>MMap!H17*VLOOKUP(B12,MMap!$F$13:$AU$36,MATCH(M_Input!$C$4,MMap!$F$12:$AU$12,0),FALSE)</f>
        <v>1.0057886064783617</v>
      </c>
      <c r="F12" s="35">
        <f>MMap!M17*VLOOKUP(B12,MMap!$F$13:$AU$36,MATCH(M_Input!$C$4,MMap!$F$12:$AU$12,0),FALSE)</f>
        <v>0</v>
      </c>
      <c r="G12" s="36" t="s">
        <v>525</v>
      </c>
      <c r="H12" s="11"/>
      <c r="I12" s="54">
        <f>MMap!N17*VLOOKUP(B12,MMap!$F$13:$AU$36,MATCH(M_Input!$C$4,MMap!$F$12:$AU$12,0),FALSE)</f>
        <v>-40</v>
      </c>
      <c r="J12" s="34">
        <f>MMap!O17</f>
        <v>5</v>
      </c>
      <c r="K12" s="11"/>
      <c r="L12" s="11"/>
      <c r="M12" s="11"/>
      <c r="N12" s="11"/>
      <c r="O12" s="11"/>
      <c r="P12" s="11"/>
      <c r="Q12" s="38" t="s">
        <v>866</v>
      </c>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c r="CO12" s="11"/>
      <c r="CP12" s="11"/>
      <c r="CQ12" s="11"/>
      <c r="CR12" s="11"/>
      <c r="CS12" s="11"/>
      <c r="CT12" s="11"/>
      <c r="CU12" s="11"/>
      <c r="CV12" s="11"/>
      <c r="CW12" s="11"/>
      <c r="CX12" s="11"/>
      <c r="CY12" s="11"/>
      <c r="CZ12" s="11"/>
      <c r="DA12" s="11"/>
    </row>
    <row r="13" spans="1:105">
      <c r="A13" s="63" t="str">
        <f t="shared" si="0"/>
        <v>Streetlight - MH 200W  - New</v>
      </c>
      <c r="B13" s="32" t="str">
        <f>MMap!F18</f>
        <v>Streetlight - MH 200W - Tariff Relamp - to LED 135W - New</v>
      </c>
      <c r="C13" s="33">
        <f>MMap!G18*VLOOKUP(B13,MMap!$F$13:$AU$36,MATCH(M_Input!$C$4,MMap!$F$12:$AU$12,0),FALSE)</f>
        <v>197.8</v>
      </c>
      <c r="D13" s="63">
        <f>MMap!L18</f>
        <v>11.627906976744185</v>
      </c>
      <c r="E13" s="35">
        <f>MMap!H18*VLOOKUP(B13,MMap!$F$13:$AU$36,MATCH(M_Input!$C$4,MMap!$F$12:$AU$12,0),FALSE)</f>
        <v>1.0057886064783617</v>
      </c>
      <c r="F13" s="35">
        <f>MMap!M18*VLOOKUP(B13,MMap!$F$13:$AU$36,MATCH(M_Input!$C$4,MMap!$F$12:$AU$12,0),FALSE)</f>
        <v>-28</v>
      </c>
      <c r="G13" s="36" t="s">
        <v>525</v>
      </c>
      <c r="H13" s="11"/>
      <c r="I13" s="54">
        <f>MMap!N18*VLOOKUP(B13,MMap!$F$13:$AU$36,MATCH(M_Input!$C$4,MMap!$F$12:$AU$12,0),FALSE)</f>
        <v>0</v>
      </c>
      <c r="J13" s="34">
        <f>MMap!O18</f>
        <v>0</v>
      </c>
      <c r="K13" s="11"/>
      <c r="L13" s="11"/>
      <c r="M13" s="11"/>
      <c r="N13" s="11"/>
      <c r="O13" s="11"/>
      <c r="P13" s="11"/>
      <c r="Q13" s="38" t="s">
        <v>866</v>
      </c>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row>
    <row r="14" spans="1:105">
      <c r="A14" s="63" t="str">
        <f t="shared" si="0"/>
        <v>Streetlight - HPS 250W - New</v>
      </c>
      <c r="B14" s="32" t="str">
        <f>MMap!F19</f>
        <v>Streetlight - HPS 250W - Group Relamp - to LED 135W - New</v>
      </c>
      <c r="C14" s="33">
        <f>MMap!G19*VLOOKUP(B14,MMap!$F$13:$AU$36,MATCH(M_Input!$C$4,MMap!$F$12:$AU$12,0),FALSE)</f>
        <v>333.25</v>
      </c>
      <c r="D14" s="63">
        <f>MMap!L19</f>
        <v>11.627906976744185</v>
      </c>
      <c r="E14" s="35">
        <f>MMap!H19*VLOOKUP(B14,MMap!$F$13:$AU$36,MATCH(M_Input!$C$4,MMap!$F$12:$AU$12,0),FALSE)</f>
        <v>1.0057886064783617</v>
      </c>
      <c r="F14" s="35">
        <f>MMap!M19*VLOOKUP(B14,MMap!$F$13:$AU$36,MATCH(M_Input!$C$4,MMap!$F$12:$AU$12,0),FALSE)</f>
        <v>0</v>
      </c>
      <c r="G14" s="36" t="s">
        <v>525</v>
      </c>
      <c r="I14" s="54">
        <f>MMap!N19*VLOOKUP(B14,MMap!$F$13:$AU$36,MATCH(M_Input!$C$4,MMap!$F$12:$AU$12,0),FALSE)</f>
        <v>-40</v>
      </c>
      <c r="J14" s="34">
        <f>MMap!O19</f>
        <v>5</v>
      </c>
      <c r="Q14" s="38" t="s">
        <v>866</v>
      </c>
    </row>
    <row r="15" spans="1:105">
      <c r="A15" s="63" t="str">
        <f t="shared" si="0"/>
        <v>Streetlight - HPS 250W - New</v>
      </c>
      <c r="B15" s="32" t="str">
        <f>MMap!F20</f>
        <v>Streetlight - HPS 250W - Tariff Relamp - to LED 135W - New</v>
      </c>
      <c r="C15" s="33">
        <f>MMap!G20*VLOOKUP(B15,MMap!$F$13:$AU$36,MATCH(M_Input!$C$4,MMap!$F$12:$AU$12,0),FALSE)</f>
        <v>333.25</v>
      </c>
      <c r="D15" s="63">
        <f>MMap!L20</f>
        <v>11.627906976744185</v>
      </c>
      <c r="E15" s="35">
        <f>MMap!H20*VLOOKUP(B15,MMap!$F$13:$AU$36,MATCH(M_Input!$C$4,MMap!$F$12:$AU$12,0),FALSE)</f>
        <v>1.0057886064783617</v>
      </c>
      <c r="F15" s="35">
        <f>MMap!M20*VLOOKUP(B15,MMap!$F$13:$AU$36,MATCH(M_Input!$C$4,MMap!$F$12:$AU$12,0),FALSE)</f>
        <v>-28</v>
      </c>
      <c r="G15" s="36" t="s">
        <v>525</v>
      </c>
      <c r="I15" s="54">
        <f>MMap!N20*VLOOKUP(B15,MMap!$F$13:$AU$36,MATCH(M_Input!$C$4,MMap!$F$12:$AU$12,0),FALSE)</f>
        <v>0</v>
      </c>
      <c r="J15" s="34">
        <f>MMap!O20</f>
        <v>0</v>
      </c>
      <c r="Q15" s="38" t="s">
        <v>866</v>
      </c>
    </row>
    <row r="16" spans="1:105">
      <c r="A16" s="63" t="str">
        <f t="shared" si="0"/>
        <v>Streetlight - MH 400W  - New</v>
      </c>
      <c r="B16" s="32" t="str">
        <f>MMap!F21</f>
        <v>Streetlight - MH 400W - Group Relamp - to LED 180W - New</v>
      </c>
      <c r="C16" s="33">
        <f>MMap!G21*VLOOKUP(B16,MMap!$F$13:$AU$36,MATCH(M_Input!$C$4,MMap!$F$12:$AU$12,0),FALSE)</f>
        <v>576.20000000000005</v>
      </c>
      <c r="D16" s="63">
        <f>MMap!L21</f>
        <v>11.627906976744185</v>
      </c>
      <c r="E16" s="35">
        <f>MMap!H21*VLOOKUP(B16,MMap!$F$13:$AU$36,MATCH(M_Input!$C$4,MMap!$F$12:$AU$12,0),FALSE)</f>
        <v>67.011577212956723</v>
      </c>
      <c r="F16" s="35">
        <f>MMap!M21*VLOOKUP(B16,MMap!$F$13:$AU$36,MATCH(M_Input!$C$4,MMap!$F$12:$AU$12,0),FALSE)</f>
        <v>0</v>
      </c>
      <c r="G16" s="36" t="s">
        <v>525</v>
      </c>
      <c r="I16" s="54">
        <f>MMap!N21*VLOOKUP(B16,MMap!$F$13:$AU$36,MATCH(M_Input!$C$4,MMap!$F$12:$AU$12,0),FALSE)</f>
        <v>-41.5</v>
      </c>
      <c r="J16" s="34">
        <f>MMap!O21</f>
        <v>4</v>
      </c>
      <c r="Q16" s="38" t="s">
        <v>866</v>
      </c>
    </row>
    <row r="17" spans="1:17">
      <c r="A17" s="63" t="str">
        <f t="shared" si="0"/>
        <v>Streetlight - MH 400W  - New</v>
      </c>
      <c r="B17" s="32" t="str">
        <f>MMap!F22</f>
        <v>Streetlight - MH 400W - Tariff Relamp - to LED 180W - New</v>
      </c>
      <c r="C17" s="33">
        <f>MMap!G22*VLOOKUP(B17,MMap!$F$13:$AU$36,MATCH(M_Input!$C$4,MMap!$F$12:$AU$12,0),FALSE)</f>
        <v>576.20000000000005</v>
      </c>
      <c r="D17" s="63">
        <f>MMap!L22</f>
        <v>11.627906976744185</v>
      </c>
      <c r="E17" s="35">
        <f>MMap!H22*VLOOKUP(B17,MMap!$F$13:$AU$36,MATCH(M_Input!$C$4,MMap!$F$12:$AU$12,0),FALSE)</f>
        <v>67.011577212956723</v>
      </c>
      <c r="F17" s="35">
        <f>MMap!M22*VLOOKUP(B17,MMap!$F$13:$AU$36,MATCH(M_Input!$C$4,MMap!$F$12:$AU$12,0),FALSE)</f>
        <v>-28</v>
      </c>
      <c r="G17" s="36" t="s">
        <v>525</v>
      </c>
      <c r="I17" s="54">
        <f>MMap!N22*VLOOKUP(B17,MMap!$F$13:$AU$36,MATCH(M_Input!$C$4,MMap!$F$12:$AU$12,0),FALSE)</f>
        <v>0</v>
      </c>
      <c r="J17" s="34">
        <f>MMap!O22</f>
        <v>0</v>
      </c>
      <c r="Q17" s="38" t="s">
        <v>866</v>
      </c>
    </row>
    <row r="18" spans="1:17">
      <c r="A18" s="63" t="str">
        <f t="shared" si="0"/>
        <v>Streetlight - MH 1000W - New</v>
      </c>
      <c r="B18" s="32" t="str">
        <f>MMap!F23</f>
        <v>Streetlight - MH 1000W - Group Relamp - to LED 421W - New</v>
      </c>
      <c r="C18" s="33">
        <f>MMap!G23*VLOOKUP(B18,MMap!$F$13:$AU$36,MATCH(M_Input!$C$4,MMap!$F$12:$AU$12,0),FALSE)</f>
        <v>1459.85</v>
      </c>
      <c r="D18" s="63">
        <f>MMap!L23</f>
        <v>11.627906976744185</v>
      </c>
      <c r="E18" s="35">
        <f>MMap!H23*VLOOKUP(B18,MMap!$F$13:$AU$36,MATCH(M_Input!$C$4,MMap!$F$12:$AU$12,0),FALSE)</f>
        <v>266.0347316388702</v>
      </c>
      <c r="F18" s="35">
        <f>MMap!M23*VLOOKUP(B18,MMap!$F$13:$AU$36,MATCH(M_Input!$C$4,MMap!$F$12:$AU$12,0),FALSE)</f>
        <v>0</v>
      </c>
      <c r="G18" s="36" t="s">
        <v>525</v>
      </c>
      <c r="I18" s="54">
        <f>MMap!N23*VLOOKUP(B18,MMap!$F$13:$AU$36,MATCH(M_Input!$C$4,MMap!$F$12:$AU$12,0),FALSE)</f>
        <v>-42.5</v>
      </c>
      <c r="J18" s="34">
        <f>MMap!O23</f>
        <v>4</v>
      </c>
      <c r="Q18" s="38" t="s">
        <v>866</v>
      </c>
    </row>
    <row r="19" spans="1:17">
      <c r="A19" s="63" t="str">
        <f t="shared" si="0"/>
        <v>Streetlight - MH 1000W - New</v>
      </c>
      <c r="B19" s="32" t="str">
        <f>MMap!F24</f>
        <v>Streetlight - MH 1000W - Tariff Relamp - to LED 421W - New</v>
      </c>
      <c r="C19" s="33">
        <f>MMap!G24*VLOOKUP(B19,MMap!$F$13:$AU$36,MATCH(M_Input!$C$4,MMap!$F$12:$AU$12,0),FALSE)</f>
        <v>1459.85</v>
      </c>
      <c r="D19" s="63">
        <f>MMap!L24</f>
        <v>11.627906976744185</v>
      </c>
      <c r="E19" s="35">
        <f>MMap!H24*VLOOKUP(B19,MMap!$F$13:$AU$36,MATCH(M_Input!$C$4,MMap!$F$12:$AU$12,0),FALSE)</f>
        <v>266.0347316388702</v>
      </c>
      <c r="F19" s="35">
        <f>MMap!M24*VLOOKUP(B19,MMap!$F$13:$AU$36,MATCH(M_Input!$C$4,MMap!$F$12:$AU$12,0),FALSE)</f>
        <v>-28</v>
      </c>
      <c r="G19" s="36" t="s">
        <v>525</v>
      </c>
      <c r="I19" s="54">
        <f>MMap!N24*VLOOKUP(B19,MMap!$F$13:$AU$36,MATCH(M_Input!$C$4,MMap!$F$12:$AU$12,0),FALSE)</f>
        <v>0</v>
      </c>
      <c r="J19" s="34">
        <f>MMap!O24</f>
        <v>0</v>
      </c>
      <c r="Q19" s="38" t="s">
        <v>866</v>
      </c>
    </row>
    <row r="20" spans="1:17">
      <c r="A20" s="63" t="str">
        <f>LEFT(B20,22)&amp;" - NR"</f>
        <v>Streetlight - HPS 100W - NR</v>
      </c>
      <c r="B20" s="32" t="str">
        <f>MMap!F25</f>
        <v>Streetlight - HPS 100W - Group Relamp - to LED 42W - NR</v>
      </c>
      <c r="C20" s="33">
        <f>MMap!G25*VLOOKUP(B20,MMap!$F$13:$AU$36,MATCH(M_Input!$C$4,MMap!$F$12:$AU$12,0),FALSE)</f>
        <v>84.924999999999983</v>
      </c>
      <c r="D20" s="63">
        <f>MMap!L25</f>
        <v>11.627906976744185</v>
      </c>
      <c r="E20" s="35">
        <f>MMap!H25*VLOOKUP(B20,MMap!$F$13:$AU$36,MATCH(M_Input!$C$4,MMap!$F$12:$AU$12,0),FALSE)</f>
        <v>28.35202601226743</v>
      </c>
      <c r="F20" s="35">
        <f>MMap!M25*VLOOKUP(B20,MMap!$F$13:$AU$36,MATCH(M_Input!$C$4,MMap!$F$12:$AU$12,0),FALSE)</f>
        <v>0</v>
      </c>
      <c r="G20" s="36" t="s">
        <v>525</v>
      </c>
      <c r="I20" s="54">
        <f>MMap!N25*VLOOKUP(B20,MMap!$F$13:$AU$36,MATCH(M_Input!$C$4,MMap!$F$12:$AU$12,0),FALSE)</f>
        <v>-19.25</v>
      </c>
      <c r="J20" s="34">
        <f>MMap!O25</f>
        <v>5</v>
      </c>
      <c r="Q20" s="38" t="s">
        <v>866</v>
      </c>
    </row>
    <row r="21" spans="1:17">
      <c r="A21" s="63" t="str">
        <f t="shared" ref="A21:A31" si="1">LEFT(B21,22)&amp;" - NR"</f>
        <v>Streetlight - HPS 100W - NR</v>
      </c>
      <c r="B21" s="32" t="str">
        <f>MMap!F26</f>
        <v>Streetlight - HPS 100W - Tariff Relamp - to LED 42W - NR</v>
      </c>
      <c r="C21" s="33">
        <f>MMap!G26*VLOOKUP(B21,MMap!$F$13:$AU$36,MATCH(M_Input!$C$4,MMap!$F$12:$AU$12,0),FALSE)</f>
        <v>84.924999999999983</v>
      </c>
      <c r="D21" s="63">
        <f>MMap!L26</f>
        <v>11.627906976744185</v>
      </c>
      <c r="E21" s="35">
        <f>MMap!H26*VLOOKUP(B21,MMap!$F$13:$AU$36,MATCH(M_Input!$C$4,MMap!$F$12:$AU$12,0),FALSE)</f>
        <v>28.35202601226743</v>
      </c>
      <c r="F21" s="35">
        <f>MMap!M26*VLOOKUP(B21,MMap!$F$13:$AU$36,MATCH(M_Input!$C$4,MMap!$F$12:$AU$12,0),FALSE)</f>
        <v>-14</v>
      </c>
      <c r="G21" s="36" t="s">
        <v>525</v>
      </c>
      <c r="I21" s="54">
        <f>MMap!N26*VLOOKUP(B21,MMap!$F$13:$AU$36,MATCH(M_Input!$C$4,MMap!$F$12:$AU$12,0),FALSE)</f>
        <v>0</v>
      </c>
      <c r="J21" s="34">
        <f>MMap!O26</f>
        <v>0</v>
      </c>
      <c r="Q21" s="38" t="s">
        <v>866</v>
      </c>
    </row>
    <row r="22" spans="1:17">
      <c r="A22" s="63" t="str">
        <f t="shared" si="1"/>
        <v>Streetlight - HPS 100W - NR</v>
      </c>
      <c r="B22" s="32" t="str">
        <f>MMap!F27</f>
        <v>Streetlight - HPS 100W - Group Relamp - to LED 58W - NR</v>
      </c>
      <c r="C22" s="33">
        <f>MMap!G27*VLOOKUP(B22,MMap!$F$13:$AU$36,MATCH(M_Input!$C$4,MMap!$F$12:$AU$12,0),FALSE)</f>
        <v>67.724999999999994</v>
      </c>
      <c r="D22" s="63">
        <f>MMap!L27</f>
        <v>11.627906976744185</v>
      </c>
      <c r="E22" s="35">
        <f>MMap!H27*VLOOKUP(B22,MMap!$F$13:$AU$36,MATCH(M_Input!$C$4,MMap!$F$12:$AU$12,0),FALSE)</f>
        <v>28.35202601226743</v>
      </c>
      <c r="F22" s="35">
        <f>MMap!M27*VLOOKUP(B22,MMap!$F$13:$AU$36,MATCH(M_Input!$C$4,MMap!$F$12:$AU$12,0),FALSE)</f>
        <v>0</v>
      </c>
      <c r="G22" s="36" t="s">
        <v>525</v>
      </c>
      <c r="I22" s="54">
        <f>MMap!N27*VLOOKUP(B22,MMap!$F$13:$AU$36,MATCH(M_Input!$C$4,MMap!$F$12:$AU$12,0),FALSE)</f>
        <v>-19.25</v>
      </c>
      <c r="J22" s="34">
        <f>MMap!O27</f>
        <v>5</v>
      </c>
      <c r="Q22" s="38" t="s">
        <v>866</v>
      </c>
    </row>
    <row r="23" spans="1:17">
      <c r="A23" s="63" t="str">
        <f t="shared" si="1"/>
        <v>Streetlight - HPS 100W - NR</v>
      </c>
      <c r="B23" s="32" t="str">
        <f>MMap!F28</f>
        <v>Streetlight - HPS 100W - Tariff Relamp - to LED 58W - NR</v>
      </c>
      <c r="C23" s="33">
        <f>MMap!G28*VLOOKUP(B23,MMap!$F$13:$AU$36,MATCH(M_Input!$C$4,MMap!$F$12:$AU$12,0),FALSE)</f>
        <v>67.724999999999994</v>
      </c>
      <c r="D23" s="63">
        <f>MMap!L28</f>
        <v>11.627906976744185</v>
      </c>
      <c r="E23" s="35">
        <f>MMap!H28*VLOOKUP(B23,MMap!$F$13:$AU$36,MATCH(M_Input!$C$4,MMap!$F$12:$AU$12,0),FALSE)</f>
        <v>28.35202601226743</v>
      </c>
      <c r="F23" s="35">
        <f>MMap!M28*VLOOKUP(B23,MMap!$F$13:$AU$36,MATCH(M_Input!$C$4,MMap!$F$12:$AU$12,0),FALSE)</f>
        <v>-14</v>
      </c>
      <c r="G23" s="36" t="s">
        <v>525</v>
      </c>
      <c r="I23" s="54">
        <f>MMap!N28*VLOOKUP(B23,MMap!$F$13:$AU$36,MATCH(M_Input!$C$4,MMap!$F$12:$AU$12,0),FALSE)</f>
        <v>0</v>
      </c>
      <c r="J23" s="34">
        <f>MMap!O28</f>
        <v>0</v>
      </c>
      <c r="Q23" s="38" t="s">
        <v>866</v>
      </c>
    </row>
    <row r="24" spans="1:17">
      <c r="A24" s="63" t="str">
        <f t="shared" si="1"/>
        <v>Streetlight - MH 200W  - NR</v>
      </c>
      <c r="B24" s="32" t="str">
        <f>MMap!F29</f>
        <v>Streetlight - MH 200W - Group Relamp - to LED 135W - NR</v>
      </c>
      <c r="C24" s="33">
        <f>MMap!G29*VLOOKUP(B24,MMap!$F$13:$AU$36,MATCH(M_Input!$C$4,MMap!$F$12:$AU$12,0),FALSE)</f>
        <v>197.8</v>
      </c>
      <c r="D24" s="63">
        <f>MMap!L29</f>
        <v>11.627906976744185</v>
      </c>
      <c r="E24" s="35">
        <f>MMap!H29*VLOOKUP(B24,MMap!$F$13:$AU$36,MATCH(M_Input!$C$4,MMap!$F$12:$AU$12,0),FALSE)</f>
        <v>81.005788606478362</v>
      </c>
      <c r="F24" s="35">
        <f>MMap!M29*VLOOKUP(B24,MMap!$F$13:$AU$36,MATCH(M_Input!$C$4,MMap!$F$12:$AU$12,0),FALSE)</f>
        <v>0</v>
      </c>
      <c r="G24" s="36" t="s">
        <v>525</v>
      </c>
      <c r="I24" s="54">
        <f>MMap!N29*VLOOKUP(B24,MMap!$F$13:$AU$36,MATCH(M_Input!$C$4,MMap!$F$12:$AU$12,0),FALSE)</f>
        <v>-40</v>
      </c>
      <c r="J24" s="34">
        <f>MMap!O29</f>
        <v>5</v>
      </c>
      <c r="Q24" s="38" t="s">
        <v>866</v>
      </c>
    </row>
    <row r="25" spans="1:17">
      <c r="A25" s="63" t="str">
        <f t="shared" si="1"/>
        <v>Streetlight - MH 200W  - NR</v>
      </c>
      <c r="B25" s="32" t="str">
        <f>MMap!F30</f>
        <v>Streetlight - MH 200W - Tariff Relamp - to LED 135W - NR</v>
      </c>
      <c r="C25" s="33">
        <f>MMap!G30*VLOOKUP(B25,MMap!$F$13:$AU$36,MATCH(M_Input!$C$4,MMap!$F$12:$AU$12,0),FALSE)</f>
        <v>197.8</v>
      </c>
      <c r="D25" s="63">
        <f>MMap!L30</f>
        <v>11.627906976744185</v>
      </c>
      <c r="E25" s="35">
        <f>MMap!H30*VLOOKUP(B25,MMap!$F$13:$AU$36,MATCH(M_Input!$C$4,MMap!$F$12:$AU$12,0),FALSE)</f>
        <v>81.005788606478362</v>
      </c>
      <c r="F25" s="35">
        <f>MMap!M30*VLOOKUP(B25,MMap!$F$13:$AU$36,MATCH(M_Input!$C$4,MMap!$F$12:$AU$12,0),FALSE)</f>
        <v>-28</v>
      </c>
      <c r="G25" s="36" t="s">
        <v>525</v>
      </c>
      <c r="I25" s="54">
        <f>MMap!N30*VLOOKUP(B25,MMap!$F$13:$AU$36,MATCH(M_Input!$C$4,MMap!$F$12:$AU$12,0),FALSE)</f>
        <v>0</v>
      </c>
      <c r="J25" s="34">
        <f>MMap!O30</f>
        <v>0</v>
      </c>
      <c r="Q25" s="38" t="s">
        <v>866</v>
      </c>
    </row>
    <row r="26" spans="1:17">
      <c r="A26" s="63" t="str">
        <f t="shared" si="1"/>
        <v>Streetlight - HPS 250W - NR</v>
      </c>
      <c r="B26" s="32" t="str">
        <f>MMap!F31</f>
        <v>Streetlight - HPS 250W - Group Relamp - to LED 135W - NR</v>
      </c>
      <c r="C26" s="33">
        <f>MMap!G31*VLOOKUP(B26,MMap!$F$13:$AU$36,MATCH(M_Input!$C$4,MMap!$F$12:$AU$12,0),FALSE)</f>
        <v>333.25</v>
      </c>
      <c r="D26" s="63">
        <f>MMap!L31</f>
        <v>11.627906976744185</v>
      </c>
      <c r="E26" s="35">
        <f>MMap!H31*VLOOKUP(B26,MMap!$F$13:$AU$36,MATCH(M_Input!$C$4,MMap!$F$12:$AU$12,0),FALSE)</f>
        <v>81.005788606478362</v>
      </c>
      <c r="F26" s="35">
        <f>MMap!M31*VLOOKUP(B26,MMap!$F$13:$AU$36,MATCH(M_Input!$C$4,MMap!$F$12:$AU$12,0),FALSE)</f>
        <v>0</v>
      </c>
      <c r="G26" s="36" t="s">
        <v>525</v>
      </c>
      <c r="I26" s="54">
        <f>MMap!N31*VLOOKUP(B26,MMap!$F$13:$AU$36,MATCH(M_Input!$C$4,MMap!$F$12:$AU$12,0),FALSE)</f>
        <v>-40</v>
      </c>
      <c r="J26" s="34">
        <f>MMap!O31</f>
        <v>5</v>
      </c>
      <c r="Q26" s="38" t="s">
        <v>866</v>
      </c>
    </row>
    <row r="27" spans="1:17">
      <c r="A27" s="63" t="str">
        <f t="shared" si="1"/>
        <v>Streetlight - HPS 250W - NR</v>
      </c>
      <c r="B27" s="32" t="str">
        <f>MMap!F32</f>
        <v>Streetlight - HPS 250W - Tariff Relamp - to LED 135W - NR</v>
      </c>
      <c r="C27" s="33">
        <f>MMap!G32*VLOOKUP(B27,MMap!$F$13:$AU$36,MATCH(M_Input!$C$4,MMap!$F$12:$AU$12,0),FALSE)</f>
        <v>333.25</v>
      </c>
      <c r="D27" s="63">
        <f>MMap!L32</f>
        <v>11.627906976744185</v>
      </c>
      <c r="E27" s="35">
        <f>MMap!H32*VLOOKUP(B27,MMap!$F$13:$AU$36,MATCH(M_Input!$C$4,MMap!$F$12:$AU$12,0),FALSE)</f>
        <v>81.005788606478362</v>
      </c>
      <c r="F27" s="35">
        <f>MMap!M32*VLOOKUP(B27,MMap!$F$13:$AU$36,MATCH(M_Input!$C$4,MMap!$F$12:$AU$12,0),FALSE)</f>
        <v>-28</v>
      </c>
      <c r="G27" s="36" t="s">
        <v>525</v>
      </c>
      <c r="I27" s="54">
        <f>MMap!N32*VLOOKUP(B27,MMap!$F$13:$AU$36,MATCH(M_Input!$C$4,MMap!$F$12:$AU$12,0),FALSE)</f>
        <v>0</v>
      </c>
      <c r="J27" s="34">
        <f>MMap!O32</f>
        <v>0</v>
      </c>
      <c r="Q27" s="38" t="s">
        <v>866</v>
      </c>
    </row>
    <row r="28" spans="1:17">
      <c r="A28" s="63" t="str">
        <f t="shared" si="1"/>
        <v>Streetlight - MH 400W  - NR</v>
      </c>
      <c r="B28" s="32" t="str">
        <f>MMap!F33</f>
        <v>Streetlight - MH 400W - Group Relamp - to LED 180W - NR</v>
      </c>
      <c r="C28" s="33">
        <f>MMap!G33*VLOOKUP(B28,MMap!$F$13:$AU$36,MATCH(M_Input!$C$4,MMap!$F$12:$AU$12,0),FALSE)</f>
        <v>576.20000000000005</v>
      </c>
      <c r="D28" s="63">
        <f>MMap!L33</f>
        <v>11.627906976744185</v>
      </c>
      <c r="E28" s="35">
        <f>MMap!H33*VLOOKUP(B28,MMap!$F$13:$AU$36,MATCH(M_Input!$C$4,MMap!$F$12:$AU$12,0),FALSE)</f>
        <v>162.01157721295672</v>
      </c>
      <c r="F28" s="35">
        <f>MMap!M33*VLOOKUP(B28,MMap!$F$13:$AU$36,MATCH(M_Input!$C$4,MMap!$F$12:$AU$12,0),FALSE)</f>
        <v>0</v>
      </c>
      <c r="G28" s="36" t="s">
        <v>525</v>
      </c>
      <c r="I28" s="54">
        <f>MMap!N33*VLOOKUP(B28,MMap!$F$13:$AU$36,MATCH(M_Input!$C$4,MMap!$F$12:$AU$12,0),FALSE)</f>
        <v>-41.5</v>
      </c>
      <c r="J28" s="34">
        <f>MMap!O33</f>
        <v>4</v>
      </c>
      <c r="Q28" s="38" t="s">
        <v>866</v>
      </c>
    </row>
    <row r="29" spans="1:17">
      <c r="A29" s="63" t="str">
        <f t="shared" si="1"/>
        <v>Streetlight - MH 400W  - NR</v>
      </c>
      <c r="B29" s="32" t="str">
        <f>MMap!F34</f>
        <v>Streetlight - MH 400W - Tariff Relamp - to LED 180W - NR</v>
      </c>
      <c r="C29" s="33">
        <f>MMap!G34*VLOOKUP(B29,MMap!$F$13:$AU$36,MATCH(M_Input!$C$4,MMap!$F$12:$AU$12,0),FALSE)</f>
        <v>576.20000000000005</v>
      </c>
      <c r="D29" s="63">
        <f>MMap!L34</f>
        <v>11.627906976744185</v>
      </c>
      <c r="E29" s="35">
        <f>MMap!H34*VLOOKUP(B29,MMap!$F$13:$AU$36,MATCH(M_Input!$C$4,MMap!$F$12:$AU$12,0),FALSE)</f>
        <v>162.01157721295672</v>
      </c>
      <c r="F29" s="35">
        <f>MMap!M34*VLOOKUP(B29,MMap!$F$13:$AU$36,MATCH(M_Input!$C$4,MMap!$F$12:$AU$12,0),FALSE)</f>
        <v>-28</v>
      </c>
      <c r="G29" s="36" t="s">
        <v>525</v>
      </c>
      <c r="I29" s="54">
        <f>MMap!N34*VLOOKUP(B29,MMap!$F$13:$AU$36,MATCH(M_Input!$C$4,MMap!$F$12:$AU$12,0),FALSE)</f>
        <v>0</v>
      </c>
      <c r="J29" s="34">
        <f>MMap!O34</f>
        <v>0</v>
      </c>
      <c r="Q29" s="38" t="s">
        <v>866</v>
      </c>
    </row>
    <row r="30" spans="1:17">
      <c r="A30" s="63" t="str">
        <f t="shared" si="1"/>
        <v>Streetlight - MH 1000W - NR</v>
      </c>
      <c r="B30" s="32" t="str">
        <f>MMap!F35</f>
        <v>Streetlight - MH 1000W - Group Relamp - to LED 421W - NR</v>
      </c>
      <c r="C30" s="33">
        <f>MMap!G35*VLOOKUP(B30,MMap!$F$13:$AU$36,MATCH(M_Input!$C$4,MMap!$F$12:$AU$12,0),FALSE)</f>
        <v>1459.85</v>
      </c>
      <c r="D30" s="63">
        <f>MMap!L35</f>
        <v>11.627906976744185</v>
      </c>
      <c r="E30" s="35">
        <f>MMap!H35*VLOOKUP(B30,MMap!$F$13:$AU$36,MATCH(M_Input!$C$4,MMap!$F$12:$AU$12,0),FALSE)</f>
        <v>486.0347316388702</v>
      </c>
      <c r="F30" s="35">
        <f>MMap!M35*VLOOKUP(B30,MMap!$F$13:$AU$36,MATCH(M_Input!$C$4,MMap!$F$12:$AU$12,0),FALSE)</f>
        <v>0</v>
      </c>
      <c r="G30" s="36" t="s">
        <v>525</v>
      </c>
      <c r="I30" s="54">
        <f>MMap!N35*VLOOKUP(B30,MMap!$F$13:$AU$36,MATCH(M_Input!$C$4,MMap!$F$12:$AU$12,0),FALSE)</f>
        <v>-42.5</v>
      </c>
      <c r="J30" s="34">
        <f>MMap!O35</f>
        <v>4</v>
      </c>
      <c r="Q30" s="38" t="s">
        <v>866</v>
      </c>
    </row>
    <row r="31" spans="1:17">
      <c r="A31" s="63" t="str">
        <f t="shared" si="1"/>
        <v>Streetlight - MH 1000W - NR</v>
      </c>
      <c r="B31" s="32" t="str">
        <f>MMap!F36</f>
        <v>Streetlight - MH 1000W - Tariff Relamp - to LED 421W - NR</v>
      </c>
      <c r="C31" s="33">
        <f>MMap!G36*VLOOKUP(B31,MMap!$F$13:$AU$36,MATCH(M_Input!$C$4,MMap!$F$12:$AU$12,0),FALSE)</f>
        <v>1459.85</v>
      </c>
      <c r="D31" s="63">
        <f>MMap!L36</f>
        <v>11.627906976744185</v>
      </c>
      <c r="E31" s="35">
        <f>MMap!H36*VLOOKUP(B31,MMap!$F$13:$AU$36,MATCH(M_Input!$C$4,MMap!$F$12:$AU$12,0),FALSE)</f>
        <v>486.0347316388702</v>
      </c>
      <c r="F31" s="35">
        <f>MMap!M36*VLOOKUP(B31,MMap!$F$13:$AU$36,MATCH(M_Input!$C$4,MMap!$F$12:$AU$12,0),FALSE)</f>
        <v>-28</v>
      </c>
      <c r="G31" s="36" t="s">
        <v>525</v>
      </c>
      <c r="I31" s="54">
        <f>MMap!N36*VLOOKUP(B31,MMap!$F$13:$AU$36,MATCH(M_Input!$C$4,MMap!$F$12:$AU$12,0),FALSE)</f>
        <v>0</v>
      </c>
      <c r="J31" s="34">
        <f>MMap!O36</f>
        <v>0</v>
      </c>
      <c r="Q31" s="38" t="s">
        <v>866</v>
      </c>
    </row>
    <row r="34" spans="1:131">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row>
    <row r="35" spans="1:131">
      <c r="A35" s="365" t="s">
        <v>534</v>
      </c>
      <c r="B35" s="366"/>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row>
    <row r="36" spans="1:131">
      <c r="A36" s="11" t="s">
        <v>535</v>
      </c>
      <c r="B36" s="11" t="s">
        <v>536</v>
      </c>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row>
    <row r="37" spans="1:131">
      <c r="A37" s="11" t="s">
        <v>537</v>
      </c>
      <c r="B37" s="11" t="s">
        <v>1065</v>
      </c>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row>
    <row r="38" spans="1:131">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row>
    <row r="39" spans="1:131" ht="13.5" thickBot="1">
      <c r="A39" s="367" t="s">
        <v>538</v>
      </c>
      <c r="B39" s="368"/>
      <c r="C39" s="368"/>
      <c r="D39" s="368"/>
      <c r="E39" s="368"/>
      <c r="F39" s="368"/>
      <c r="G39" s="368"/>
      <c r="H39" s="368"/>
      <c r="I39" s="368"/>
      <c r="J39" s="368"/>
      <c r="K39" s="368"/>
      <c r="L39" s="368"/>
      <c r="M39" s="368"/>
      <c r="N39" s="368"/>
      <c r="O39" s="368"/>
      <c r="P39" s="368"/>
      <c r="Q39" s="368"/>
      <c r="R39" s="368"/>
      <c r="S39" s="368"/>
      <c r="T39" s="368"/>
      <c r="U39" s="368"/>
      <c r="V39" s="368"/>
      <c r="W39" s="368"/>
      <c r="X39" s="368"/>
      <c r="Y39" s="368"/>
      <c r="Z39" s="368"/>
      <c r="AA39" s="368"/>
      <c r="AB39" s="368"/>
      <c r="AC39" s="368"/>
      <c r="AD39" s="368"/>
      <c r="AE39" s="368"/>
      <c r="AF39" s="368"/>
      <c r="AG39" s="368"/>
      <c r="AH39" s="368"/>
      <c r="AI39" s="369"/>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row>
    <row r="40" spans="1:131">
      <c r="A40" s="11"/>
      <c r="B40" s="150" t="s">
        <v>539</v>
      </c>
      <c r="C40" s="151"/>
      <c r="D40" s="151" t="s">
        <v>539</v>
      </c>
      <c r="E40" s="152"/>
      <c r="F40" s="11"/>
      <c r="G40" s="150" t="s">
        <v>540</v>
      </c>
      <c r="H40" s="151"/>
      <c r="I40" s="151"/>
      <c r="J40" s="151"/>
      <c r="K40" s="151"/>
      <c r="L40" s="151"/>
      <c r="M40" s="151"/>
      <c r="N40" s="151"/>
      <c r="O40" s="152"/>
      <c r="P40" s="11"/>
      <c r="Q40" s="150" t="s">
        <v>541</v>
      </c>
      <c r="R40" s="151"/>
      <c r="S40" s="151"/>
      <c r="T40" s="151"/>
      <c r="U40" s="152"/>
      <c r="V40" s="11"/>
      <c r="W40" s="150" t="s">
        <v>542</v>
      </c>
      <c r="X40" s="152"/>
      <c r="Y40" s="11"/>
      <c r="Z40" s="150" t="s">
        <v>543</v>
      </c>
      <c r="AA40" s="151"/>
      <c r="AB40" s="152"/>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row>
    <row r="41" spans="1:131">
      <c r="A41" s="11"/>
      <c r="B41" s="148" t="s">
        <v>544</v>
      </c>
      <c r="C41" s="115" t="s">
        <v>545</v>
      </c>
      <c r="D41" s="115" t="s">
        <v>544</v>
      </c>
      <c r="E41" s="149" t="s">
        <v>545</v>
      </c>
      <c r="F41" s="11"/>
      <c r="G41" s="148" t="s">
        <v>546</v>
      </c>
      <c r="H41" s="115" t="s">
        <v>1066</v>
      </c>
      <c r="I41" s="115"/>
      <c r="J41" s="115"/>
      <c r="K41" s="115" t="s">
        <v>547</v>
      </c>
      <c r="L41" s="115"/>
      <c r="M41" s="115"/>
      <c r="N41" s="115"/>
      <c r="O41" s="149"/>
      <c r="P41" s="11"/>
      <c r="Q41" s="148"/>
      <c r="R41" s="115" t="s">
        <v>327</v>
      </c>
      <c r="S41" s="115" t="s">
        <v>548</v>
      </c>
      <c r="T41" s="115" t="s">
        <v>549</v>
      </c>
      <c r="U41" s="149" t="s">
        <v>550</v>
      </c>
      <c r="V41" s="11"/>
      <c r="W41" s="148" t="s">
        <v>551</v>
      </c>
      <c r="X41" s="149">
        <v>20</v>
      </c>
      <c r="Y41" s="11"/>
      <c r="Z41" s="148"/>
      <c r="AA41" s="115" t="s">
        <v>545</v>
      </c>
      <c r="AB41" s="149" t="s">
        <v>552</v>
      </c>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row>
    <row r="42" spans="1:131">
      <c r="A42" s="11"/>
      <c r="B42" s="148" t="s">
        <v>553</v>
      </c>
      <c r="C42" s="115" t="s">
        <v>554</v>
      </c>
      <c r="D42" s="115" t="s">
        <v>553</v>
      </c>
      <c r="E42" s="149" t="s">
        <v>554</v>
      </c>
      <c r="F42" s="11"/>
      <c r="G42" s="148" t="s">
        <v>555</v>
      </c>
      <c r="H42" s="115" t="s">
        <v>556</v>
      </c>
      <c r="I42" s="115"/>
      <c r="J42" s="115"/>
      <c r="K42" s="115" t="s">
        <v>557</v>
      </c>
      <c r="L42" s="115"/>
      <c r="M42" s="115"/>
      <c r="N42" s="115"/>
      <c r="O42" s="149"/>
      <c r="P42" s="11"/>
      <c r="Q42" s="148" t="s">
        <v>558</v>
      </c>
      <c r="R42" s="115">
        <v>6.8012888465852586E-2</v>
      </c>
      <c r="S42" s="115">
        <v>4.387844424080023E-2</v>
      </c>
      <c r="T42" s="115">
        <v>5.3289007766645871E-2</v>
      </c>
      <c r="U42" s="149">
        <v>5.447903102274565E-2</v>
      </c>
      <c r="V42" s="11"/>
      <c r="W42" s="148" t="s">
        <v>559</v>
      </c>
      <c r="X42" s="149">
        <v>2016</v>
      </c>
      <c r="Y42" s="11"/>
      <c r="Z42" s="148" t="s">
        <v>560</v>
      </c>
      <c r="AA42" s="115">
        <v>4.03890184699085E-3</v>
      </c>
      <c r="AB42" s="149">
        <v>0.01</v>
      </c>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row>
    <row r="43" spans="1:131">
      <c r="A43" s="11"/>
      <c r="B43" s="148" t="s">
        <v>561</v>
      </c>
      <c r="C43" s="115" t="s">
        <v>562</v>
      </c>
      <c r="D43" s="115" t="s">
        <v>561</v>
      </c>
      <c r="E43" s="149" t="s">
        <v>562</v>
      </c>
      <c r="F43" s="11"/>
      <c r="G43" s="148" t="s">
        <v>563</v>
      </c>
      <c r="H43" s="115" t="s">
        <v>564</v>
      </c>
      <c r="I43" s="115"/>
      <c r="J43" s="115"/>
      <c r="K43" s="115" t="s">
        <v>565</v>
      </c>
      <c r="L43" s="115"/>
      <c r="M43" s="115"/>
      <c r="N43" s="115"/>
      <c r="O43" s="149"/>
      <c r="P43" s="11"/>
      <c r="Q43" s="148" t="s">
        <v>566</v>
      </c>
      <c r="R43" s="115">
        <v>12</v>
      </c>
      <c r="S43" s="115">
        <v>12</v>
      </c>
      <c r="T43" s="115">
        <v>1</v>
      </c>
      <c r="U43" s="149">
        <v>1</v>
      </c>
      <c r="V43" s="11"/>
      <c r="W43" s="148" t="s">
        <v>567</v>
      </c>
      <c r="X43" s="149">
        <v>2016</v>
      </c>
      <c r="Y43" s="11"/>
      <c r="Z43" s="148" t="s">
        <v>568</v>
      </c>
      <c r="AA43" s="115">
        <v>26</v>
      </c>
      <c r="AB43" s="149">
        <v>0</v>
      </c>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row>
    <row r="44" spans="1:131" ht="13.5" thickBot="1">
      <c r="A44" s="11"/>
      <c r="B44" s="163" t="s">
        <v>569</v>
      </c>
      <c r="C44" s="370" t="s">
        <v>562</v>
      </c>
      <c r="D44" s="370" t="s">
        <v>569</v>
      </c>
      <c r="E44" s="371" t="s">
        <v>562</v>
      </c>
      <c r="F44" s="11"/>
      <c r="G44" s="148" t="s">
        <v>570</v>
      </c>
      <c r="H44" s="115" t="s">
        <v>571</v>
      </c>
      <c r="I44" s="115"/>
      <c r="J44" s="115"/>
      <c r="K44" s="115" t="s">
        <v>557</v>
      </c>
      <c r="L44" s="115"/>
      <c r="M44" s="115"/>
      <c r="N44" s="115"/>
      <c r="O44" s="149"/>
      <c r="P44" s="11"/>
      <c r="Q44" s="148"/>
      <c r="R44" s="115" t="s">
        <v>327</v>
      </c>
      <c r="S44" s="115" t="s">
        <v>548</v>
      </c>
      <c r="T44" s="115" t="s">
        <v>549</v>
      </c>
      <c r="U44" s="149" t="s">
        <v>550</v>
      </c>
      <c r="V44" s="11"/>
      <c r="W44" s="148" t="s">
        <v>572</v>
      </c>
      <c r="X44" s="149">
        <v>2012</v>
      </c>
      <c r="Y44" s="11"/>
      <c r="Z44" s="148" t="s">
        <v>573</v>
      </c>
      <c r="AA44" s="115">
        <v>0.9</v>
      </c>
      <c r="AB44" s="149" t="s">
        <v>574</v>
      </c>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row>
    <row r="45" spans="1:131">
      <c r="A45" s="11"/>
      <c r="B45" s="11"/>
      <c r="C45" s="11"/>
      <c r="D45" s="11"/>
      <c r="E45" s="11"/>
      <c r="F45" s="11"/>
      <c r="G45" s="148" t="s">
        <v>575</v>
      </c>
      <c r="H45" s="115" t="s">
        <v>564</v>
      </c>
      <c r="I45" s="115"/>
      <c r="J45" s="115"/>
      <c r="K45" s="115"/>
      <c r="L45" s="115"/>
      <c r="M45" s="115"/>
      <c r="N45" s="115"/>
      <c r="O45" s="149"/>
      <c r="P45" s="11"/>
      <c r="Q45" s="148" t="s">
        <v>576</v>
      </c>
      <c r="R45" s="115">
        <v>0.35</v>
      </c>
      <c r="S45" s="115">
        <v>0.19500000000000001</v>
      </c>
      <c r="T45" s="115">
        <v>0.45499999999999996</v>
      </c>
      <c r="U45" s="149">
        <v>0</v>
      </c>
      <c r="V45" s="11"/>
      <c r="W45" s="148" t="s">
        <v>577</v>
      </c>
      <c r="X45" s="149">
        <v>0.04</v>
      </c>
      <c r="Y45" s="11"/>
      <c r="Z45" s="148" t="s">
        <v>578</v>
      </c>
      <c r="AA45" s="115">
        <v>4.7399348199455904E-2</v>
      </c>
      <c r="AB45" s="149">
        <v>0</v>
      </c>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row>
    <row r="46" spans="1:131">
      <c r="A46" s="11"/>
      <c r="B46" s="11" t="s">
        <v>579</v>
      </c>
      <c r="C46" s="11" t="s">
        <v>545</v>
      </c>
      <c r="D46" s="11"/>
      <c r="E46" s="11"/>
      <c r="F46" s="11"/>
      <c r="G46" s="148" t="s">
        <v>580</v>
      </c>
      <c r="H46" s="115" t="s">
        <v>581</v>
      </c>
      <c r="I46" s="115"/>
      <c r="J46" s="115"/>
      <c r="K46" s="115" t="s">
        <v>582</v>
      </c>
      <c r="L46" s="115"/>
      <c r="M46" s="115"/>
      <c r="N46" s="115"/>
      <c r="O46" s="149"/>
      <c r="P46" s="11"/>
      <c r="Q46" s="148" t="s">
        <v>583</v>
      </c>
      <c r="R46" s="115">
        <v>1</v>
      </c>
      <c r="S46" s="115">
        <v>0</v>
      </c>
      <c r="T46" s="115">
        <v>0</v>
      </c>
      <c r="U46" s="149">
        <v>0</v>
      </c>
      <c r="V46" s="11"/>
      <c r="W46" s="148" t="s">
        <v>584</v>
      </c>
      <c r="X46" s="149">
        <v>0</v>
      </c>
      <c r="Y46" s="11"/>
      <c r="Z46" s="148" t="s">
        <v>585</v>
      </c>
      <c r="AA46" s="115">
        <v>31</v>
      </c>
      <c r="AB46" s="149">
        <v>0</v>
      </c>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row>
    <row r="47" spans="1:131">
      <c r="A47" s="11"/>
      <c r="B47" s="11" t="s">
        <v>586</v>
      </c>
      <c r="C47" s="11" t="s">
        <v>587</v>
      </c>
      <c r="D47" s="11"/>
      <c r="E47" s="11"/>
      <c r="F47" s="11"/>
      <c r="G47" s="148" t="s">
        <v>588</v>
      </c>
      <c r="H47" s="115" t="s">
        <v>582</v>
      </c>
      <c r="I47" s="115"/>
      <c r="J47" s="115"/>
      <c r="K47" s="115" t="s">
        <v>589</v>
      </c>
      <c r="L47" s="115"/>
      <c r="M47" s="115"/>
      <c r="N47" s="115"/>
      <c r="O47" s="149"/>
      <c r="P47" s="11"/>
      <c r="Q47" s="148" t="s">
        <v>590</v>
      </c>
      <c r="R47" s="115">
        <v>1</v>
      </c>
      <c r="S47" s="115">
        <v>0</v>
      </c>
      <c r="T47" s="115">
        <v>0</v>
      </c>
      <c r="U47" s="149">
        <v>0</v>
      </c>
      <c r="V47" s="11"/>
      <c r="W47" s="148" t="s">
        <v>591</v>
      </c>
      <c r="X47" s="149">
        <v>0.2</v>
      </c>
      <c r="Y47" s="11"/>
      <c r="Z47" s="148" t="s">
        <v>592</v>
      </c>
      <c r="AA47" s="115">
        <v>0.7</v>
      </c>
      <c r="AB47" s="149" t="s">
        <v>574</v>
      </c>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row>
    <row r="48" spans="1:131">
      <c r="A48" s="11"/>
      <c r="B48" s="11" t="s">
        <v>593</v>
      </c>
      <c r="C48" s="11" t="s">
        <v>594</v>
      </c>
      <c r="D48" s="11"/>
      <c r="E48" s="11"/>
      <c r="F48" s="11"/>
      <c r="G48" s="148" t="s">
        <v>595</v>
      </c>
      <c r="H48" s="115" t="s">
        <v>589</v>
      </c>
      <c r="I48" s="115"/>
      <c r="J48" s="115"/>
      <c r="K48" s="115" t="s">
        <v>596</v>
      </c>
      <c r="L48" s="115"/>
      <c r="M48" s="115"/>
      <c r="N48" s="115"/>
      <c r="O48" s="149"/>
      <c r="P48" s="11"/>
      <c r="Q48" s="148" t="s">
        <v>597</v>
      </c>
      <c r="R48" s="115"/>
      <c r="S48" s="115">
        <v>0.3</v>
      </c>
      <c r="T48" s="115">
        <v>0.7</v>
      </c>
      <c r="U48" s="149">
        <v>0</v>
      </c>
      <c r="V48" s="11"/>
      <c r="W48" s="148" t="s">
        <v>598</v>
      </c>
      <c r="X48" s="149">
        <v>0</v>
      </c>
      <c r="Y48" s="11"/>
      <c r="Z48" s="148" t="s">
        <v>599</v>
      </c>
      <c r="AA48" s="115">
        <v>0</v>
      </c>
      <c r="AB48" s="149">
        <v>0</v>
      </c>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row>
    <row r="49" spans="1:131" ht="13.5" thickBot="1">
      <c r="A49" s="11"/>
      <c r="B49" s="11" t="s">
        <v>600</v>
      </c>
      <c r="C49" s="11" t="s">
        <v>601</v>
      </c>
      <c r="D49" s="11"/>
      <c r="E49" s="11"/>
      <c r="F49" s="11"/>
      <c r="G49" s="163" t="s">
        <v>602</v>
      </c>
      <c r="H49" s="370" t="s">
        <v>596</v>
      </c>
      <c r="I49" s="370"/>
      <c r="J49" s="370"/>
      <c r="K49" s="370"/>
      <c r="L49" s="370"/>
      <c r="M49" s="370"/>
      <c r="N49" s="370"/>
      <c r="O49" s="371"/>
      <c r="P49" s="11"/>
      <c r="Q49" s="163" t="s">
        <v>603</v>
      </c>
      <c r="R49" s="370"/>
      <c r="S49" s="370">
        <v>20</v>
      </c>
      <c r="T49" s="370"/>
      <c r="U49" s="371"/>
      <c r="V49" s="11"/>
      <c r="W49" s="163" t="s">
        <v>604</v>
      </c>
      <c r="X49" s="371">
        <v>2018</v>
      </c>
      <c r="Y49" s="11"/>
      <c r="Z49" s="163" t="s">
        <v>605</v>
      </c>
      <c r="AA49" s="370">
        <v>0</v>
      </c>
      <c r="AB49" s="371">
        <v>0</v>
      </c>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row>
    <row r="50" spans="1:131">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row>
    <row r="51" spans="1:131">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row>
    <row r="52" spans="1:131">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row>
    <row r="53" spans="1:131">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row>
    <row r="54" spans="1:131">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row>
    <row r="55" spans="1:131">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row>
    <row r="56" spans="1:131">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row>
    <row r="57" spans="1:131" ht="13.5" thickBot="1">
      <c r="A57" s="367" t="s">
        <v>606</v>
      </c>
      <c r="B57" s="369"/>
      <c r="C57" s="32"/>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2"/>
      <c r="AI57" s="32"/>
      <c r="AJ57" s="32"/>
      <c r="AK57" s="32"/>
      <c r="AL57" s="32"/>
      <c r="AM57" s="32"/>
      <c r="AN57" s="32"/>
      <c r="AO57" s="32"/>
      <c r="AP57" s="32"/>
      <c r="AQ57" s="32"/>
      <c r="AR57" s="32"/>
      <c r="AS57" s="32"/>
      <c r="AT57" s="32"/>
      <c r="AU57" s="32"/>
      <c r="AV57" s="32"/>
      <c r="AW57" s="32"/>
      <c r="AX57" s="32"/>
      <c r="AY57" s="32"/>
      <c r="AZ57" s="32"/>
      <c r="BA57" s="32"/>
      <c r="BB57" s="32"/>
      <c r="BC57" s="32"/>
      <c r="BD57" s="32"/>
      <c r="BE57" s="32"/>
      <c r="BF57" s="32"/>
      <c r="BG57" s="32"/>
      <c r="BH57" s="32"/>
      <c r="BI57" s="32"/>
      <c r="BJ57" s="32"/>
      <c r="BK57" s="32"/>
      <c r="BL57" s="32"/>
      <c r="BM57" s="32"/>
      <c r="BN57" s="32"/>
      <c r="BO57" s="32"/>
      <c r="BP57" s="32"/>
      <c r="BQ57" s="32"/>
      <c r="BR57" s="32"/>
      <c r="BS57" s="32"/>
      <c r="BT57" s="32"/>
      <c r="BU57" s="32"/>
      <c r="BV57" s="32"/>
      <c r="BW57" s="32"/>
      <c r="BX57" s="32"/>
      <c r="BY57" s="32"/>
      <c r="BZ57" s="32"/>
      <c r="CA57" s="32"/>
      <c r="CB57" s="32"/>
      <c r="CC57" s="32"/>
      <c r="CD57" s="32"/>
      <c r="CE57" s="32"/>
      <c r="CF57" s="32"/>
      <c r="CG57" s="32"/>
      <c r="CH57" s="32"/>
      <c r="CI57" s="32"/>
      <c r="CJ57" s="32"/>
      <c r="CK57" s="32"/>
      <c r="CL57" s="32"/>
      <c r="CM57" s="32"/>
      <c r="CN57" s="32"/>
      <c r="CO57" s="32"/>
      <c r="CP57" s="32"/>
      <c r="CQ57" s="32"/>
      <c r="CR57" s="32"/>
      <c r="CS57" s="32"/>
      <c r="CT57" s="32"/>
      <c r="CU57" s="32"/>
      <c r="CV57" s="32"/>
      <c r="CW57" s="32"/>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row>
    <row r="58" spans="1:131" ht="26.25" thickBot="1">
      <c r="A58" s="372" t="s">
        <v>291</v>
      </c>
      <c r="B58" s="373"/>
      <c r="C58" s="374" t="s">
        <v>292</v>
      </c>
      <c r="D58" s="375"/>
      <c r="E58" s="375"/>
      <c r="F58" s="375"/>
      <c r="G58" s="375"/>
      <c r="H58" s="375"/>
      <c r="I58" s="375"/>
      <c r="J58" s="375"/>
      <c r="K58" s="376"/>
      <c r="L58" s="374" t="s">
        <v>102</v>
      </c>
      <c r="M58" s="375"/>
      <c r="N58" s="375"/>
      <c r="O58" s="375"/>
      <c r="P58" s="375"/>
      <c r="Q58" s="376"/>
      <c r="R58" s="374" t="s">
        <v>293</v>
      </c>
      <c r="S58" s="375"/>
      <c r="T58" s="375"/>
      <c r="U58" s="376"/>
      <c r="V58" s="374" t="s">
        <v>294</v>
      </c>
      <c r="W58" s="375"/>
      <c r="X58" s="375"/>
      <c r="Y58" s="376"/>
      <c r="Z58" s="374" t="s">
        <v>295</v>
      </c>
      <c r="AA58" s="375"/>
      <c r="AB58" s="375"/>
      <c r="AC58" s="376"/>
      <c r="AD58" s="374" t="s">
        <v>296</v>
      </c>
      <c r="AE58" s="375"/>
      <c r="AF58" s="375"/>
      <c r="AG58" s="376"/>
      <c r="AH58" s="374" t="s">
        <v>297</v>
      </c>
      <c r="AI58" s="375"/>
      <c r="AJ58" s="375"/>
      <c r="AK58" s="375"/>
      <c r="AL58" s="376"/>
      <c r="AM58" s="374" t="s">
        <v>298</v>
      </c>
      <c r="AN58" s="375"/>
      <c r="AO58" s="375"/>
      <c r="AP58" s="375"/>
      <c r="AQ58" s="375"/>
      <c r="AR58" s="375"/>
      <c r="AS58" s="376"/>
      <c r="AT58" s="374" t="s">
        <v>299</v>
      </c>
      <c r="AU58" s="375"/>
      <c r="AV58" s="375"/>
      <c r="AW58" s="375"/>
      <c r="AX58" s="375"/>
      <c r="AY58" s="375"/>
      <c r="AZ58" s="376"/>
      <c r="BA58" s="374" t="s">
        <v>300</v>
      </c>
      <c r="BB58" s="375"/>
      <c r="BC58" s="375"/>
      <c r="BD58" s="375"/>
      <c r="BE58" s="375"/>
      <c r="BF58" s="376"/>
      <c r="BG58" s="374" t="s">
        <v>301</v>
      </c>
      <c r="BH58" s="376"/>
      <c r="BI58" s="374" t="s">
        <v>302</v>
      </c>
      <c r="BJ58" s="375"/>
      <c r="BK58" s="375"/>
      <c r="BL58" s="375"/>
      <c r="BM58" s="376"/>
      <c r="BN58" s="374" t="s">
        <v>303</v>
      </c>
      <c r="BO58" s="375"/>
      <c r="BP58" s="375"/>
      <c r="BQ58" s="375"/>
      <c r="BR58" s="375"/>
      <c r="BS58" s="375"/>
      <c r="BT58" s="375"/>
      <c r="BU58" s="375"/>
      <c r="BV58" s="375"/>
      <c r="BW58" s="375"/>
      <c r="BX58" s="375"/>
      <c r="BY58" s="375"/>
      <c r="BZ58" s="375"/>
      <c r="CA58" s="375"/>
      <c r="CB58" s="375"/>
      <c r="CC58" s="376"/>
      <c r="CD58" s="374" t="s">
        <v>304</v>
      </c>
      <c r="CE58" s="376"/>
      <c r="CF58" s="374" t="s">
        <v>305</v>
      </c>
      <c r="CG58" s="375"/>
      <c r="CH58" s="375"/>
      <c r="CI58" s="375"/>
      <c r="CJ58" s="375"/>
      <c r="CK58" s="376"/>
      <c r="CL58" s="377"/>
      <c r="CM58" s="374" t="s">
        <v>15</v>
      </c>
      <c r="CN58" s="375"/>
      <c r="CO58" s="375"/>
      <c r="CP58" s="376"/>
      <c r="CQ58" s="374" t="s">
        <v>306</v>
      </c>
      <c r="CR58" s="375"/>
      <c r="CS58" s="375"/>
      <c r="CT58" s="375"/>
      <c r="CU58" s="376"/>
      <c r="CV58" s="374" t="s">
        <v>307</v>
      </c>
      <c r="CW58" s="376"/>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row>
    <row r="59" spans="1:131" ht="127.5">
      <c r="A59" s="378" t="s">
        <v>308</v>
      </c>
      <c r="B59" s="379" t="s">
        <v>309</v>
      </c>
      <c r="C59" s="380" t="s">
        <v>8</v>
      </c>
      <c r="D59" s="380" t="s">
        <v>310</v>
      </c>
      <c r="E59" s="380" t="s">
        <v>311</v>
      </c>
      <c r="F59" s="380" t="s">
        <v>312</v>
      </c>
      <c r="G59" s="380" t="s">
        <v>313</v>
      </c>
      <c r="H59" s="380" t="s">
        <v>314</v>
      </c>
      <c r="I59" s="380" t="s">
        <v>315</v>
      </c>
      <c r="J59" s="380" t="s">
        <v>316</v>
      </c>
      <c r="K59" s="380" t="s">
        <v>317</v>
      </c>
      <c r="L59" s="380" t="s">
        <v>318</v>
      </c>
      <c r="M59" s="380" t="s">
        <v>319</v>
      </c>
      <c r="N59" s="380" t="s">
        <v>320</v>
      </c>
      <c r="O59" s="380" t="s">
        <v>321</v>
      </c>
      <c r="P59" s="380" t="s">
        <v>322</v>
      </c>
      <c r="Q59" s="380" t="s">
        <v>323</v>
      </c>
      <c r="R59" s="380" t="s">
        <v>324</v>
      </c>
      <c r="S59" s="380" t="s">
        <v>325</v>
      </c>
      <c r="T59" s="380" t="s">
        <v>326</v>
      </c>
      <c r="U59" s="380" t="s">
        <v>327</v>
      </c>
      <c r="V59" s="380" t="s">
        <v>324</v>
      </c>
      <c r="W59" s="380" t="s">
        <v>325</v>
      </c>
      <c r="X59" s="380" t="s">
        <v>326</v>
      </c>
      <c r="Y59" s="380" t="s">
        <v>327</v>
      </c>
      <c r="Z59" s="380" t="s">
        <v>324</v>
      </c>
      <c r="AA59" s="380" t="s">
        <v>325</v>
      </c>
      <c r="AB59" s="380" t="s">
        <v>326</v>
      </c>
      <c r="AC59" s="380" t="s">
        <v>327</v>
      </c>
      <c r="AD59" s="380" t="s">
        <v>324</v>
      </c>
      <c r="AE59" s="380" t="s">
        <v>325</v>
      </c>
      <c r="AF59" s="380" t="s">
        <v>326</v>
      </c>
      <c r="AG59" s="380" t="s">
        <v>327</v>
      </c>
      <c r="AH59" s="380" t="s">
        <v>324</v>
      </c>
      <c r="AI59" s="380" t="s">
        <v>325</v>
      </c>
      <c r="AJ59" s="380" t="s">
        <v>326</v>
      </c>
      <c r="AK59" s="380" t="s">
        <v>327</v>
      </c>
      <c r="AL59" s="380" t="s">
        <v>156</v>
      </c>
      <c r="AM59" s="380" t="s">
        <v>328</v>
      </c>
      <c r="AN59" s="380" t="s">
        <v>329</v>
      </c>
      <c r="AO59" s="380" t="s">
        <v>330</v>
      </c>
      <c r="AP59" s="380" t="s">
        <v>331</v>
      </c>
      <c r="AQ59" s="380" t="s">
        <v>332</v>
      </c>
      <c r="AR59" s="380" t="s">
        <v>333</v>
      </c>
      <c r="AS59" s="380" t="s">
        <v>334</v>
      </c>
      <c r="AT59" s="380" t="s">
        <v>335</v>
      </c>
      <c r="AU59" s="380" t="s">
        <v>336</v>
      </c>
      <c r="AV59" s="380" t="s">
        <v>337</v>
      </c>
      <c r="AW59" s="380" t="s">
        <v>338</v>
      </c>
      <c r="AX59" s="380" t="s">
        <v>339</v>
      </c>
      <c r="AY59" s="380" t="s">
        <v>340</v>
      </c>
      <c r="AZ59" s="380" t="s">
        <v>341</v>
      </c>
      <c r="BA59" s="380" t="s">
        <v>342</v>
      </c>
      <c r="BB59" s="380" t="s">
        <v>343</v>
      </c>
      <c r="BC59" s="380" t="s">
        <v>344</v>
      </c>
      <c r="BD59" s="380" t="s">
        <v>345</v>
      </c>
      <c r="BE59" s="380" t="s">
        <v>346</v>
      </c>
      <c r="BF59" s="380" t="s">
        <v>347</v>
      </c>
      <c r="BG59" s="380" t="s">
        <v>348</v>
      </c>
      <c r="BH59" s="380" t="s">
        <v>349</v>
      </c>
      <c r="BI59" s="380" t="s">
        <v>350</v>
      </c>
      <c r="BJ59" s="380" t="s">
        <v>351</v>
      </c>
      <c r="BK59" s="380" t="s">
        <v>352</v>
      </c>
      <c r="BL59" s="380" t="s">
        <v>353</v>
      </c>
      <c r="BM59" s="380" t="s">
        <v>354</v>
      </c>
      <c r="BN59" s="380" t="s">
        <v>355</v>
      </c>
      <c r="BO59" s="380" t="s">
        <v>356</v>
      </c>
      <c r="BP59" s="380" t="s">
        <v>357</v>
      </c>
      <c r="BQ59" s="380" t="s">
        <v>358</v>
      </c>
      <c r="BR59" s="380" t="s">
        <v>359</v>
      </c>
      <c r="BS59" s="380" t="s">
        <v>360</v>
      </c>
      <c r="BT59" s="380" t="s">
        <v>361</v>
      </c>
      <c r="BU59" s="380" t="s">
        <v>362</v>
      </c>
      <c r="BV59" s="380" t="s">
        <v>363</v>
      </c>
      <c r="BW59" s="380" t="s">
        <v>364</v>
      </c>
      <c r="BX59" s="380" t="s">
        <v>365</v>
      </c>
      <c r="BY59" s="380" t="s">
        <v>366</v>
      </c>
      <c r="BZ59" s="380" t="s">
        <v>367</v>
      </c>
      <c r="CA59" s="380" t="s">
        <v>368</v>
      </c>
      <c r="CB59" s="380" t="s">
        <v>369</v>
      </c>
      <c r="CC59" s="380" t="s">
        <v>370</v>
      </c>
      <c r="CD59" s="380" t="s">
        <v>371</v>
      </c>
      <c r="CE59" s="380" t="s">
        <v>372</v>
      </c>
      <c r="CF59" s="380" t="s">
        <v>373</v>
      </c>
      <c r="CG59" s="380" t="s">
        <v>374</v>
      </c>
      <c r="CH59" s="380" t="s">
        <v>375</v>
      </c>
      <c r="CI59" s="380" t="s">
        <v>607</v>
      </c>
      <c r="CJ59" s="380" t="s">
        <v>608</v>
      </c>
      <c r="CK59" s="380" t="s">
        <v>609</v>
      </c>
      <c r="CL59" s="380"/>
      <c r="CM59" s="380" t="s">
        <v>376</v>
      </c>
      <c r="CN59" s="380" t="s">
        <v>377</v>
      </c>
      <c r="CO59" s="380" t="s">
        <v>378</v>
      </c>
      <c r="CP59" s="380" t="s">
        <v>379</v>
      </c>
      <c r="CQ59" s="380" t="s">
        <v>380</v>
      </c>
      <c r="CR59" s="380" t="s">
        <v>381</v>
      </c>
      <c r="CS59" s="380" t="s">
        <v>382</v>
      </c>
      <c r="CT59" s="380" t="s">
        <v>383</v>
      </c>
      <c r="CU59" s="380" t="s">
        <v>384</v>
      </c>
      <c r="CV59" s="380" t="s">
        <v>385</v>
      </c>
      <c r="CW59" s="381" t="s">
        <v>386</v>
      </c>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row>
    <row r="60" spans="1:131">
      <c r="A60" s="11" t="s">
        <v>663</v>
      </c>
      <c r="B60" s="11" t="s">
        <v>526</v>
      </c>
      <c r="C60" s="32">
        <v>11.627906976744185</v>
      </c>
      <c r="D60" s="32">
        <v>84.924999999999983</v>
      </c>
      <c r="E60" s="32">
        <v>0</v>
      </c>
      <c r="F60" s="32">
        <v>-2.1479739877325699</v>
      </c>
      <c r="G60" s="32">
        <v>0</v>
      </c>
      <c r="H60" s="32">
        <v>-37.220328882366076</v>
      </c>
      <c r="I60" s="32" t="s">
        <v>525</v>
      </c>
      <c r="J60" s="32"/>
      <c r="K60" s="32"/>
      <c r="L60" s="32">
        <v>91.04790429173427</v>
      </c>
      <c r="M60" s="32">
        <v>2.1251923908164289E-2</v>
      </c>
      <c r="N60" s="32">
        <v>2.1098537051683956E-2</v>
      </c>
      <c r="O60" s="32">
        <v>0</v>
      </c>
      <c r="P60" s="32">
        <v>0</v>
      </c>
      <c r="Q60" s="32">
        <v>0</v>
      </c>
      <c r="R60" s="32">
        <v>-0.4283347068690555</v>
      </c>
      <c r="S60" s="32">
        <v>-0.98981635823323932</v>
      </c>
      <c r="T60" s="32">
        <v>0</v>
      </c>
      <c r="U60" s="32">
        <v>-2.0953372285613403</v>
      </c>
      <c r="V60" s="32" t="s">
        <v>610</v>
      </c>
      <c r="W60" s="32" t="s">
        <v>610</v>
      </c>
      <c r="X60" s="32" t="s">
        <v>610</v>
      </c>
      <c r="Y60" s="32" t="s">
        <v>610</v>
      </c>
      <c r="Z60" s="32">
        <v>0</v>
      </c>
      <c r="AA60" s="32">
        <v>0</v>
      </c>
      <c r="AB60" s="32">
        <v>0</v>
      </c>
      <c r="AC60" s="32">
        <v>0</v>
      </c>
      <c r="AD60" s="32">
        <v>0</v>
      </c>
      <c r="AE60" s="32">
        <v>0</v>
      </c>
      <c r="AF60" s="32">
        <v>0</v>
      </c>
      <c r="AG60" s="32">
        <v>-37.220328882366076</v>
      </c>
      <c r="AH60" s="32">
        <v>-0.4283347068690555</v>
      </c>
      <c r="AI60" s="32">
        <v>-0.98981635823323932</v>
      </c>
      <c r="AJ60" s="32">
        <v>0</v>
      </c>
      <c r="AK60" s="32">
        <v>-39.315666110927417</v>
      </c>
      <c r="AL60" s="32">
        <v>-40.73381717602971</v>
      </c>
      <c r="AM60" s="32">
        <v>43.640183554751601</v>
      </c>
      <c r="AN60" s="32">
        <v>7.5093351156297174</v>
      </c>
      <c r="AO60" s="32">
        <v>0</v>
      </c>
      <c r="AP60" s="32">
        <v>0</v>
      </c>
      <c r="AQ60" s="32">
        <v>51.149518670381319</v>
      </c>
      <c r="AR60" s="32">
        <v>-0.4283347068690555</v>
      </c>
      <c r="AS60" s="382">
        <v>9999</v>
      </c>
      <c r="AT60" s="32">
        <v>43.640183554751601</v>
      </c>
      <c r="AU60" s="32">
        <v>8.8888161219470927</v>
      </c>
      <c r="AV60" s="32">
        <v>0</v>
      </c>
      <c r="AW60" s="32">
        <v>0</v>
      </c>
      <c r="AX60" s="32">
        <v>52.528999676698696</v>
      </c>
      <c r="AY60" s="32">
        <v>-0.98981635823323932</v>
      </c>
      <c r="AZ60" s="382">
        <v>9999</v>
      </c>
      <c r="BA60" s="32">
        <v>43.640183554751601</v>
      </c>
      <c r="BB60" s="32">
        <v>16.398151237576812</v>
      </c>
      <c r="BC60" s="32">
        <v>0</v>
      </c>
      <c r="BD60" s="32">
        <v>0</v>
      </c>
      <c r="BE60" s="32">
        <v>60.038334792328413</v>
      </c>
      <c r="BF60" s="32">
        <v>-1.4181510651022948</v>
      </c>
      <c r="BG60" s="32">
        <v>-14.398516012126633</v>
      </c>
      <c r="BH60" s="382">
        <v>9999</v>
      </c>
      <c r="BI60" s="32">
        <v>-0.34616521602668637</v>
      </c>
      <c r="BJ60" s="32">
        <v>-0.79993516280553101</v>
      </c>
      <c r="BK60" s="32">
        <v>0</v>
      </c>
      <c r="BL60" s="32">
        <v>-31.773554265549709</v>
      </c>
      <c r="BM60" s="32">
        <v>-32.919654644381929</v>
      </c>
      <c r="BN60" s="32">
        <v>43.640183554751601</v>
      </c>
      <c r="BO60" s="32">
        <v>0</v>
      </c>
      <c r="BP60" s="32">
        <v>16.398151237576812</v>
      </c>
      <c r="BQ60" s="32">
        <v>0</v>
      </c>
      <c r="BR60" s="32">
        <v>0</v>
      </c>
      <c r="BS60" s="32">
        <v>0</v>
      </c>
      <c r="BT60" s="32">
        <v>0</v>
      </c>
      <c r="BU60" s="32">
        <v>0</v>
      </c>
      <c r="BV60" s="32">
        <v>0</v>
      </c>
      <c r="BW60" s="32">
        <v>0</v>
      </c>
      <c r="BX60" s="32">
        <v>-3.5134882936636354</v>
      </c>
      <c r="BY60" s="32"/>
      <c r="BZ60" s="32">
        <v>0</v>
      </c>
      <c r="CA60" s="32">
        <v>-37.220328882366076</v>
      </c>
      <c r="CB60" s="32">
        <v>60.038334792328413</v>
      </c>
      <c r="CC60" s="32">
        <v>-40.73381717602971</v>
      </c>
      <c r="CD60" s="382">
        <v>9999</v>
      </c>
      <c r="CE60" s="32">
        <v>-46.172070277676333</v>
      </c>
      <c r="CF60" s="32">
        <v>0.86495738240238373</v>
      </c>
      <c r="CG60" s="32">
        <v>0</v>
      </c>
      <c r="CH60" s="32">
        <v>0.86495738240238373</v>
      </c>
      <c r="CI60" s="32">
        <v>4.3247754538573782E-2</v>
      </c>
      <c r="CJ60" s="32">
        <v>0</v>
      </c>
      <c r="CK60" s="32">
        <v>4.3247754538573782E-2</v>
      </c>
      <c r="CL60" s="32"/>
      <c r="CM60" s="32">
        <v>0</v>
      </c>
      <c r="CN60" s="32"/>
      <c r="CO60" s="32">
        <v>0</v>
      </c>
      <c r="CP60" s="32">
        <v>0</v>
      </c>
      <c r="CQ60" s="32">
        <v>0</v>
      </c>
      <c r="CR60" s="32">
        <v>0</v>
      </c>
      <c r="CS60" s="32">
        <v>0</v>
      </c>
      <c r="CT60" s="32">
        <v>0</v>
      </c>
      <c r="CU60" s="32">
        <v>0</v>
      </c>
      <c r="CV60" s="32">
        <v>9999</v>
      </c>
      <c r="CW60" s="382">
        <v>9999</v>
      </c>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row>
    <row r="61" spans="1:131">
      <c r="A61" s="11" t="s">
        <v>663</v>
      </c>
      <c r="B61" s="11" t="s">
        <v>527</v>
      </c>
      <c r="C61" s="32">
        <v>11.627906976744185</v>
      </c>
      <c r="D61" s="32">
        <v>84.924999999999983</v>
      </c>
      <c r="E61" s="32">
        <v>0</v>
      </c>
      <c r="F61" s="32">
        <v>-2.1479739877325699</v>
      </c>
      <c r="G61" s="32">
        <v>-14</v>
      </c>
      <c r="H61" s="32">
        <v>0</v>
      </c>
      <c r="I61" s="32" t="s">
        <v>525</v>
      </c>
      <c r="J61" s="32"/>
      <c r="K61" s="32"/>
      <c r="L61" s="32">
        <v>91.04790429173427</v>
      </c>
      <c r="M61" s="32">
        <v>2.1251923908164289E-2</v>
      </c>
      <c r="N61" s="32">
        <v>2.1098537051683956E-2</v>
      </c>
      <c r="O61" s="32">
        <v>0</v>
      </c>
      <c r="P61" s="32">
        <v>0</v>
      </c>
      <c r="Q61" s="32">
        <v>0</v>
      </c>
      <c r="R61" s="32">
        <v>-0.4283347068690555</v>
      </c>
      <c r="S61" s="32">
        <v>-0.98981635823323932</v>
      </c>
      <c r="T61" s="32">
        <v>0</v>
      </c>
      <c r="U61" s="32">
        <v>-2.0953372285613403</v>
      </c>
      <c r="V61" s="32" t="s">
        <v>610</v>
      </c>
      <c r="W61" s="32" t="s">
        <v>610</v>
      </c>
      <c r="X61" s="32" t="s">
        <v>610</v>
      </c>
      <c r="Y61" s="32" t="s">
        <v>610</v>
      </c>
      <c r="Z61" s="32">
        <v>0</v>
      </c>
      <c r="AA61" s="32">
        <v>0</v>
      </c>
      <c r="AB61" s="32">
        <v>0</v>
      </c>
      <c r="AC61" s="32">
        <v>-190.26456882954764</v>
      </c>
      <c r="AD61" s="32">
        <v>0</v>
      </c>
      <c r="AE61" s="32">
        <v>0</v>
      </c>
      <c r="AF61" s="32">
        <v>0</v>
      </c>
      <c r="AG61" s="32">
        <v>0</v>
      </c>
      <c r="AH61" s="32">
        <v>-0.4283347068690555</v>
      </c>
      <c r="AI61" s="32">
        <v>-0.98981635823323932</v>
      </c>
      <c r="AJ61" s="32">
        <v>0</v>
      </c>
      <c r="AK61" s="32">
        <v>-192.35990605810898</v>
      </c>
      <c r="AL61" s="32">
        <v>-193.77805712321128</v>
      </c>
      <c r="AM61" s="32">
        <v>43.640183554751601</v>
      </c>
      <c r="AN61" s="32">
        <v>7.5093351156297174</v>
      </c>
      <c r="AO61" s="32">
        <v>0</v>
      </c>
      <c r="AP61" s="32">
        <v>0</v>
      </c>
      <c r="AQ61" s="32">
        <v>51.149518670381319</v>
      </c>
      <c r="AR61" s="32">
        <v>-0.4283347068690555</v>
      </c>
      <c r="AS61" s="382">
        <v>9999</v>
      </c>
      <c r="AT61" s="32">
        <v>43.640183554751601</v>
      </c>
      <c r="AU61" s="32">
        <v>8.8888161219470927</v>
      </c>
      <c r="AV61" s="32">
        <v>0</v>
      </c>
      <c r="AW61" s="32">
        <v>0</v>
      </c>
      <c r="AX61" s="32">
        <v>52.528999676698696</v>
      </c>
      <c r="AY61" s="32">
        <v>-0.98981635823323932</v>
      </c>
      <c r="AZ61" s="382">
        <v>9999</v>
      </c>
      <c r="BA61" s="32">
        <v>43.640183554751601</v>
      </c>
      <c r="BB61" s="32">
        <v>16.398151237576812</v>
      </c>
      <c r="BC61" s="32">
        <v>0</v>
      </c>
      <c r="BD61" s="32">
        <v>0</v>
      </c>
      <c r="BE61" s="32">
        <v>60.038334792328413</v>
      </c>
      <c r="BF61" s="32">
        <v>-1.4181510651022948</v>
      </c>
      <c r="BG61" s="32">
        <v>-14.398516012126633</v>
      </c>
      <c r="BH61" s="382">
        <v>9999</v>
      </c>
      <c r="BI61" s="32">
        <v>-0.34616521602668637</v>
      </c>
      <c r="BJ61" s="32">
        <v>-0.79993516280553101</v>
      </c>
      <c r="BK61" s="32">
        <v>0</v>
      </c>
      <c r="BL61" s="32">
        <v>-155.45858733281412</v>
      </c>
      <c r="BM61" s="32">
        <v>-156.60468771164633</v>
      </c>
      <c r="BN61" s="32">
        <v>43.640183554751601</v>
      </c>
      <c r="BO61" s="32">
        <v>0</v>
      </c>
      <c r="BP61" s="32">
        <v>16.398151237576812</v>
      </c>
      <c r="BQ61" s="32">
        <v>0</v>
      </c>
      <c r="BR61" s="32">
        <v>0</v>
      </c>
      <c r="BS61" s="32">
        <v>0</v>
      </c>
      <c r="BT61" s="32">
        <v>0</v>
      </c>
      <c r="BU61" s="32">
        <v>0</v>
      </c>
      <c r="BV61" s="32">
        <v>0</v>
      </c>
      <c r="BW61" s="32">
        <v>0</v>
      </c>
      <c r="BX61" s="32">
        <v>-3.5134882936636354</v>
      </c>
      <c r="BY61" s="32"/>
      <c r="BZ61" s="32">
        <v>-190.26456882954764</v>
      </c>
      <c r="CA61" s="32">
        <v>0</v>
      </c>
      <c r="CB61" s="32">
        <v>60.038334792328413</v>
      </c>
      <c r="CC61" s="32">
        <v>-193.77805712321128</v>
      </c>
      <c r="CD61" s="382">
        <v>9999</v>
      </c>
      <c r="CE61" s="32">
        <v>-169.85710334494078</v>
      </c>
      <c r="CF61" s="32">
        <v>0.86495738240238373</v>
      </c>
      <c r="CG61" s="32">
        <v>0</v>
      </c>
      <c r="CH61" s="32">
        <v>0.86495738240238373</v>
      </c>
      <c r="CI61" s="32">
        <v>4.3247754538573782E-2</v>
      </c>
      <c r="CJ61" s="32">
        <v>0</v>
      </c>
      <c r="CK61" s="32">
        <v>4.3247754538573782E-2</v>
      </c>
      <c r="CL61" s="32"/>
      <c r="CM61" s="32">
        <v>0</v>
      </c>
      <c r="CN61" s="32"/>
      <c r="CO61" s="32">
        <v>0</v>
      </c>
      <c r="CP61" s="32">
        <v>0</v>
      </c>
      <c r="CQ61" s="32">
        <v>0</v>
      </c>
      <c r="CR61" s="32">
        <v>0</v>
      </c>
      <c r="CS61" s="32">
        <v>0</v>
      </c>
      <c r="CT61" s="32">
        <v>0</v>
      </c>
      <c r="CU61" s="32">
        <v>0</v>
      </c>
      <c r="CV61" s="32">
        <v>9999</v>
      </c>
      <c r="CW61" s="382">
        <v>9999</v>
      </c>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row>
    <row r="62" spans="1:131">
      <c r="A62" s="11" t="s">
        <v>663</v>
      </c>
      <c r="B62" s="11" t="s">
        <v>528</v>
      </c>
      <c r="C62" s="32">
        <v>11.627906976744185</v>
      </c>
      <c r="D62" s="32">
        <v>67.724999999999994</v>
      </c>
      <c r="E62" s="32">
        <v>0</v>
      </c>
      <c r="F62" s="32">
        <v>-2.1479739877325699</v>
      </c>
      <c r="G62" s="32">
        <v>0</v>
      </c>
      <c r="H62" s="32">
        <v>-37.220328882366076</v>
      </c>
      <c r="I62" s="32" t="s">
        <v>525</v>
      </c>
      <c r="J62" s="32"/>
      <c r="K62" s="32"/>
      <c r="L62" s="32">
        <v>72.607822409864042</v>
      </c>
      <c r="M62" s="32">
        <v>1.6947736787523423E-2</v>
      </c>
      <c r="N62" s="32">
        <v>1.6825415623494804E-2</v>
      </c>
      <c r="O62" s="32">
        <v>0</v>
      </c>
      <c r="P62" s="32">
        <v>0</v>
      </c>
      <c r="Q62" s="32">
        <v>0</v>
      </c>
      <c r="R62" s="32">
        <v>-0.4283347068690555</v>
      </c>
      <c r="S62" s="32">
        <v>-0.98981635823323932</v>
      </c>
      <c r="T62" s="32">
        <v>0</v>
      </c>
      <c r="U62" s="32">
        <v>-2.0953372285613403</v>
      </c>
      <c r="V62" s="32" t="s">
        <v>610</v>
      </c>
      <c r="W62" s="32" t="s">
        <v>610</v>
      </c>
      <c r="X62" s="32" t="s">
        <v>610</v>
      </c>
      <c r="Y62" s="32" t="s">
        <v>610</v>
      </c>
      <c r="Z62" s="32">
        <v>0</v>
      </c>
      <c r="AA62" s="32">
        <v>0</v>
      </c>
      <c r="AB62" s="32">
        <v>0</v>
      </c>
      <c r="AC62" s="32">
        <v>0</v>
      </c>
      <c r="AD62" s="32">
        <v>0</v>
      </c>
      <c r="AE62" s="32">
        <v>0</v>
      </c>
      <c r="AF62" s="32">
        <v>0</v>
      </c>
      <c r="AG62" s="32">
        <v>-37.220328882366076</v>
      </c>
      <c r="AH62" s="32">
        <v>-0.4283347068690555</v>
      </c>
      <c r="AI62" s="32">
        <v>-0.98981635823323932</v>
      </c>
      <c r="AJ62" s="32">
        <v>0</v>
      </c>
      <c r="AK62" s="32">
        <v>-39.315666110927417</v>
      </c>
      <c r="AL62" s="32">
        <v>-40.73381717602971</v>
      </c>
      <c r="AM62" s="32">
        <v>34.801665366447452</v>
      </c>
      <c r="AN62" s="32">
        <v>5.9884571175274965</v>
      </c>
      <c r="AO62" s="32">
        <v>0</v>
      </c>
      <c r="AP62" s="32">
        <v>0</v>
      </c>
      <c r="AQ62" s="32">
        <v>40.790122483974947</v>
      </c>
      <c r="AR62" s="32">
        <v>-0.4283347068690555</v>
      </c>
      <c r="AS62" s="382">
        <v>9999</v>
      </c>
      <c r="AT62" s="32">
        <v>34.801665366447452</v>
      </c>
      <c r="AU62" s="32">
        <v>7.0885495656033806</v>
      </c>
      <c r="AV62" s="32">
        <v>0</v>
      </c>
      <c r="AW62" s="32">
        <v>0</v>
      </c>
      <c r="AX62" s="32">
        <v>41.890214932050831</v>
      </c>
      <c r="AY62" s="32">
        <v>-0.98981635823323932</v>
      </c>
      <c r="AZ62" s="382">
        <v>9999</v>
      </c>
      <c r="BA62" s="32">
        <v>34.801665366447452</v>
      </c>
      <c r="BB62" s="32">
        <v>13.077006683130877</v>
      </c>
      <c r="BC62" s="32">
        <v>0</v>
      </c>
      <c r="BD62" s="32">
        <v>0</v>
      </c>
      <c r="BE62" s="32">
        <v>47.878672049578327</v>
      </c>
      <c r="BF62" s="32">
        <v>-1.4181510651022948</v>
      </c>
      <c r="BG62" s="32">
        <v>-14.689589124211004</v>
      </c>
      <c r="BH62" s="382">
        <v>9999</v>
      </c>
      <c r="BI62" s="32">
        <v>-0.43408019152552735</v>
      </c>
      <c r="BJ62" s="32">
        <v>-1.0030932993910626</v>
      </c>
      <c r="BK62" s="32">
        <v>0</v>
      </c>
      <c r="BL62" s="32">
        <v>-39.843028364736931</v>
      </c>
      <c r="BM62" s="32">
        <v>-41.28020185565353</v>
      </c>
      <c r="BN62" s="32">
        <v>34.801665366447452</v>
      </c>
      <c r="BO62" s="32">
        <v>0</v>
      </c>
      <c r="BP62" s="32">
        <v>13.077006683130877</v>
      </c>
      <c r="BQ62" s="32">
        <v>0</v>
      </c>
      <c r="BR62" s="32">
        <v>0</v>
      </c>
      <c r="BS62" s="32">
        <v>0</v>
      </c>
      <c r="BT62" s="32">
        <v>0</v>
      </c>
      <c r="BU62" s="32">
        <v>0</v>
      </c>
      <c r="BV62" s="32">
        <v>0</v>
      </c>
      <c r="BW62" s="32">
        <v>0</v>
      </c>
      <c r="BX62" s="32">
        <v>-3.5134882936636354</v>
      </c>
      <c r="BY62" s="32"/>
      <c r="BZ62" s="32">
        <v>0</v>
      </c>
      <c r="CA62" s="32">
        <v>-37.220328882366076</v>
      </c>
      <c r="CB62" s="32">
        <v>47.878672049578327</v>
      </c>
      <c r="CC62" s="32">
        <v>-40.73381717602971</v>
      </c>
      <c r="CD62" s="382">
        <v>9999</v>
      </c>
      <c r="CE62" s="32">
        <v>-54.532617488947949</v>
      </c>
      <c r="CF62" s="32">
        <v>0.68977614039683877</v>
      </c>
      <c r="CG62" s="32">
        <v>0</v>
      </c>
      <c r="CH62" s="32">
        <v>0.68977614039683877</v>
      </c>
      <c r="CI62" s="32">
        <v>3.4488715644685433E-2</v>
      </c>
      <c r="CJ62" s="32">
        <v>0</v>
      </c>
      <c r="CK62" s="32">
        <v>3.4488715644685433E-2</v>
      </c>
      <c r="CL62" s="32"/>
      <c r="CM62" s="32">
        <v>0</v>
      </c>
      <c r="CN62" s="32"/>
      <c r="CO62" s="32">
        <v>0</v>
      </c>
      <c r="CP62" s="32">
        <v>0</v>
      </c>
      <c r="CQ62" s="32">
        <v>0</v>
      </c>
      <c r="CR62" s="32">
        <v>0</v>
      </c>
      <c r="CS62" s="32">
        <v>0</v>
      </c>
      <c r="CT62" s="32">
        <v>0</v>
      </c>
      <c r="CU62" s="32">
        <v>0</v>
      </c>
      <c r="CV62" s="32">
        <v>9999</v>
      </c>
      <c r="CW62" s="382">
        <v>9999</v>
      </c>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row>
    <row r="63" spans="1:131">
      <c r="A63" s="11" t="s">
        <v>663</v>
      </c>
      <c r="B63" s="11" t="s">
        <v>529</v>
      </c>
      <c r="C63" s="32">
        <v>11.627906976744185</v>
      </c>
      <c r="D63" s="32">
        <v>67.724999999999994</v>
      </c>
      <c r="E63" s="32">
        <v>0</v>
      </c>
      <c r="F63" s="32">
        <v>-2.1479739877325699</v>
      </c>
      <c r="G63" s="32">
        <v>-14</v>
      </c>
      <c r="H63" s="32">
        <v>0</v>
      </c>
      <c r="I63" s="32" t="s">
        <v>525</v>
      </c>
      <c r="J63" s="32"/>
      <c r="K63" s="32"/>
      <c r="L63" s="32">
        <v>72.607822409864042</v>
      </c>
      <c r="M63" s="32">
        <v>1.6947736787523423E-2</v>
      </c>
      <c r="N63" s="32">
        <v>1.6825415623494804E-2</v>
      </c>
      <c r="O63" s="32">
        <v>0</v>
      </c>
      <c r="P63" s="32">
        <v>0</v>
      </c>
      <c r="Q63" s="32">
        <v>0</v>
      </c>
      <c r="R63" s="32">
        <v>-0.4283347068690555</v>
      </c>
      <c r="S63" s="32">
        <v>-0.98981635823323932</v>
      </c>
      <c r="T63" s="32">
        <v>0</v>
      </c>
      <c r="U63" s="32">
        <v>-2.0953372285613403</v>
      </c>
      <c r="V63" s="32" t="s">
        <v>610</v>
      </c>
      <c r="W63" s="32" t="s">
        <v>610</v>
      </c>
      <c r="X63" s="32" t="s">
        <v>610</v>
      </c>
      <c r="Y63" s="32" t="s">
        <v>610</v>
      </c>
      <c r="Z63" s="32">
        <v>0</v>
      </c>
      <c r="AA63" s="32">
        <v>0</v>
      </c>
      <c r="AB63" s="32">
        <v>0</v>
      </c>
      <c r="AC63" s="32">
        <v>-190.26456882954764</v>
      </c>
      <c r="AD63" s="32">
        <v>0</v>
      </c>
      <c r="AE63" s="32">
        <v>0</v>
      </c>
      <c r="AF63" s="32">
        <v>0</v>
      </c>
      <c r="AG63" s="32">
        <v>0</v>
      </c>
      <c r="AH63" s="32">
        <v>-0.4283347068690555</v>
      </c>
      <c r="AI63" s="32">
        <v>-0.98981635823323932</v>
      </c>
      <c r="AJ63" s="32">
        <v>0</v>
      </c>
      <c r="AK63" s="32">
        <v>-192.35990605810898</v>
      </c>
      <c r="AL63" s="32">
        <v>-193.77805712321128</v>
      </c>
      <c r="AM63" s="32">
        <v>34.801665366447452</v>
      </c>
      <c r="AN63" s="32">
        <v>5.9884571175274965</v>
      </c>
      <c r="AO63" s="32">
        <v>0</v>
      </c>
      <c r="AP63" s="32">
        <v>0</v>
      </c>
      <c r="AQ63" s="32">
        <v>40.790122483974947</v>
      </c>
      <c r="AR63" s="32">
        <v>-0.4283347068690555</v>
      </c>
      <c r="AS63" s="382">
        <v>9999</v>
      </c>
      <c r="AT63" s="32">
        <v>34.801665366447452</v>
      </c>
      <c r="AU63" s="32">
        <v>7.0885495656033806</v>
      </c>
      <c r="AV63" s="32">
        <v>0</v>
      </c>
      <c r="AW63" s="32">
        <v>0</v>
      </c>
      <c r="AX63" s="32">
        <v>41.890214932050831</v>
      </c>
      <c r="AY63" s="32">
        <v>-0.98981635823323932</v>
      </c>
      <c r="AZ63" s="382">
        <v>9999</v>
      </c>
      <c r="BA63" s="32">
        <v>34.801665366447452</v>
      </c>
      <c r="BB63" s="32">
        <v>13.077006683130877</v>
      </c>
      <c r="BC63" s="32">
        <v>0</v>
      </c>
      <c r="BD63" s="32">
        <v>0</v>
      </c>
      <c r="BE63" s="32">
        <v>47.878672049578327</v>
      </c>
      <c r="BF63" s="32">
        <v>-1.4181510651022948</v>
      </c>
      <c r="BG63" s="32">
        <v>-14.689589124211004</v>
      </c>
      <c r="BH63" s="382">
        <v>9999</v>
      </c>
      <c r="BI63" s="32">
        <v>-0.43408019152552735</v>
      </c>
      <c r="BJ63" s="32">
        <v>-1.0030932993910626</v>
      </c>
      <c r="BK63" s="32">
        <v>0</v>
      </c>
      <c r="BL63" s="32">
        <v>-194.94013332210025</v>
      </c>
      <c r="BM63" s="32">
        <v>-196.37730681301682</v>
      </c>
      <c r="BN63" s="32">
        <v>34.801665366447452</v>
      </c>
      <c r="BO63" s="32">
        <v>0</v>
      </c>
      <c r="BP63" s="32">
        <v>13.077006683130877</v>
      </c>
      <c r="BQ63" s="32">
        <v>0</v>
      </c>
      <c r="BR63" s="32">
        <v>0</v>
      </c>
      <c r="BS63" s="32">
        <v>0</v>
      </c>
      <c r="BT63" s="32">
        <v>0</v>
      </c>
      <c r="BU63" s="32">
        <v>0</v>
      </c>
      <c r="BV63" s="32">
        <v>0</v>
      </c>
      <c r="BW63" s="32">
        <v>0</v>
      </c>
      <c r="BX63" s="32">
        <v>-3.5134882936636354</v>
      </c>
      <c r="BY63" s="32"/>
      <c r="BZ63" s="32">
        <v>-190.26456882954764</v>
      </c>
      <c r="CA63" s="32">
        <v>0</v>
      </c>
      <c r="CB63" s="32">
        <v>47.878672049578327</v>
      </c>
      <c r="CC63" s="32">
        <v>-193.77805712321128</v>
      </c>
      <c r="CD63" s="382">
        <v>9999</v>
      </c>
      <c r="CE63" s="32">
        <v>-209.62972244631123</v>
      </c>
      <c r="CF63" s="32">
        <v>0.68977614039683877</v>
      </c>
      <c r="CG63" s="32">
        <v>0</v>
      </c>
      <c r="CH63" s="32">
        <v>0.68977614039683877</v>
      </c>
      <c r="CI63" s="32">
        <v>3.4488715644685433E-2</v>
      </c>
      <c r="CJ63" s="32">
        <v>0</v>
      </c>
      <c r="CK63" s="32">
        <v>3.4488715644685433E-2</v>
      </c>
      <c r="CL63" s="32"/>
      <c r="CM63" s="32">
        <v>0</v>
      </c>
      <c r="CN63" s="32"/>
      <c r="CO63" s="32">
        <v>0</v>
      </c>
      <c r="CP63" s="32">
        <v>0</v>
      </c>
      <c r="CQ63" s="32">
        <v>0</v>
      </c>
      <c r="CR63" s="32">
        <v>0</v>
      </c>
      <c r="CS63" s="32">
        <v>0</v>
      </c>
      <c r="CT63" s="32">
        <v>0</v>
      </c>
      <c r="CU63" s="32">
        <v>0</v>
      </c>
      <c r="CV63" s="32">
        <v>9999</v>
      </c>
      <c r="CW63" s="382">
        <v>9999</v>
      </c>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row>
    <row r="64" spans="1:131">
      <c r="A64" s="11" t="s">
        <v>664</v>
      </c>
      <c r="B64" s="11" t="s">
        <v>835</v>
      </c>
      <c r="C64" s="32">
        <v>11.627906976744185</v>
      </c>
      <c r="D64" s="32">
        <v>197.8</v>
      </c>
      <c r="E64" s="32">
        <v>0</v>
      </c>
      <c r="F64" s="32">
        <v>1.0057886064783617</v>
      </c>
      <c r="G64" s="32">
        <v>0</v>
      </c>
      <c r="H64" s="32">
        <v>-77.340943132189253</v>
      </c>
      <c r="I64" s="32" t="s">
        <v>525</v>
      </c>
      <c r="J64" s="32"/>
      <c r="K64" s="32"/>
      <c r="L64" s="32">
        <v>212.06094164150772</v>
      </c>
      <c r="M64" s="32">
        <v>4.9498151887370001E-2</v>
      </c>
      <c r="N64" s="32">
        <v>4.9140896424175309E-2</v>
      </c>
      <c r="O64" s="32">
        <v>0</v>
      </c>
      <c r="P64" s="32">
        <v>0</v>
      </c>
      <c r="Q64" s="32">
        <v>0</v>
      </c>
      <c r="R64" s="32">
        <v>0.20056768396106978</v>
      </c>
      <c r="S64" s="32">
        <v>0.46348141146150862</v>
      </c>
      <c r="T64" s="32">
        <v>0</v>
      </c>
      <c r="U64" s="32">
        <v>0.98114144922286151</v>
      </c>
      <c r="V64" s="32" t="s">
        <v>610</v>
      </c>
      <c r="W64" s="32" t="s">
        <v>610</v>
      </c>
      <c r="X64" s="32" t="s">
        <v>610</v>
      </c>
      <c r="Y64" s="32" t="s">
        <v>610</v>
      </c>
      <c r="Z64" s="32">
        <v>0</v>
      </c>
      <c r="AA64" s="32">
        <v>0</v>
      </c>
      <c r="AB64" s="32">
        <v>0</v>
      </c>
      <c r="AC64" s="32">
        <v>0</v>
      </c>
      <c r="AD64" s="32">
        <v>0</v>
      </c>
      <c r="AE64" s="32">
        <v>0</v>
      </c>
      <c r="AF64" s="32">
        <v>0</v>
      </c>
      <c r="AG64" s="32">
        <v>-77.340943132189253</v>
      </c>
      <c r="AH64" s="32">
        <v>0.20056768396106978</v>
      </c>
      <c r="AI64" s="32">
        <v>0.46348141146150862</v>
      </c>
      <c r="AJ64" s="32">
        <v>0</v>
      </c>
      <c r="AK64" s="32">
        <v>-76.359801682966392</v>
      </c>
      <c r="AL64" s="32">
        <v>-75.695752587543808</v>
      </c>
      <c r="AM64" s="32">
        <v>101.64295916549729</v>
      </c>
      <c r="AN64" s="32">
        <v>17.490096978175551</v>
      </c>
      <c r="AO64" s="32">
        <v>0</v>
      </c>
      <c r="AP64" s="32">
        <v>0</v>
      </c>
      <c r="AQ64" s="32">
        <v>119.13305614367283</v>
      </c>
      <c r="AR64" s="32">
        <v>0.20056768396106978</v>
      </c>
      <c r="AS64" s="382">
        <v>593.97931805802068</v>
      </c>
      <c r="AT64" s="32">
        <v>101.64295916549729</v>
      </c>
      <c r="AU64" s="32">
        <v>20.703065397952734</v>
      </c>
      <c r="AV64" s="32">
        <v>0</v>
      </c>
      <c r="AW64" s="32">
        <v>0</v>
      </c>
      <c r="AX64" s="32">
        <v>122.34602456345002</v>
      </c>
      <c r="AY64" s="32">
        <v>0.46348141146150862</v>
      </c>
      <c r="AZ64" s="382">
        <v>263.97180455986995</v>
      </c>
      <c r="BA64" s="32">
        <v>101.64295916549729</v>
      </c>
      <c r="BB64" s="32">
        <v>38.193162376128285</v>
      </c>
      <c r="BC64" s="32">
        <v>0</v>
      </c>
      <c r="BD64" s="32">
        <v>0</v>
      </c>
      <c r="BE64" s="32">
        <v>139.83612154162557</v>
      </c>
      <c r="BF64" s="32">
        <v>0.66404909542257839</v>
      </c>
      <c r="BG64" s="32">
        <v>-13.022001232758853</v>
      </c>
      <c r="BH64" s="382">
        <v>210.58099846162517</v>
      </c>
      <c r="BI64" s="32">
        <v>6.9593773992400743E-2</v>
      </c>
      <c r="BJ64" s="32">
        <v>0.16082062654316689</v>
      </c>
      <c r="BK64" s="32">
        <v>0</v>
      </c>
      <c r="BL64" s="32">
        <v>-26.495628186345247</v>
      </c>
      <c r="BM64" s="32">
        <v>-26.265213785809678</v>
      </c>
      <c r="BN64" s="32">
        <v>101.64295916549729</v>
      </c>
      <c r="BO64" s="32">
        <v>0</v>
      </c>
      <c r="BP64" s="32">
        <v>38.193162376128285</v>
      </c>
      <c r="BQ64" s="32">
        <v>0</v>
      </c>
      <c r="BR64" s="32">
        <v>0</v>
      </c>
      <c r="BS64" s="32">
        <v>0</v>
      </c>
      <c r="BT64" s="32">
        <v>0</v>
      </c>
      <c r="BU64" s="32">
        <v>0</v>
      </c>
      <c r="BV64" s="32">
        <v>0</v>
      </c>
      <c r="BW64" s="32">
        <v>0</v>
      </c>
      <c r="BX64" s="32">
        <v>1.6451905446454398</v>
      </c>
      <c r="BY64" s="32"/>
      <c r="BZ64" s="32">
        <v>0</v>
      </c>
      <c r="CA64" s="32">
        <v>-77.340943132189253</v>
      </c>
      <c r="CB64" s="32">
        <v>139.83612154162557</v>
      </c>
      <c r="CC64" s="32">
        <v>-75.695752587543808</v>
      </c>
      <c r="CD64" s="382">
        <v>132.00724097318428</v>
      </c>
      <c r="CE64" s="32">
        <v>-39.517629419104097</v>
      </c>
      <c r="CF64" s="32">
        <v>2.0145842830637801</v>
      </c>
      <c r="CG64" s="32">
        <v>0</v>
      </c>
      <c r="CH64" s="32">
        <v>2.0145842830637801</v>
      </c>
      <c r="CI64" s="32">
        <v>0.10072894727971618</v>
      </c>
      <c r="CJ64" s="32">
        <v>0</v>
      </c>
      <c r="CK64" s="32">
        <v>0.10072894727971618</v>
      </c>
      <c r="CL64" s="32"/>
      <c r="CM64" s="32">
        <v>0</v>
      </c>
      <c r="CN64" s="32"/>
      <c r="CO64" s="32">
        <v>0</v>
      </c>
      <c r="CP64" s="32">
        <v>0</v>
      </c>
      <c r="CQ64" s="32">
        <v>0</v>
      </c>
      <c r="CR64" s="32">
        <v>0</v>
      </c>
      <c r="CS64" s="32">
        <v>0</v>
      </c>
      <c r="CT64" s="32">
        <v>0</v>
      </c>
      <c r="CU64" s="32">
        <v>0</v>
      </c>
      <c r="CV64" s="32">
        <v>9999</v>
      </c>
      <c r="CW64" s="382">
        <v>9999</v>
      </c>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row>
    <row r="65" spans="1:131">
      <c r="A65" s="11" t="s">
        <v>664</v>
      </c>
      <c r="B65" s="11" t="s">
        <v>836</v>
      </c>
      <c r="C65" s="32">
        <v>11.627906976744185</v>
      </c>
      <c r="D65" s="32">
        <v>197.8</v>
      </c>
      <c r="E65" s="32">
        <v>0</v>
      </c>
      <c r="F65" s="32">
        <v>1.0057886064783617</v>
      </c>
      <c r="G65" s="32">
        <v>-28</v>
      </c>
      <c r="H65" s="32">
        <v>0</v>
      </c>
      <c r="I65" s="32" t="s">
        <v>525</v>
      </c>
      <c r="J65" s="32"/>
      <c r="K65" s="32"/>
      <c r="L65" s="32">
        <v>212.06094164150772</v>
      </c>
      <c r="M65" s="32">
        <v>4.9498151887370001E-2</v>
      </c>
      <c r="N65" s="32">
        <v>4.9140896424175309E-2</v>
      </c>
      <c r="O65" s="32">
        <v>0</v>
      </c>
      <c r="P65" s="32">
        <v>0</v>
      </c>
      <c r="Q65" s="32">
        <v>0</v>
      </c>
      <c r="R65" s="32">
        <v>0.20056768396106978</v>
      </c>
      <c r="S65" s="32">
        <v>0.46348141146150862</v>
      </c>
      <c r="T65" s="32">
        <v>0</v>
      </c>
      <c r="U65" s="32">
        <v>0.98114144922286151</v>
      </c>
      <c r="V65" s="32" t="s">
        <v>610</v>
      </c>
      <c r="W65" s="32" t="s">
        <v>610</v>
      </c>
      <c r="X65" s="32" t="s">
        <v>610</v>
      </c>
      <c r="Y65" s="32" t="s">
        <v>610</v>
      </c>
      <c r="Z65" s="32">
        <v>0</v>
      </c>
      <c r="AA65" s="32">
        <v>0</v>
      </c>
      <c r="AB65" s="32">
        <v>0</v>
      </c>
      <c r="AC65" s="32">
        <v>-380.52913765909528</v>
      </c>
      <c r="AD65" s="32">
        <v>0</v>
      </c>
      <c r="AE65" s="32">
        <v>0</v>
      </c>
      <c r="AF65" s="32">
        <v>0</v>
      </c>
      <c r="AG65" s="32">
        <v>0</v>
      </c>
      <c r="AH65" s="32">
        <v>0.20056768396106978</v>
      </c>
      <c r="AI65" s="32">
        <v>0.46348141146150862</v>
      </c>
      <c r="AJ65" s="32">
        <v>0</v>
      </c>
      <c r="AK65" s="32">
        <v>-379.54799620987239</v>
      </c>
      <c r="AL65" s="32">
        <v>-378.88394711444982</v>
      </c>
      <c r="AM65" s="32">
        <v>101.64295916549729</v>
      </c>
      <c r="AN65" s="32">
        <v>17.490096978175551</v>
      </c>
      <c r="AO65" s="32">
        <v>0</v>
      </c>
      <c r="AP65" s="32">
        <v>0</v>
      </c>
      <c r="AQ65" s="32">
        <v>119.13305614367283</v>
      </c>
      <c r="AR65" s="32">
        <v>0.20056768396106978</v>
      </c>
      <c r="AS65" s="382">
        <v>593.97931805802068</v>
      </c>
      <c r="AT65" s="32">
        <v>101.64295916549729</v>
      </c>
      <c r="AU65" s="32">
        <v>20.703065397952734</v>
      </c>
      <c r="AV65" s="32">
        <v>0</v>
      </c>
      <c r="AW65" s="32">
        <v>0</v>
      </c>
      <c r="AX65" s="32">
        <v>122.34602456345002</v>
      </c>
      <c r="AY65" s="32">
        <v>0.46348141146150862</v>
      </c>
      <c r="AZ65" s="382">
        <v>263.97180455986995</v>
      </c>
      <c r="BA65" s="32">
        <v>101.64295916549729</v>
      </c>
      <c r="BB65" s="32">
        <v>38.193162376128285</v>
      </c>
      <c r="BC65" s="32">
        <v>0</v>
      </c>
      <c r="BD65" s="32">
        <v>0</v>
      </c>
      <c r="BE65" s="32">
        <v>139.83612154162557</v>
      </c>
      <c r="BF65" s="32">
        <v>0.66404909542257839</v>
      </c>
      <c r="BG65" s="32">
        <v>-13.022001232758853</v>
      </c>
      <c r="BH65" s="382">
        <v>210.58099846162517</v>
      </c>
      <c r="BI65" s="32">
        <v>6.9593773992400743E-2</v>
      </c>
      <c r="BJ65" s="32">
        <v>0.16082062654316689</v>
      </c>
      <c r="BK65" s="32">
        <v>0</v>
      </c>
      <c r="BL65" s="32">
        <v>-131.6970757493786</v>
      </c>
      <c r="BM65" s="32">
        <v>-131.46666134884302</v>
      </c>
      <c r="BN65" s="32">
        <v>101.64295916549729</v>
      </c>
      <c r="BO65" s="32">
        <v>0</v>
      </c>
      <c r="BP65" s="32">
        <v>38.193162376128285</v>
      </c>
      <c r="BQ65" s="32">
        <v>0</v>
      </c>
      <c r="BR65" s="32">
        <v>0</v>
      </c>
      <c r="BS65" s="32">
        <v>0</v>
      </c>
      <c r="BT65" s="32">
        <v>0</v>
      </c>
      <c r="BU65" s="32">
        <v>0</v>
      </c>
      <c r="BV65" s="32">
        <v>0</v>
      </c>
      <c r="BW65" s="32">
        <v>0</v>
      </c>
      <c r="BX65" s="32">
        <v>1.6451905446454398</v>
      </c>
      <c r="BY65" s="32"/>
      <c r="BZ65" s="32">
        <v>-380.52913765909528</v>
      </c>
      <c r="CA65" s="32">
        <v>0</v>
      </c>
      <c r="CB65" s="32">
        <v>139.83612154162557</v>
      </c>
      <c r="CC65" s="32">
        <v>-378.88394711444982</v>
      </c>
      <c r="CD65" s="382">
        <v>316.29482730395</v>
      </c>
      <c r="CE65" s="32">
        <v>-144.71907698213749</v>
      </c>
      <c r="CF65" s="32">
        <v>2.0145842830637801</v>
      </c>
      <c r="CG65" s="32">
        <v>0</v>
      </c>
      <c r="CH65" s="32">
        <v>2.0145842830637801</v>
      </c>
      <c r="CI65" s="32">
        <v>0.10072894727971618</v>
      </c>
      <c r="CJ65" s="32">
        <v>0</v>
      </c>
      <c r="CK65" s="32">
        <v>0.10072894727971618</v>
      </c>
      <c r="CL65" s="32"/>
      <c r="CM65" s="32">
        <v>0</v>
      </c>
      <c r="CN65" s="32"/>
      <c r="CO65" s="32">
        <v>0</v>
      </c>
      <c r="CP65" s="32">
        <v>0</v>
      </c>
      <c r="CQ65" s="32">
        <v>0</v>
      </c>
      <c r="CR65" s="32">
        <v>0</v>
      </c>
      <c r="CS65" s="32">
        <v>0</v>
      </c>
      <c r="CT65" s="32">
        <v>0</v>
      </c>
      <c r="CU65" s="32">
        <v>0</v>
      </c>
      <c r="CV65" s="32">
        <v>9999</v>
      </c>
      <c r="CW65" s="382">
        <v>9999</v>
      </c>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row>
    <row r="66" spans="1:131">
      <c r="A66" s="11" t="s">
        <v>665</v>
      </c>
      <c r="B66" s="11" t="s">
        <v>837</v>
      </c>
      <c r="C66" s="32">
        <v>11.627906976744185</v>
      </c>
      <c r="D66" s="32">
        <v>333.25</v>
      </c>
      <c r="E66" s="32">
        <v>0</v>
      </c>
      <c r="F66" s="32">
        <v>1.0057886064783617</v>
      </c>
      <c r="G66" s="32">
        <v>0</v>
      </c>
      <c r="H66" s="32">
        <v>-77.340943132189253</v>
      </c>
      <c r="I66" s="32" t="s">
        <v>525</v>
      </c>
      <c r="J66" s="32"/>
      <c r="K66" s="32"/>
      <c r="L66" s="32">
        <v>357.27658646123581</v>
      </c>
      <c r="M66" s="32">
        <v>8.3393625462416854E-2</v>
      </c>
      <c r="N66" s="32">
        <v>8.2791727671164911E-2</v>
      </c>
      <c r="O66" s="32">
        <v>0</v>
      </c>
      <c r="P66" s="32">
        <v>0</v>
      </c>
      <c r="Q66" s="32">
        <v>0</v>
      </c>
      <c r="R66" s="32">
        <v>0.20056768396106978</v>
      </c>
      <c r="S66" s="32">
        <v>0.46348141146150862</v>
      </c>
      <c r="T66" s="32">
        <v>0</v>
      </c>
      <c r="U66" s="32">
        <v>0.98114144922286151</v>
      </c>
      <c r="V66" s="32" t="s">
        <v>610</v>
      </c>
      <c r="W66" s="32" t="s">
        <v>610</v>
      </c>
      <c r="X66" s="32" t="s">
        <v>610</v>
      </c>
      <c r="Y66" s="32" t="s">
        <v>610</v>
      </c>
      <c r="Z66" s="32">
        <v>0</v>
      </c>
      <c r="AA66" s="32">
        <v>0</v>
      </c>
      <c r="AB66" s="32">
        <v>0</v>
      </c>
      <c r="AC66" s="32">
        <v>0</v>
      </c>
      <c r="AD66" s="32">
        <v>0</v>
      </c>
      <c r="AE66" s="32">
        <v>0</v>
      </c>
      <c r="AF66" s="32">
        <v>0</v>
      </c>
      <c r="AG66" s="32">
        <v>-77.340943132189253</v>
      </c>
      <c r="AH66" s="32">
        <v>0.20056768396106978</v>
      </c>
      <c r="AI66" s="32">
        <v>0.46348141146150862</v>
      </c>
      <c r="AJ66" s="32">
        <v>0</v>
      </c>
      <c r="AK66" s="32">
        <v>-76.359801682966392</v>
      </c>
      <c r="AL66" s="32">
        <v>-75.695752587543808</v>
      </c>
      <c r="AM66" s="32">
        <v>171.24628989839229</v>
      </c>
      <c r="AN66" s="32">
        <v>29.467011213230535</v>
      </c>
      <c r="AO66" s="32">
        <v>0</v>
      </c>
      <c r="AP66" s="32">
        <v>0</v>
      </c>
      <c r="AQ66" s="32">
        <v>200.71330111162283</v>
      </c>
      <c r="AR66" s="32">
        <v>0.20056768396106978</v>
      </c>
      <c r="AS66" s="382">
        <v>1000.7260249890571</v>
      </c>
      <c r="AT66" s="32">
        <v>171.24628989839229</v>
      </c>
      <c r="AU66" s="32">
        <v>34.880164529159487</v>
      </c>
      <c r="AV66" s="32">
        <v>0</v>
      </c>
      <c r="AW66" s="32">
        <v>0</v>
      </c>
      <c r="AX66" s="32">
        <v>206.12645442755178</v>
      </c>
      <c r="AY66" s="32">
        <v>0.46348141146150862</v>
      </c>
      <c r="AZ66" s="382">
        <v>444.73510550847681</v>
      </c>
      <c r="BA66" s="32">
        <v>171.24628989839229</v>
      </c>
      <c r="BB66" s="32">
        <v>64.347175742390021</v>
      </c>
      <c r="BC66" s="32">
        <v>0</v>
      </c>
      <c r="BD66" s="32">
        <v>0</v>
      </c>
      <c r="BE66" s="32">
        <v>235.59346564078231</v>
      </c>
      <c r="BF66" s="32">
        <v>0.66404909542257839</v>
      </c>
      <c r="BG66" s="32">
        <v>-13.11565353749266</v>
      </c>
      <c r="BH66" s="382">
        <v>354.78320392991213</v>
      </c>
      <c r="BI66" s="32">
        <v>4.1307272305166898E-2</v>
      </c>
      <c r="BJ66" s="32">
        <v>9.5454823496589389E-2</v>
      </c>
      <c r="BK66" s="32">
        <v>0</v>
      </c>
      <c r="BL66" s="32">
        <v>-15.72643737512105</v>
      </c>
      <c r="BM66" s="32">
        <v>-15.589675279319293</v>
      </c>
      <c r="BN66" s="32">
        <v>171.24628989839229</v>
      </c>
      <c r="BO66" s="32">
        <v>0</v>
      </c>
      <c r="BP66" s="32">
        <v>64.347175742390021</v>
      </c>
      <c r="BQ66" s="32">
        <v>0</v>
      </c>
      <c r="BR66" s="32">
        <v>0</v>
      </c>
      <c r="BS66" s="32">
        <v>0</v>
      </c>
      <c r="BT66" s="32">
        <v>0</v>
      </c>
      <c r="BU66" s="32">
        <v>0</v>
      </c>
      <c r="BV66" s="32">
        <v>0</v>
      </c>
      <c r="BW66" s="32">
        <v>0</v>
      </c>
      <c r="BX66" s="32">
        <v>1.6451905446454398</v>
      </c>
      <c r="BY66" s="32"/>
      <c r="BZ66" s="32">
        <v>0</v>
      </c>
      <c r="CA66" s="32">
        <v>-77.340943132189253</v>
      </c>
      <c r="CB66" s="32">
        <v>235.59346564078231</v>
      </c>
      <c r="CC66" s="32">
        <v>-75.695752587543808</v>
      </c>
      <c r="CD66" s="382">
        <v>190.21165043251148</v>
      </c>
      <c r="CE66" s="32">
        <v>-28.842090912613713</v>
      </c>
      <c r="CF66" s="32">
        <v>3.394136563857463</v>
      </c>
      <c r="CG66" s="32">
        <v>0</v>
      </c>
      <c r="CH66" s="32">
        <v>3.394136563857463</v>
      </c>
      <c r="CI66" s="32">
        <v>0.16970637856908702</v>
      </c>
      <c r="CJ66" s="32">
        <v>0</v>
      </c>
      <c r="CK66" s="32">
        <v>0.16970637856908702</v>
      </c>
      <c r="CL66" s="32"/>
      <c r="CM66" s="32">
        <v>0</v>
      </c>
      <c r="CN66" s="32"/>
      <c r="CO66" s="32">
        <v>0</v>
      </c>
      <c r="CP66" s="32">
        <v>0</v>
      </c>
      <c r="CQ66" s="32">
        <v>0</v>
      </c>
      <c r="CR66" s="32">
        <v>0</v>
      </c>
      <c r="CS66" s="32">
        <v>0</v>
      </c>
      <c r="CT66" s="32">
        <v>0</v>
      </c>
      <c r="CU66" s="32">
        <v>0</v>
      </c>
      <c r="CV66" s="32">
        <v>9999</v>
      </c>
      <c r="CW66" s="382">
        <v>9999</v>
      </c>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row>
    <row r="67" spans="1:131">
      <c r="A67" s="11" t="s">
        <v>665</v>
      </c>
      <c r="B67" s="11" t="s">
        <v>838</v>
      </c>
      <c r="C67" s="32">
        <v>11.627906976744185</v>
      </c>
      <c r="D67" s="32">
        <v>333.25</v>
      </c>
      <c r="E67" s="32">
        <v>0</v>
      </c>
      <c r="F67" s="32">
        <v>1.0057886064783617</v>
      </c>
      <c r="G67" s="32">
        <v>-28</v>
      </c>
      <c r="H67" s="32">
        <v>0</v>
      </c>
      <c r="I67" s="32" t="s">
        <v>525</v>
      </c>
      <c r="J67" s="32"/>
      <c r="K67" s="32"/>
      <c r="L67" s="32">
        <v>357.27658646123581</v>
      </c>
      <c r="M67" s="32">
        <v>8.3393625462416854E-2</v>
      </c>
      <c r="N67" s="32">
        <v>8.2791727671164911E-2</v>
      </c>
      <c r="O67" s="32">
        <v>0</v>
      </c>
      <c r="P67" s="32">
        <v>0</v>
      </c>
      <c r="Q67" s="32">
        <v>0</v>
      </c>
      <c r="R67" s="32">
        <v>0.20056768396106978</v>
      </c>
      <c r="S67" s="32">
        <v>0.46348141146150862</v>
      </c>
      <c r="T67" s="32">
        <v>0</v>
      </c>
      <c r="U67" s="32">
        <v>0.98114144922286151</v>
      </c>
      <c r="V67" s="32" t="s">
        <v>610</v>
      </c>
      <c r="W67" s="32" t="s">
        <v>610</v>
      </c>
      <c r="X67" s="32" t="s">
        <v>610</v>
      </c>
      <c r="Y67" s="32" t="s">
        <v>610</v>
      </c>
      <c r="Z67" s="32">
        <v>0</v>
      </c>
      <c r="AA67" s="32">
        <v>0</v>
      </c>
      <c r="AB67" s="32">
        <v>0</v>
      </c>
      <c r="AC67" s="32">
        <v>-380.52913765909528</v>
      </c>
      <c r="AD67" s="32">
        <v>0</v>
      </c>
      <c r="AE67" s="32">
        <v>0</v>
      </c>
      <c r="AF67" s="32">
        <v>0</v>
      </c>
      <c r="AG67" s="32">
        <v>0</v>
      </c>
      <c r="AH67" s="32">
        <v>0.20056768396106978</v>
      </c>
      <c r="AI67" s="32">
        <v>0.46348141146150862</v>
      </c>
      <c r="AJ67" s="32">
        <v>0</v>
      </c>
      <c r="AK67" s="32">
        <v>-379.54799620987239</v>
      </c>
      <c r="AL67" s="32">
        <v>-378.88394711444982</v>
      </c>
      <c r="AM67" s="32">
        <v>171.24628989839229</v>
      </c>
      <c r="AN67" s="32">
        <v>29.467011213230535</v>
      </c>
      <c r="AO67" s="32">
        <v>0</v>
      </c>
      <c r="AP67" s="32">
        <v>0</v>
      </c>
      <c r="AQ67" s="32">
        <v>200.71330111162283</v>
      </c>
      <c r="AR67" s="32">
        <v>0.20056768396106978</v>
      </c>
      <c r="AS67" s="382">
        <v>1000.7260249890571</v>
      </c>
      <c r="AT67" s="32">
        <v>171.24628989839229</v>
      </c>
      <c r="AU67" s="32">
        <v>34.880164529159487</v>
      </c>
      <c r="AV67" s="32">
        <v>0</v>
      </c>
      <c r="AW67" s="32">
        <v>0</v>
      </c>
      <c r="AX67" s="32">
        <v>206.12645442755178</v>
      </c>
      <c r="AY67" s="32">
        <v>0.46348141146150862</v>
      </c>
      <c r="AZ67" s="382">
        <v>444.73510550847681</v>
      </c>
      <c r="BA67" s="32">
        <v>171.24628989839229</v>
      </c>
      <c r="BB67" s="32">
        <v>64.347175742390021</v>
      </c>
      <c r="BC67" s="32">
        <v>0</v>
      </c>
      <c r="BD67" s="32">
        <v>0</v>
      </c>
      <c r="BE67" s="32">
        <v>235.59346564078231</v>
      </c>
      <c r="BF67" s="32">
        <v>0.66404909542257839</v>
      </c>
      <c r="BG67" s="32">
        <v>-13.11565353749266</v>
      </c>
      <c r="BH67" s="382">
        <v>354.78320392991213</v>
      </c>
      <c r="BI67" s="32">
        <v>4.1307272305166898E-2</v>
      </c>
      <c r="BJ67" s="32">
        <v>9.5454823496589389E-2</v>
      </c>
      <c r="BK67" s="32">
        <v>0</v>
      </c>
      <c r="BL67" s="32">
        <v>-78.168586896405372</v>
      </c>
      <c r="BM67" s="32">
        <v>-78.031824800603616</v>
      </c>
      <c r="BN67" s="32">
        <v>171.24628989839229</v>
      </c>
      <c r="BO67" s="32">
        <v>0</v>
      </c>
      <c r="BP67" s="32">
        <v>64.347175742390021</v>
      </c>
      <c r="BQ67" s="32">
        <v>0</v>
      </c>
      <c r="BR67" s="32">
        <v>0</v>
      </c>
      <c r="BS67" s="32">
        <v>0</v>
      </c>
      <c r="BT67" s="32">
        <v>0</v>
      </c>
      <c r="BU67" s="32">
        <v>0</v>
      </c>
      <c r="BV67" s="32">
        <v>0</v>
      </c>
      <c r="BW67" s="32">
        <v>0</v>
      </c>
      <c r="BX67" s="32">
        <v>1.6451905446454398</v>
      </c>
      <c r="BY67" s="32"/>
      <c r="BZ67" s="32">
        <v>-380.52913765909528</v>
      </c>
      <c r="CA67" s="32">
        <v>0</v>
      </c>
      <c r="CB67" s="32">
        <v>235.59346564078231</v>
      </c>
      <c r="CC67" s="32">
        <v>-378.88394711444982</v>
      </c>
      <c r="CD67" s="382">
        <v>374.49923676327722</v>
      </c>
      <c r="CE67" s="32">
        <v>-91.284240433898006</v>
      </c>
      <c r="CF67" s="32">
        <v>3.394136563857463</v>
      </c>
      <c r="CG67" s="32">
        <v>0</v>
      </c>
      <c r="CH67" s="32">
        <v>3.394136563857463</v>
      </c>
      <c r="CI67" s="32">
        <v>0.16970637856908702</v>
      </c>
      <c r="CJ67" s="32">
        <v>0</v>
      </c>
      <c r="CK67" s="32">
        <v>0.16970637856908702</v>
      </c>
      <c r="CL67" s="32"/>
      <c r="CM67" s="32">
        <v>0</v>
      </c>
      <c r="CN67" s="32"/>
      <c r="CO67" s="32">
        <v>0</v>
      </c>
      <c r="CP67" s="32">
        <v>0</v>
      </c>
      <c r="CQ67" s="32">
        <v>0</v>
      </c>
      <c r="CR67" s="32">
        <v>0</v>
      </c>
      <c r="CS67" s="32">
        <v>0</v>
      </c>
      <c r="CT67" s="32">
        <v>0</v>
      </c>
      <c r="CU67" s="32">
        <v>0</v>
      </c>
      <c r="CV67" s="32">
        <v>9999</v>
      </c>
      <c r="CW67" s="382">
        <v>9999</v>
      </c>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row>
    <row r="68" spans="1:131">
      <c r="A68" s="11" t="s">
        <v>666</v>
      </c>
      <c r="B68" s="11" t="s">
        <v>950</v>
      </c>
      <c r="C68" s="32">
        <v>11.627906976744185</v>
      </c>
      <c r="D68" s="32">
        <v>576.20000000000005</v>
      </c>
      <c r="E68" s="32">
        <v>0</v>
      </c>
      <c r="F68" s="32">
        <v>67.011577212956723</v>
      </c>
      <c r="G68" s="32">
        <v>0</v>
      </c>
      <c r="H68" s="32">
        <v>-84.572314159883035</v>
      </c>
      <c r="I68" s="32" t="s">
        <v>525</v>
      </c>
      <c r="J68" s="32"/>
      <c r="K68" s="32"/>
      <c r="L68" s="32">
        <v>617.74274304265293</v>
      </c>
      <c r="M68" s="32">
        <v>0.14419026854146913</v>
      </c>
      <c r="N68" s="32">
        <v>0.14314956784433677</v>
      </c>
      <c r="O68" s="32">
        <v>0</v>
      </c>
      <c r="P68" s="32">
        <v>0</v>
      </c>
      <c r="Q68" s="32">
        <v>0</v>
      </c>
      <c r="R68" s="32">
        <v>13.363003670563335</v>
      </c>
      <c r="S68" s="32">
        <v>30.879868981287014</v>
      </c>
      <c r="T68" s="32">
        <v>0</v>
      </c>
      <c r="U68" s="32">
        <v>65.369438028968688</v>
      </c>
      <c r="V68" s="32" t="s">
        <v>610</v>
      </c>
      <c r="W68" s="32" t="s">
        <v>610</v>
      </c>
      <c r="X68" s="32" t="s">
        <v>610</v>
      </c>
      <c r="Y68" s="32" t="s">
        <v>610</v>
      </c>
      <c r="Z68" s="32">
        <v>0</v>
      </c>
      <c r="AA68" s="32">
        <v>0</v>
      </c>
      <c r="AB68" s="32">
        <v>0</v>
      </c>
      <c r="AC68" s="32">
        <v>0</v>
      </c>
      <c r="AD68" s="32">
        <v>0</v>
      </c>
      <c r="AE68" s="32">
        <v>0</v>
      </c>
      <c r="AF68" s="32">
        <v>0</v>
      </c>
      <c r="AG68" s="32">
        <v>-84.572314159883035</v>
      </c>
      <c r="AH68" s="32">
        <v>13.363003670563335</v>
      </c>
      <c r="AI68" s="32">
        <v>30.879868981287014</v>
      </c>
      <c r="AJ68" s="32">
        <v>0</v>
      </c>
      <c r="AK68" s="32">
        <v>-19.202876130914348</v>
      </c>
      <c r="AL68" s="32">
        <v>25.039996520936</v>
      </c>
      <c r="AM68" s="32">
        <v>296.09035930818806</v>
      </c>
      <c r="AN68" s="32">
        <v>50.949412936424423</v>
      </c>
      <c r="AO68" s="32">
        <v>0</v>
      </c>
      <c r="AP68" s="32">
        <v>0</v>
      </c>
      <c r="AQ68" s="32">
        <v>347.03977224461249</v>
      </c>
      <c r="AR68" s="32">
        <v>13.363003670563335</v>
      </c>
      <c r="AS68" s="382">
        <v>25.97019209154962</v>
      </c>
      <c r="AT68" s="32">
        <v>296.09035930818806</v>
      </c>
      <c r="AU68" s="32">
        <v>60.308929637514488</v>
      </c>
      <c r="AV68" s="32">
        <v>0</v>
      </c>
      <c r="AW68" s="32">
        <v>0</v>
      </c>
      <c r="AX68" s="32">
        <v>356.39928894570255</v>
      </c>
      <c r="AY68" s="32">
        <v>30.879868981287014</v>
      </c>
      <c r="AZ68" s="382">
        <v>11.541476719401823</v>
      </c>
      <c r="BA68" s="32">
        <v>296.09035930818806</v>
      </c>
      <c r="BB68" s="32">
        <v>111.2583425739389</v>
      </c>
      <c r="BC68" s="32">
        <v>0</v>
      </c>
      <c r="BD68" s="32">
        <v>0</v>
      </c>
      <c r="BE68" s="32">
        <v>407.34870188212699</v>
      </c>
      <c r="BF68" s="32">
        <v>44.242872651850348</v>
      </c>
      <c r="BG68" s="32">
        <v>-7.9824743090869168</v>
      </c>
      <c r="BH68" s="382">
        <v>9.2071033697919393</v>
      </c>
      <c r="BI68" s="32">
        <v>1.5917195479867428</v>
      </c>
      <c r="BJ68" s="32">
        <v>3.6782217762207599</v>
      </c>
      <c r="BK68" s="32">
        <v>0</v>
      </c>
      <c r="BL68" s="32">
        <v>-2.287329560679217</v>
      </c>
      <c r="BM68" s="32">
        <v>2.9826117635282858</v>
      </c>
      <c r="BN68" s="32">
        <v>296.09035930818806</v>
      </c>
      <c r="BO68" s="32">
        <v>0</v>
      </c>
      <c r="BP68" s="32">
        <v>111.2583425739389</v>
      </c>
      <c r="BQ68" s="32">
        <v>0</v>
      </c>
      <c r="BR68" s="32">
        <v>0</v>
      </c>
      <c r="BS68" s="32">
        <v>0</v>
      </c>
      <c r="BT68" s="32">
        <v>0</v>
      </c>
      <c r="BU68" s="32">
        <v>0</v>
      </c>
      <c r="BV68" s="32">
        <v>0</v>
      </c>
      <c r="BW68" s="32">
        <v>0</v>
      </c>
      <c r="BX68" s="32">
        <v>109.61231068081904</v>
      </c>
      <c r="BY68" s="32"/>
      <c r="BZ68" s="32">
        <v>0</v>
      </c>
      <c r="CA68" s="32">
        <v>-84.572314159883035</v>
      </c>
      <c r="CB68" s="32">
        <v>407.34870188212699</v>
      </c>
      <c r="CC68" s="32">
        <v>25.039996520936</v>
      </c>
      <c r="CD68" s="382">
        <v>4.4878263489439503</v>
      </c>
      <c r="CE68" s="32">
        <v>-10.269803869766129</v>
      </c>
      <c r="CF68" s="32">
        <v>5.8685716071857978</v>
      </c>
      <c r="CG68" s="32">
        <v>0</v>
      </c>
      <c r="CH68" s="32">
        <v>5.8685716071857978</v>
      </c>
      <c r="CI68" s="32">
        <v>0.29342780294526022</v>
      </c>
      <c r="CJ68" s="32">
        <v>0</v>
      </c>
      <c r="CK68" s="32">
        <v>0.29342780294526022</v>
      </c>
      <c r="CL68" s="32"/>
      <c r="CM68" s="32">
        <v>0</v>
      </c>
      <c r="CN68" s="32"/>
      <c r="CO68" s="32">
        <v>0</v>
      </c>
      <c r="CP68" s="32">
        <v>0</v>
      </c>
      <c r="CQ68" s="32">
        <v>0</v>
      </c>
      <c r="CR68" s="32">
        <v>0</v>
      </c>
      <c r="CS68" s="32">
        <v>0</v>
      </c>
      <c r="CT68" s="32">
        <v>0</v>
      </c>
      <c r="CU68" s="32">
        <v>0</v>
      </c>
      <c r="CV68" s="32">
        <v>9999</v>
      </c>
      <c r="CW68" s="382">
        <v>9999</v>
      </c>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row>
    <row r="69" spans="1:131">
      <c r="A69" s="11" t="s">
        <v>666</v>
      </c>
      <c r="B69" s="11" t="s">
        <v>951</v>
      </c>
      <c r="C69" s="32">
        <v>11.627906976744185</v>
      </c>
      <c r="D69" s="32">
        <v>576.20000000000005</v>
      </c>
      <c r="E69" s="32">
        <v>0</v>
      </c>
      <c r="F69" s="32">
        <v>67.011577212956723</v>
      </c>
      <c r="G69" s="32">
        <v>-28</v>
      </c>
      <c r="H69" s="32">
        <v>0</v>
      </c>
      <c r="I69" s="32" t="s">
        <v>525</v>
      </c>
      <c r="J69" s="32"/>
      <c r="K69" s="32"/>
      <c r="L69" s="32">
        <v>617.74274304265293</v>
      </c>
      <c r="M69" s="32">
        <v>0.14419026854146913</v>
      </c>
      <c r="N69" s="32">
        <v>0.14314956784433677</v>
      </c>
      <c r="O69" s="32">
        <v>0</v>
      </c>
      <c r="P69" s="32">
        <v>0</v>
      </c>
      <c r="Q69" s="32">
        <v>0</v>
      </c>
      <c r="R69" s="32">
        <v>13.363003670563335</v>
      </c>
      <c r="S69" s="32">
        <v>30.879868981287014</v>
      </c>
      <c r="T69" s="32">
        <v>0</v>
      </c>
      <c r="U69" s="32">
        <v>65.369438028968688</v>
      </c>
      <c r="V69" s="32" t="s">
        <v>610</v>
      </c>
      <c r="W69" s="32" t="s">
        <v>610</v>
      </c>
      <c r="X69" s="32" t="s">
        <v>610</v>
      </c>
      <c r="Y69" s="32" t="s">
        <v>610</v>
      </c>
      <c r="Z69" s="32">
        <v>0</v>
      </c>
      <c r="AA69" s="32">
        <v>0</v>
      </c>
      <c r="AB69" s="32">
        <v>0</v>
      </c>
      <c r="AC69" s="32">
        <v>-380.52913765909528</v>
      </c>
      <c r="AD69" s="32">
        <v>0</v>
      </c>
      <c r="AE69" s="32">
        <v>0</v>
      </c>
      <c r="AF69" s="32">
        <v>0</v>
      </c>
      <c r="AG69" s="32">
        <v>0</v>
      </c>
      <c r="AH69" s="32">
        <v>13.363003670563335</v>
      </c>
      <c r="AI69" s="32">
        <v>30.879868981287014</v>
      </c>
      <c r="AJ69" s="32">
        <v>0</v>
      </c>
      <c r="AK69" s="32">
        <v>-315.15969963012662</v>
      </c>
      <c r="AL69" s="32">
        <v>-270.91682697827628</v>
      </c>
      <c r="AM69" s="32">
        <v>296.09035930818806</v>
      </c>
      <c r="AN69" s="32">
        <v>50.949412936424423</v>
      </c>
      <c r="AO69" s="32">
        <v>0</v>
      </c>
      <c r="AP69" s="32">
        <v>0</v>
      </c>
      <c r="AQ69" s="32">
        <v>347.03977224461249</v>
      </c>
      <c r="AR69" s="32">
        <v>13.363003670563335</v>
      </c>
      <c r="AS69" s="382">
        <v>25.97019209154962</v>
      </c>
      <c r="AT69" s="32">
        <v>296.09035930818806</v>
      </c>
      <c r="AU69" s="32">
        <v>60.308929637514488</v>
      </c>
      <c r="AV69" s="32">
        <v>0</v>
      </c>
      <c r="AW69" s="32">
        <v>0</v>
      </c>
      <c r="AX69" s="32">
        <v>356.39928894570255</v>
      </c>
      <c r="AY69" s="32">
        <v>30.879868981287014</v>
      </c>
      <c r="AZ69" s="382">
        <v>11.541476719401823</v>
      </c>
      <c r="BA69" s="32">
        <v>296.09035930818806</v>
      </c>
      <c r="BB69" s="32">
        <v>111.2583425739389</v>
      </c>
      <c r="BC69" s="32">
        <v>0</v>
      </c>
      <c r="BD69" s="32">
        <v>0</v>
      </c>
      <c r="BE69" s="32">
        <v>407.34870188212699</v>
      </c>
      <c r="BF69" s="32">
        <v>44.242872651850348</v>
      </c>
      <c r="BG69" s="32">
        <v>-7.9824743090869168</v>
      </c>
      <c r="BH69" s="382">
        <v>9.2071033697919393</v>
      </c>
      <c r="BI69" s="32">
        <v>1.5917195479867428</v>
      </c>
      <c r="BJ69" s="32">
        <v>3.6782217762207599</v>
      </c>
      <c r="BK69" s="32">
        <v>0</v>
      </c>
      <c r="BL69" s="32">
        <v>-37.539902480454472</v>
      </c>
      <c r="BM69" s="32">
        <v>-32.269961156246964</v>
      </c>
      <c r="BN69" s="32">
        <v>296.09035930818806</v>
      </c>
      <c r="BO69" s="32">
        <v>0</v>
      </c>
      <c r="BP69" s="32">
        <v>111.2583425739389</v>
      </c>
      <c r="BQ69" s="32">
        <v>0</v>
      </c>
      <c r="BR69" s="32">
        <v>0</v>
      </c>
      <c r="BS69" s="32">
        <v>0</v>
      </c>
      <c r="BT69" s="32">
        <v>0</v>
      </c>
      <c r="BU69" s="32">
        <v>0</v>
      </c>
      <c r="BV69" s="32">
        <v>0</v>
      </c>
      <c r="BW69" s="32">
        <v>0</v>
      </c>
      <c r="BX69" s="32">
        <v>109.61231068081904</v>
      </c>
      <c r="BY69" s="32"/>
      <c r="BZ69" s="32">
        <v>-380.52913765909528</v>
      </c>
      <c r="CA69" s="32">
        <v>0</v>
      </c>
      <c r="CB69" s="32">
        <v>407.34870188212699</v>
      </c>
      <c r="CC69" s="32">
        <v>-270.91682697827628</v>
      </c>
      <c r="CD69" s="382">
        <v>7.1878590520315733</v>
      </c>
      <c r="CE69" s="32">
        <v>-45.52237678954139</v>
      </c>
      <c r="CF69" s="32">
        <v>5.8685716071857978</v>
      </c>
      <c r="CG69" s="32">
        <v>0</v>
      </c>
      <c r="CH69" s="32">
        <v>5.8685716071857978</v>
      </c>
      <c r="CI69" s="32">
        <v>0.29342780294526022</v>
      </c>
      <c r="CJ69" s="32">
        <v>0</v>
      </c>
      <c r="CK69" s="32">
        <v>0.29342780294526022</v>
      </c>
      <c r="CL69" s="32"/>
      <c r="CM69" s="32">
        <v>0</v>
      </c>
      <c r="CN69" s="32"/>
      <c r="CO69" s="32">
        <v>0</v>
      </c>
      <c r="CP69" s="32">
        <v>0</v>
      </c>
      <c r="CQ69" s="32">
        <v>0</v>
      </c>
      <c r="CR69" s="32">
        <v>0</v>
      </c>
      <c r="CS69" s="32">
        <v>0</v>
      </c>
      <c r="CT69" s="32">
        <v>0</v>
      </c>
      <c r="CU69" s="32">
        <v>0</v>
      </c>
      <c r="CV69" s="32">
        <v>9999</v>
      </c>
      <c r="CW69" s="382">
        <v>9999</v>
      </c>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row>
    <row r="70" spans="1:131">
      <c r="A70" s="11" t="s">
        <v>667</v>
      </c>
      <c r="B70" s="11" t="s">
        <v>867</v>
      </c>
      <c r="C70" s="32">
        <v>11.627906976744185</v>
      </c>
      <c r="D70" s="32">
        <v>1459.85</v>
      </c>
      <c r="E70" s="32">
        <v>0</v>
      </c>
      <c r="F70" s="32">
        <v>266.0347316388702</v>
      </c>
      <c r="G70" s="32">
        <v>0</v>
      </c>
      <c r="H70" s="32">
        <v>-86.610201248072983</v>
      </c>
      <c r="I70" s="32" t="s">
        <v>525</v>
      </c>
      <c r="J70" s="32"/>
      <c r="K70" s="32"/>
      <c r="L70" s="32">
        <v>1565.101949723736</v>
      </c>
      <c r="M70" s="32">
        <v>0.36531788186439379</v>
      </c>
      <c r="N70" s="32">
        <v>0.36268118121755466</v>
      </c>
      <c r="O70" s="32">
        <v>0</v>
      </c>
      <c r="P70" s="32">
        <v>0</v>
      </c>
      <c r="Q70" s="32">
        <v>0</v>
      </c>
      <c r="R70" s="32">
        <v>53.050879314331205</v>
      </c>
      <c r="S70" s="32">
        <v>122.59251310222503</v>
      </c>
      <c r="T70" s="32">
        <v>0</v>
      </c>
      <c r="U70" s="32">
        <v>259.51546921742903</v>
      </c>
      <c r="V70" s="32" t="s">
        <v>610</v>
      </c>
      <c r="W70" s="32" t="s">
        <v>610</v>
      </c>
      <c r="X70" s="32" t="s">
        <v>610</v>
      </c>
      <c r="Y70" s="32" t="s">
        <v>610</v>
      </c>
      <c r="Z70" s="32">
        <v>0</v>
      </c>
      <c r="AA70" s="32">
        <v>0</v>
      </c>
      <c r="AB70" s="32">
        <v>0</v>
      </c>
      <c r="AC70" s="32">
        <v>0</v>
      </c>
      <c r="AD70" s="32">
        <v>0</v>
      </c>
      <c r="AE70" s="32">
        <v>0</v>
      </c>
      <c r="AF70" s="32">
        <v>0</v>
      </c>
      <c r="AG70" s="32">
        <v>-86.610201248072983</v>
      </c>
      <c r="AH70" s="32">
        <v>53.050879314331205</v>
      </c>
      <c r="AI70" s="32">
        <v>122.59251310222503</v>
      </c>
      <c r="AJ70" s="32">
        <v>0</v>
      </c>
      <c r="AK70" s="32">
        <v>172.90526796935603</v>
      </c>
      <c r="AL70" s="32">
        <v>348.54866038591229</v>
      </c>
      <c r="AM70" s="32">
        <v>750.16923123231277</v>
      </c>
      <c r="AN70" s="32">
        <v>129.08452008892601</v>
      </c>
      <c r="AO70" s="32">
        <v>0</v>
      </c>
      <c r="AP70" s="32">
        <v>0</v>
      </c>
      <c r="AQ70" s="32">
        <v>879.25375132123872</v>
      </c>
      <c r="AR70" s="32">
        <v>53.050879314331205</v>
      </c>
      <c r="AS70" s="382">
        <v>16.573782804080995</v>
      </c>
      <c r="AT70" s="32">
        <v>750.16923123231277</v>
      </c>
      <c r="AU70" s="32">
        <v>152.79762396967291</v>
      </c>
      <c r="AV70" s="32">
        <v>0</v>
      </c>
      <c r="AW70" s="32">
        <v>0</v>
      </c>
      <c r="AX70" s="32">
        <v>902.96685520198571</v>
      </c>
      <c r="AY70" s="32">
        <v>122.59251310222503</v>
      </c>
      <c r="AZ70" s="382">
        <v>7.3655954377004864</v>
      </c>
      <c r="BA70" s="32">
        <v>750.16923123231277</v>
      </c>
      <c r="BB70" s="32">
        <v>281.8821440585989</v>
      </c>
      <c r="BC70" s="32">
        <v>0</v>
      </c>
      <c r="BD70" s="32">
        <v>0</v>
      </c>
      <c r="BE70" s="32">
        <v>1032.0513752909117</v>
      </c>
      <c r="BF70" s="32">
        <v>175.64339241655622</v>
      </c>
      <c r="BG70" s="32">
        <v>-4.9947118779897046</v>
      </c>
      <c r="BH70" s="382">
        <v>5.8758337623273444</v>
      </c>
      <c r="BI70" s="32">
        <v>2.4941356421608059</v>
      </c>
      <c r="BJ70" s="32">
        <v>5.7635681131439069</v>
      </c>
      <c r="BK70" s="32">
        <v>0</v>
      </c>
      <c r="BL70" s="32">
        <v>8.1289734898557668</v>
      </c>
      <c r="BM70" s="32">
        <v>16.386677245160481</v>
      </c>
      <c r="BN70" s="32">
        <v>750.16923123231277</v>
      </c>
      <c r="BO70" s="32">
        <v>0</v>
      </c>
      <c r="BP70" s="32">
        <v>281.8821440585989</v>
      </c>
      <c r="BQ70" s="32">
        <v>0</v>
      </c>
      <c r="BR70" s="32">
        <v>0</v>
      </c>
      <c r="BS70" s="32">
        <v>0</v>
      </c>
      <c r="BT70" s="32">
        <v>0</v>
      </c>
      <c r="BU70" s="32">
        <v>0</v>
      </c>
      <c r="BV70" s="32">
        <v>0</v>
      </c>
      <c r="BW70" s="32">
        <v>0</v>
      </c>
      <c r="BX70" s="32">
        <v>435.15886163398523</v>
      </c>
      <c r="BY70" s="32"/>
      <c r="BZ70" s="32">
        <v>0</v>
      </c>
      <c r="CA70" s="32">
        <v>-86.610201248072983</v>
      </c>
      <c r="CB70" s="32">
        <v>1032.0513752909117</v>
      </c>
      <c r="CC70" s="32">
        <v>348.54866038591223</v>
      </c>
      <c r="CD70" s="382">
        <v>2.570696991757226</v>
      </c>
      <c r="CE70" s="32">
        <v>3.1342616118660565</v>
      </c>
      <c r="CF70" s="32">
        <v>14.868507915220775</v>
      </c>
      <c r="CG70" s="32">
        <v>0</v>
      </c>
      <c r="CH70" s="32">
        <v>14.868507915220775</v>
      </c>
      <c r="CI70" s="32">
        <v>0.74342342611877466</v>
      </c>
      <c r="CJ70" s="32">
        <v>0</v>
      </c>
      <c r="CK70" s="32">
        <v>0.74342342611877466</v>
      </c>
      <c r="CL70" s="32"/>
      <c r="CM70" s="32">
        <v>0</v>
      </c>
      <c r="CN70" s="32"/>
      <c r="CO70" s="32">
        <v>0</v>
      </c>
      <c r="CP70" s="32">
        <v>0</v>
      </c>
      <c r="CQ70" s="32">
        <v>0</v>
      </c>
      <c r="CR70" s="32">
        <v>0</v>
      </c>
      <c r="CS70" s="32">
        <v>0</v>
      </c>
      <c r="CT70" s="32">
        <v>0</v>
      </c>
      <c r="CU70" s="32">
        <v>0</v>
      </c>
      <c r="CV70" s="32">
        <v>9999</v>
      </c>
      <c r="CW70" s="382">
        <v>9999</v>
      </c>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row>
    <row r="71" spans="1:131">
      <c r="A71" s="11" t="s">
        <v>667</v>
      </c>
      <c r="B71" s="11" t="s">
        <v>868</v>
      </c>
      <c r="C71" s="32">
        <v>11.627906976744185</v>
      </c>
      <c r="D71" s="32">
        <v>1459.85</v>
      </c>
      <c r="E71" s="32">
        <v>0</v>
      </c>
      <c r="F71" s="32">
        <v>266.0347316388702</v>
      </c>
      <c r="G71" s="32">
        <v>-28</v>
      </c>
      <c r="H71" s="32">
        <v>0</v>
      </c>
      <c r="I71" s="32" t="s">
        <v>525</v>
      </c>
      <c r="J71" s="32"/>
      <c r="K71" s="32"/>
      <c r="L71" s="32">
        <v>1565.101949723736</v>
      </c>
      <c r="M71" s="32">
        <v>0.36531788186439379</v>
      </c>
      <c r="N71" s="32">
        <v>0.36268118121755466</v>
      </c>
      <c r="O71" s="32">
        <v>0</v>
      </c>
      <c r="P71" s="32">
        <v>0</v>
      </c>
      <c r="Q71" s="32">
        <v>0</v>
      </c>
      <c r="R71" s="32">
        <v>53.050879314331205</v>
      </c>
      <c r="S71" s="32">
        <v>122.59251310222503</v>
      </c>
      <c r="T71" s="32">
        <v>0</v>
      </c>
      <c r="U71" s="32">
        <v>259.51546921742903</v>
      </c>
      <c r="V71" s="32" t="s">
        <v>610</v>
      </c>
      <c r="W71" s="32" t="s">
        <v>610</v>
      </c>
      <c r="X71" s="32" t="s">
        <v>610</v>
      </c>
      <c r="Y71" s="32" t="s">
        <v>610</v>
      </c>
      <c r="Z71" s="32">
        <v>0</v>
      </c>
      <c r="AA71" s="32">
        <v>0</v>
      </c>
      <c r="AB71" s="32">
        <v>0</v>
      </c>
      <c r="AC71" s="32">
        <v>-380.52913765909528</v>
      </c>
      <c r="AD71" s="32">
        <v>0</v>
      </c>
      <c r="AE71" s="32">
        <v>0</v>
      </c>
      <c r="AF71" s="32">
        <v>0</v>
      </c>
      <c r="AG71" s="32">
        <v>0</v>
      </c>
      <c r="AH71" s="32">
        <v>53.050879314331205</v>
      </c>
      <c r="AI71" s="32">
        <v>122.59251310222503</v>
      </c>
      <c r="AJ71" s="32">
        <v>0</v>
      </c>
      <c r="AK71" s="32">
        <v>-121.01366844166625</v>
      </c>
      <c r="AL71" s="32">
        <v>54.62972397488997</v>
      </c>
      <c r="AM71" s="32">
        <v>750.16923123231277</v>
      </c>
      <c r="AN71" s="32">
        <v>129.08452008892601</v>
      </c>
      <c r="AO71" s="32">
        <v>0</v>
      </c>
      <c r="AP71" s="32">
        <v>0</v>
      </c>
      <c r="AQ71" s="32">
        <v>879.25375132123872</v>
      </c>
      <c r="AR71" s="32">
        <v>53.050879314331205</v>
      </c>
      <c r="AS71" s="382">
        <v>16.573782804080995</v>
      </c>
      <c r="AT71" s="32">
        <v>750.16923123231277</v>
      </c>
      <c r="AU71" s="32">
        <v>152.79762396967291</v>
      </c>
      <c r="AV71" s="32">
        <v>0</v>
      </c>
      <c r="AW71" s="32">
        <v>0</v>
      </c>
      <c r="AX71" s="32">
        <v>902.96685520198571</v>
      </c>
      <c r="AY71" s="32">
        <v>122.59251310222503</v>
      </c>
      <c r="AZ71" s="382">
        <v>7.3655954377004864</v>
      </c>
      <c r="BA71" s="32">
        <v>750.16923123231277</v>
      </c>
      <c r="BB71" s="32">
        <v>281.8821440585989</v>
      </c>
      <c r="BC71" s="32">
        <v>0</v>
      </c>
      <c r="BD71" s="32">
        <v>0</v>
      </c>
      <c r="BE71" s="32">
        <v>1032.0513752909117</v>
      </c>
      <c r="BF71" s="32">
        <v>175.64339241655622</v>
      </c>
      <c r="BG71" s="32">
        <v>-4.9947118779897046</v>
      </c>
      <c r="BH71" s="382">
        <v>5.8758337623273444</v>
      </c>
      <c r="BI71" s="32">
        <v>2.4941356421608059</v>
      </c>
      <c r="BJ71" s="32">
        <v>5.7635681131439069</v>
      </c>
      <c r="BK71" s="32">
        <v>0</v>
      </c>
      <c r="BL71" s="32">
        <v>-5.6893402625930651</v>
      </c>
      <c r="BM71" s="32">
        <v>2.5683634927116468</v>
      </c>
      <c r="BN71" s="32">
        <v>750.16923123231277</v>
      </c>
      <c r="BO71" s="32">
        <v>0</v>
      </c>
      <c r="BP71" s="32">
        <v>281.8821440585989</v>
      </c>
      <c r="BQ71" s="32">
        <v>0</v>
      </c>
      <c r="BR71" s="32">
        <v>0</v>
      </c>
      <c r="BS71" s="32">
        <v>0</v>
      </c>
      <c r="BT71" s="32">
        <v>0</v>
      </c>
      <c r="BU71" s="32">
        <v>0</v>
      </c>
      <c r="BV71" s="32">
        <v>0</v>
      </c>
      <c r="BW71" s="32">
        <v>0</v>
      </c>
      <c r="BX71" s="32">
        <v>435.15886163398523</v>
      </c>
      <c r="BY71" s="32"/>
      <c r="BZ71" s="32">
        <v>-380.52913765909528</v>
      </c>
      <c r="CA71" s="32">
        <v>0</v>
      </c>
      <c r="CB71" s="32">
        <v>1032.0513752909117</v>
      </c>
      <c r="CC71" s="32">
        <v>54.629723974889941</v>
      </c>
      <c r="CD71" s="382">
        <v>3.2461260415239734</v>
      </c>
      <c r="CE71" s="32">
        <v>-10.684052140582775</v>
      </c>
      <c r="CF71" s="32">
        <v>14.868507915220775</v>
      </c>
      <c r="CG71" s="32">
        <v>0</v>
      </c>
      <c r="CH71" s="32">
        <v>14.868507915220775</v>
      </c>
      <c r="CI71" s="32">
        <v>0.74342342611877466</v>
      </c>
      <c r="CJ71" s="32">
        <v>0</v>
      </c>
      <c r="CK71" s="32">
        <v>0.74342342611877466</v>
      </c>
      <c r="CL71" s="32"/>
      <c r="CM71" s="32">
        <v>0</v>
      </c>
      <c r="CN71" s="32"/>
      <c r="CO71" s="32">
        <v>0</v>
      </c>
      <c r="CP71" s="32">
        <v>0</v>
      </c>
      <c r="CQ71" s="32">
        <v>0</v>
      </c>
      <c r="CR71" s="32">
        <v>0</v>
      </c>
      <c r="CS71" s="32">
        <v>0</v>
      </c>
      <c r="CT71" s="32">
        <v>0</v>
      </c>
      <c r="CU71" s="32">
        <v>0</v>
      </c>
      <c r="CV71" s="32">
        <v>9999</v>
      </c>
      <c r="CW71" s="382">
        <v>9999</v>
      </c>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row>
    <row r="72" spans="1:131">
      <c r="A72" s="11" t="s">
        <v>668</v>
      </c>
      <c r="B72" s="11" t="s">
        <v>530</v>
      </c>
      <c r="C72" s="32">
        <v>11.627906976744185</v>
      </c>
      <c r="D72" s="32">
        <v>84.924999999999983</v>
      </c>
      <c r="E72" s="32">
        <v>0</v>
      </c>
      <c r="F72" s="32">
        <v>28.35202601226743</v>
      </c>
      <c r="G72" s="32">
        <v>0</v>
      </c>
      <c r="H72" s="32">
        <v>-37.220328882366076</v>
      </c>
      <c r="I72" s="32" t="s">
        <v>525</v>
      </c>
      <c r="J72" s="32"/>
      <c r="K72" s="32"/>
      <c r="L72" s="32">
        <v>91.04790429173427</v>
      </c>
      <c r="M72" s="32">
        <v>2.1251923908164289E-2</v>
      </c>
      <c r="N72" s="32">
        <v>2.1098537051683956E-2</v>
      </c>
      <c r="O72" s="32">
        <v>0</v>
      </c>
      <c r="P72" s="32">
        <v>0</v>
      </c>
      <c r="Q72" s="32">
        <v>0</v>
      </c>
      <c r="R72" s="32">
        <v>5.6537727274471976</v>
      </c>
      <c r="S72" s="32">
        <v>13.065008839152943</v>
      </c>
      <c r="T72" s="32">
        <v>0</v>
      </c>
      <c r="U72" s="32">
        <v>27.657250948068672</v>
      </c>
      <c r="V72" s="32" t="s">
        <v>610</v>
      </c>
      <c r="W72" s="32" t="s">
        <v>610</v>
      </c>
      <c r="X72" s="32" t="s">
        <v>610</v>
      </c>
      <c r="Y72" s="32" t="s">
        <v>610</v>
      </c>
      <c r="Z72" s="32">
        <v>0</v>
      </c>
      <c r="AA72" s="32">
        <v>0</v>
      </c>
      <c r="AB72" s="32">
        <v>0</v>
      </c>
      <c r="AC72" s="32">
        <v>0</v>
      </c>
      <c r="AD72" s="32">
        <v>0</v>
      </c>
      <c r="AE72" s="32">
        <v>0</v>
      </c>
      <c r="AF72" s="32">
        <v>0</v>
      </c>
      <c r="AG72" s="32">
        <v>-37.220328882366076</v>
      </c>
      <c r="AH72" s="32">
        <v>5.6537727274471976</v>
      </c>
      <c r="AI72" s="32">
        <v>13.065008839152943</v>
      </c>
      <c r="AJ72" s="32">
        <v>0</v>
      </c>
      <c r="AK72" s="32">
        <v>-9.5630779342974037</v>
      </c>
      <c r="AL72" s="32">
        <v>9.155703632302739</v>
      </c>
      <c r="AM72" s="32">
        <v>43.640183554751601</v>
      </c>
      <c r="AN72" s="32">
        <v>7.5093351156297174</v>
      </c>
      <c r="AO72" s="32">
        <v>0</v>
      </c>
      <c r="AP72" s="32">
        <v>0</v>
      </c>
      <c r="AQ72" s="32">
        <v>51.149518670381319</v>
      </c>
      <c r="AR72" s="32">
        <v>5.6537727274471976</v>
      </c>
      <c r="AS72" s="382">
        <v>9.0469711352328179</v>
      </c>
      <c r="AT72" s="32">
        <v>43.640183554751601</v>
      </c>
      <c r="AU72" s="32">
        <v>8.8888161219470927</v>
      </c>
      <c r="AV72" s="32">
        <v>0</v>
      </c>
      <c r="AW72" s="32">
        <v>0</v>
      </c>
      <c r="AX72" s="32">
        <v>52.528999676698696</v>
      </c>
      <c r="AY72" s="32">
        <v>13.065008839152943</v>
      </c>
      <c r="AZ72" s="382">
        <v>4.020586616006022</v>
      </c>
      <c r="BA72" s="32">
        <v>43.640183554751601</v>
      </c>
      <c r="BB72" s="32">
        <v>16.398151237576812</v>
      </c>
      <c r="BC72" s="32">
        <v>0</v>
      </c>
      <c r="BD72" s="32">
        <v>0</v>
      </c>
      <c r="BE72" s="32">
        <v>60.038334792328413</v>
      </c>
      <c r="BF72" s="32">
        <v>18.718781566600143</v>
      </c>
      <c r="BG72" s="32">
        <v>1.8754527389022013</v>
      </c>
      <c r="BH72" s="382">
        <v>3.2073847637313428</v>
      </c>
      <c r="BI72" s="32">
        <v>4.56918252519952</v>
      </c>
      <c r="BJ72" s="32">
        <v>10.558685846997095</v>
      </c>
      <c r="BK72" s="32">
        <v>0</v>
      </c>
      <c r="BL72" s="32">
        <v>-7.7285470589197658</v>
      </c>
      <c r="BM72" s="32">
        <v>7.3993213132768512</v>
      </c>
      <c r="BN72" s="32">
        <v>43.640183554751601</v>
      </c>
      <c r="BO72" s="32">
        <v>0</v>
      </c>
      <c r="BP72" s="32">
        <v>16.398151237576812</v>
      </c>
      <c r="BQ72" s="32">
        <v>0</v>
      </c>
      <c r="BR72" s="32">
        <v>0</v>
      </c>
      <c r="BS72" s="32">
        <v>0</v>
      </c>
      <c r="BT72" s="32">
        <v>0</v>
      </c>
      <c r="BU72" s="32">
        <v>0</v>
      </c>
      <c r="BV72" s="32">
        <v>0</v>
      </c>
      <c r="BW72" s="32">
        <v>0</v>
      </c>
      <c r="BX72" s="32">
        <v>46.376032514668815</v>
      </c>
      <c r="BY72" s="32"/>
      <c r="BZ72" s="32">
        <v>0</v>
      </c>
      <c r="CA72" s="32">
        <v>-37.220328882366076</v>
      </c>
      <c r="CB72" s="32">
        <v>60.038334792328413</v>
      </c>
      <c r="CC72" s="32">
        <v>9.155703632302739</v>
      </c>
      <c r="CD72" s="382">
        <v>2.0971751657266369</v>
      </c>
      <c r="CE72" s="32">
        <v>-5.853094320017564</v>
      </c>
      <c r="CF72" s="32">
        <v>0.86495738240238373</v>
      </c>
      <c r="CG72" s="32">
        <v>0</v>
      </c>
      <c r="CH72" s="32">
        <v>0.86495738240238373</v>
      </c>
      <c r="CI72" s="32">
        <v>4.3247754538573782E-2</v>
      </c>
      <c r="CJ72" s="32">
        <v>0</v>
      </c>
      <c r="CK72" s="32">
        <v>4.3247754538573782E-2</v>
      </c>
      <c r="CL72" s="32"/>
      <c r="CM72" s="32">
        <v>0</v>
      </c>
      <c r="CN72" s="32"/>
      <c r="CO72" s="32">
        <v>0</v>
      </c>
      <c r="CP72" s="32">
        <v>0</v>
      </c>
      <c r="CQ72" s="32">
        <v>0</v>
      </c>
      <c r="CR72" s="32">
        <v>0</v>
      </c>
      <c r="CS72" s="32">
        <v>0</v>
      </c>
      <c r="CT72" s="32">
        <v>0</v>
      </c>
      <c r="CU72" s="32">
        <v>0</v>
      </c>
      <c r="CV72" s="32">
        <v>9999</v>
      </c>
      <c r="CW72" s="382">
        <v>9999</v>
      </c>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row>
    <row r="73" spans="1:131">
      <c r="A73" s="11" t="s">
        <v>668</v>
      </c>
      <c r="B73" s="11" t="s">
        <v>531</v>
      </c>
      <c r="C73" s="32">
        <v>11.627906976744185</v>
      </c>
      <c r="D73" s="32">
        <v>84.924999999999983</v>
      </c>
      <c r="E73" s="32">
        <v>0</v>
      </c>
      <c r="F73" s="32">
        <v>28.35202601226743</v>
      </c>
      <c r="G73" s="32">
        <v>-14</v>
      </c>
      <c r="H73" s="32">
        <v>0</v>
      </c>
      <c r="I73" s="32" t="s">
        <v>525</v>
      </c>
      <c r="J73" s="32"/>
      <c r="K73" s="32"/>
      <c r="L73" s="32">
        <v>91.04790429173427</v>
      </c>
      <c r="M73" s="32">
        <v>2.1251923908164289E-2</v>
      </c>
      <c r="N73" s="32">
        <v>2.1098537051683956E-2</v>
      </c>
      <c r="O73" s="32">
        <v>0</v>
      </c>
      <c r="P73" s="32">
        <v>0</v>
      </c>
      <c r="Q73" s="32">
        <v>0</v>
      </c>
      <c r="R73" s="32">
        <v>5.6537727274471976</v>
      </c>
      <c r="S73" s="32">
        <v>13.065008839152943</v>
      </c>
      <c r="T73" s="32">
        <v>0</v>
      </c>
      <c r="U73" s="32">
        <v>27.657250948068672</v>
      </c>
      <c r="V73" s="32" t="s">
        <v>610</v>
      </c>
      <c r="W73" s="32" t="s">
        <v>610</v>
      </c>
      <c r="X73" s="32" t="s">
        <v>610</v>
      </c>
      <c r="Y73" s="32" t="s">
        <v>610</v>
      </c>
      <c r="Z73" s="32">
        <v>0</v>
      </c>
      <c r="AA73" s="32">
        <v>0</v>
      </c>
      <c r="AB73" s="32">
        <v>0</v>
      </c>
      <c r="AC73" s="32">
        <v>-190.26456882954764</v>
      </c>
      <c r="AD73" s="32">
        <v>0</v>
      </c>
      <c r="AE73" s="32">
        <v>0</v>
      </c>
      <c r="AF73" s="32">
        <v>0</v>
      </c>
      <c r="AG73" s="32">
        <v>0</v>
      </c>
      <c r="AH73" s="32">
        <v>5.6537727274471976</v>
      </c>
      <c r="AI73" s="32">
        <v>13.065008839152943</v>
      </c>
      <c r="AJ73" s="32">
        <v>0</v>
      </c>
      <c r="AK73" s="32">
        <v>-162.60731788147896</v>
      </c>
      <c r="AL73" s="32">
        <v>-143.88853631487882</v>
      </c>
      <c r="AM73" s="32">
        <v>43.640183554751601</v>
      </c>
      <c r="AN73" s="32">
        <v>7.5093351156297174</v>
      </c>
      <c r="AO73" s="32">
        <v>0</v>
      </c>
      <c r="AP73" s="32">
        <v>0</v>
      </c>
      <c r="AQ73" s="32">
        <v>51.149518670381319</v>
      </c>
      <c r="AR73" s="32">
        <v>5.6537727274471976</v>
      </c>
      <c r="AS73" s="382">
        <v>9.0469711352328179</v>
      </c>
      <c r="AT73" s="32">
        <v>43.640183554751601</v>
      </c>
      <c r="AU73" s="32">
        <v>8.8888161219470927</v>
      </c>
      <c r="AV73" s="32">
        <v>0</v>
      </c>
      <c r="AW73" s="32">
        <v>0</v>
      </c>
      <c r="AX73" s="32">
        <v>52.528999676698696</v>
      </c>
      <c r="AY73" s="32">
        <v>13.065008839152943</v>
      </c>
      <c r="AZ73" s="382">
        <v>4.020586616006022</v>
      </c>
      <c r="BA73" s="32">
        <v>43.640183554751601</v>
      </c>
      <c r="BB73" s="32">
        <v>16.398151237576812</v>
      </c>
      <c r="BC73" s="32">
        <v>0</v>
      </c>
      <c r="BD73" s="32">
        <v>0</v>
      </c>
      <c r="BE73" s="32">
        <v>60.038334792328413</v>
      </c>
      <c r="BF73" s="32">
        <v>18.718781566600143</v>
      </c>
      <c r="BG73" s="32">
        <v>1.8754527389022013</v>
      </c>
      <c r="BH73" s="382">
        <v>3.2073847637313428</v>
      </c>
      <c r="BI73" s="32">
        <v>4.56918252519952</v>
      </c>
      <c r="BJ73" s="32">
        <v>10.558685846997095</v>
      </c>
      <c r="BK73" s="32">
        <v>0</v>
      </c>
      <c r="BL73" s="32">
        <v>-131.41358012618417</v>
      </c>
      <c r="BM73" s="32">
        <v>-116.28571175398754</v>
      </c>
      <c r="BN73" s="32">
        <v>43.640183554751601</v>
      </c>
      <c r="BO73" s="32">
        <v>0</v>
      </c>
      <c r="BP73" s="32">
        <v>16.398151237576812</v>
      </c>
      <c r="BQ73" s="32">
        <v>0</v>
      </c>
      <c r="BR73" s="32">
        <v>0</v>
      </c>
      <c r="BS73" s="32">
        <v>0</v>
      </c>
      <c r="BT73" s="32">
        <v>0</v>
      </c>
      <c r="BU73" s="32">
        <v>0</v>
      </c>
      <c r="BV73" s="32">
        <v>0</v>
      </c>
      <c r="BW73" s="32">
        <v>0</v>
      </c>
      <c r="BX73" s="32">
        <v>46.376032514668815</v>
      </c>
      <c r="BY73" s="32"/>
      <c r="BZ73" s="32">
        <v>-190.26456882954764</v>
      </c>
      <c r="CA73" s="32">
        <v>0</v>
      </c>
      <c r="CB73" s="32">
        <v>60.038334792328413</v>
      </c>
      <c r="CC73" s="32">
        <v>-143.88853631487882</v>
      </c>
      <c r="CD73" s="382">
        <v>5.3972470271730302</v>
      </c>
      <c r="CE73" s="32">
        <v>-129.53812738728197</v>
      </c>
      <c r="CF73" s="32">
        <v>0.86495738240238373</v>
      </c>
      <c r="CG73" s="32">
        <v>0</v>
      </c>
      <c r="CH73" s="32">
        <v>0.86495738240238373</v>
      </c>
      <c r="CI73" s="32">
        <v>4.3247754538573782E-2</v>
      </c>
      <c r="CJ73" s="32">
        <v>0</v>
      </c>
      <c r="CK73" s="32">
        <v>4.3247754538573782E-2</v>
      </c>
      <c r="CL73" s="32"/>
      <c r="CM73" s="32">
        <v>0</v>
      </c>
      <c r="CN73" s="32"/>
      <c r="CO73" s="32">
        <v>0</v>
      </c>
      <c r="CP73" s="32">
        <v>0</v>
      </c>
      <c r="CQ73" s="32">
        <v>0</v>
      </c>
      <c r="CR73" s="32">
        <v>0</v>
      </c>
      <c r="CS73" s="32">
        <v>0</v>
      </c>
      <c r="CT73" s="32">
        <v>0</v>
      </c>
      <c r="CU73" s="32">
        <v>0</v>
      </c>
      <c r="CV73" s="32">
        <v>9999</v>
      </c>
      <c r="CW73" s="382">
        <v>9999</v>
      </c>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row>
    <row r="74" spans="1:131">
      <c r="A74" s="11" t="s">
        <v>668</v>
      </c>
      <c r="B74" s="11" t="s">
        <v>532</v>
      </c>
      <c r="C74" s="32">
        <v>11.627906976744185</v>
      </c>
      <c r="D74" s="32">
        <v>67.724999999999994</v>
      </c>
      <c r="E74" s="32">
        <v>0</v>
      </c>
      <c r="F74" s="32">
        <v>28.35202601226743</v>
      </c>
      <c r="G74" s="32">
        <v>0</v>
      </c>
      <c r="H74" s="32">
        <v>-37.220328882366076</v>
      </c>
      <c r="I74" s="32" t="s">
        <v>525</v>
      </c>
      <c r="J74" s="32"/>
      <c r="K74" s="32"/>
      <c r="L74" s="32">
        <v>72.607822409864042</v>
      </c>
      <c r="M74" s="32">
        <v>1.6947736787523423E-2</v>
      </c>
      <c r="N74" s="32">
        <v>1.6825415623494804E-2</v>
      </c>
      <c r="O74" s="32">
        <v>0</v>
      </c>
      <c r="P74" s="32">
        <v>0</v>
      </c>
      <c r="Q74" s="32">
        <v>0</v>
      </c>
      <c r="R74" s="32">
        <v>5.6537727274471976</v>
      </c>
      <c r="S74" s="32">
        <v>13.065008839152943</v>
      </c>
      <c r="T74" s="32">
        <v>0</v>
      </c>
      <c r="U74" s="32">
        <v>27.657250948068672</v>
      </c>
      <c r="V74" s="32" t="s">
        <v>610</v>
      </c>
      <c r="W74" s="32" t="s">
        <v>610</v>
      </c>
      <c r="X74" s="32" t="s">
        <v>610</v>
      </c>
      <c r="Y74" s="32" t="s">
        <v>610</v>
      </c>
      <c r="Z74" s="32">
        <v>0</v>
      </c>
      <c r="AA74" s="32">
        <v>0</v>
      </c>
      <c r="AB74" s="32">
        <v>0</v>
      </c>
      <c r="AC74" s="32">
        <v>0</v>
      </c>
      <c r="AD74" s="32">
        <v>0</v>
      </c>
      <c r="AE74" s="32">
        <v>0</v>
      </c>
      <c r="AF74" s="32">
        <v>0</v>
      </c>
      <c r="AG74" s="32">
        <v>-37.220328882366076</v>
      </c>
      <c r="AH74" s="32">
        <v>5.6537727274471976</v>
      </c>
      <c r="AI74" s="32">
        <v>13.065008839152943</v>
      </c>
      <c r="AJ74" s="32">
        <v>0</v>
      </c>
      <c r="AK74" s="32">
        <v>-9.5630779342974037</v>
      </c>
      <c r="AL74" s="32">
        <v>9.155703632302739</v>
      </c>
      <c r="AM74" s="32">
        <v>34.801665366447452</v>
      </c>
      <c r="AN74" s="32">
        <v>5.9884571175274965</v>
      </c>
      <c r="AO74" s="32">
        <v>0</v>
      </c>
      <c r="AP74" s="32">
        <v>0</v>
      </c>
      <c r="AQ74" s="32">
        <v>40.790122483974947</v>
      </c>
      <c r="AR74" s="32">
        <v>5.6537727274471976</v>
      </c>
      <c r="AS74" s="382">
        <v>7.2146731837932547</v>
      </c>
      <c r="AT74" s="32">
        <v>34.801665366447452</v>
      </c>
      <c r="AU74" s="32">
        <v>7.0885495656033806</v>
      </c>
      <c r="AV74" s="32">
        <v>0</v>
      </c>
      <c r="AW74" s="32">
        <v>0</v>
      </c>
      <c r="AX74" s="32">
        <v>41.890214932050831</v>
      </c>
      <c r="AY74" s="32">
        <v>13.065008839152943</v>
      </c>
      <c r="AZ74" s="382">
        <v>3.2062905925111291</v>
      </c>
      <c r="BA74" s="32">
        <v>34.801665366447452</v>
      </c>
      <c r="BB74" s="32">
        <v>13.077006683130877</v>
      </c>
      <c r="BC74" s="32">
        <v>0</v>
      </c>
      <c r="BD74" s="32">
        <v>0</v>
      </c>
      <c r="BE74" s="32">
        <v>47.878672049578327</v>
      </c>
      <c r="BF74" s="32">
        <v>18.718781566600143</v>
      </c>
      <c r="BG74" s="32">
        <v>5.7174510556505487</v>
      </c>
      <c r="BH74" s="382">
        <v>2.5577878495579047</v>
      </c>
      <c r="BI74" s="32">
        <v>5.7296098331866991</v>
      </c>
      <c r="BJ74" s="32">
        <v>13.240256855758261</v>
      </c>
      <c r="BK74" s="32">
        <v>0</v>
      </c>
      <c r="BL74" s="32">
        <v>-9.6913526611851033</v>
      </c>
      <c r="BM74" s="32">
        <v>9.2785140277598614</v>
      </c>
      <c r="BN74" s="32">
        <v>34.801665366447452</v>
      </c>
      <c r="BO74" s="32">
        <v>0</v>
      </c>
      <c r="BP74" s="32">
        <v>13.077006683130877</v>
      </c>
      <c r="BQ74" s="32">
        <v>0</v>
      </c>
      <c r="BR74" s="32">
        <v>0</v>
      </c>
      <c r="BS74" s="32">
        <v>0</v>
      </c>
      <c r="BT74" s="32">
        <v>0</v>
      </c>
      <c r="BU74" s="32">
        <v>0</v>
      </c>
      <c r="BV74" s="32">
        <v>0</v>
      </c>
      <c r="BW74" s="32">
        <v>0</v>
      </c>
      <c r="BX74" s="32">
        <v>46.376032514668815</v>
      </c>
      <c r="BY74" s="32"/>
      <c r="BZ74" s="32">
        <v>0</v>
      </c>
      <c r="CA74" s="32">
        <v>-37.220328882366076</v>
      </c>
      <c r="CB74" s="32">
        <v>47.878672049578327</v>
      </c>
      <c r="CC74" s="32">
        <v>9.155703632302739</v>
      </c>
      <c r="CD74" s="382">
        <v>1.834978033212036</v>
      </c>
      <c r="CE74" s="32">
        <v>-3.9739016055345542</v>
      </c>
      <c r="CF74" s="32">
        <v>0.68977614039683877</v>
      </c>
      <c r="CG74" s="32">
        <v>0</v>
      </c>
      <c r="CH74" s="32">
        <v>0.68977614039683877</v>
      </c>
      <c r="CI74" s="32">
        <v>3.4488715644685433E-2</v>
      </c>
      <c r="CJ74" s="32">
        <v>0</v>
      </c>
      <c r="CK74" s="32">
        <v>3.4488715644685433E-2</v>
      </c>
      <c r="CL74" s="32"/>
      <c r="CM74" s="32">
        <v>0</v>
      </c>
      <c r="CN74" s="32"/>
      <c r="CO74" s="32">
        <v>0</v>
      </c>
      <c r="CP74" s="32">
        <v>0</v>
      </c>
      <c r="CQ74" s="32">
        <v>0</v>
      </c>
      <c r="CR74" s="32">
        <v>0</v>
      </c>
      <c r="CS74" s="32">
        <v>0</v>
      </c>
      <c r="CT74" s="32">
        <v>0</v>
      </c>
      <c r="CU74" s="32">
        <v>0</v>
      </c>
      <c r="CV74" s="32">
        <v>9999</v>
      </c>
      <c r="CW74" s="382">
        <v>9999</v>
      </c>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row>
    <row r="75" spans="1:131">
      <c r="A75" s="11" t="s">
        <v>668</v>
      </c>
      <c r="B75" s="11" t="s">
        <v>533</v>
      </c>
      <c r="C75" s="32">
        <v>11.627906976744185</v>
      </c>
      <c r="D75" s="32">
        <v>67.724999999999994</v>
      </c>
      <c r="E75" s="32">
        <v>0</v>
      </c>
      <c r="F75" s="32">
        <v>28.35202601226743</v>
      </c>
      <c r="G75" s="32">
        <v>-14</v>
      </c>
      <c r="H75" s="32">
        <v>0</v>
      </c>
      <c r="I75" s="32" t="s">
        <v>525</v>
      </c>
      <c r="J75" s="32"/>
      <c r="K75" s="32"/>
      <c r="L75" s="32">
        <v>72.607822409864042</v>
      </c>
      <c r="M75" s="32">
        <v>1.6947736787523423E-2</v>
      </c>
      <c r="N75" s="32">
        <v>1.6825415623494804E-2</v>
      </c>
      <c r="O75" s="32">
        <v>0</v>
      </c>
      <c r="P75" s="32">
        <v>0</v>
      </c>
      <c r="Q75" s="32">
        <v>0</v>
      </c>
      <c r="R75" s="32">
        <v>5.6537727274471976</v>
      </c>
      <c r="S75" s="32">
        <v>13.065008839152943</v>
      </c>
      <c r="T75" s="32">
        <v>0</v>
      </c>
      <c r="U75" s="32">
        <v>27.657250948068672</v>
      </c>
      <c r="V75" s="32" t="s">
        <v>610</v>
      </c>
      <c r="W75" s="32" t="s">
        <v>610</v>
      </c>
      <c r="X75" s="32" t="s">
        <v>610</v>
      </c>
      <c r="Y75" s="32" t="s">
        <v>610</v>
      </c>
      <c r="Z75" s="32">
        <v>0</v>
      </c>
      <c r="AA75" s="32">
        <v>0</v>
      </c>
      <c r="AB75" s="32">
        <v>0</v>
      </c>
      <c r="AC75" s="32">
        <v>-190.26456882954764</v>
      </c>
      <c r="AD75" s="32">
        <v>0</v>
      </c>
      <c r="AE75" s="32">
        <v>0</v>
      </c>
      <c r="AF75" s="32">
        <v>0</v>
      </c>
      <c r="AG75" s="32">
        <v>0</v>
      </c>
      <c r="AH75" s="32">
        <v>5.6537727274471976</v>
      </c>
      <c r="AI75" s="32">
        <v>13.065008839152943</v>
      </c>
      <c r="AJ75" s="32">
        <v>0</v>
      </c>
      <c r="AK75" s="32">
        <v>-162.60731788147896</v>
      </c>
      <c r="AL75" s="32">
        <v>-143.88853631487882</v>
      </c>
      <c r="AM75" s="32">
        <v>34.801665366447452</v>
      </c>
      <c r="AN75" s="32">
        <v>5.9884571175274965</v>
      </c>
      <c r="AO75" s="32">
        <v>0</v>
      </c>
      <c r="AP75" s="32">
        <v>0</v>
      </c>
      <c r="AQ75" s="32">
        <v>40.790122483974947</v>
      </c>
      <c r="AR75" s="32">
        <v>5.6537727274471976</v>
      </c>
      <c r="AS75" s="382">
        <v>7.2146731837932547</v>
      </c>
      <c r="AT75" s="32">
        <v>34.801665366447452</v>
      </c>
      <c r="AU75" s="32">
        <v>7.0885495656033806</v>
      </c>
      <c r="AV75" s="32">
        <v>0</v>
      </c>
      <c r="AW75" s="32">
        <v>0</v>
      </c>
      <c r="AX75" s="32">
        <v>41.890214932050831</v>
      </c>
      <c r="AY75" s="32">
        <v>13.065008839152943</v>
      </c>
      <c r="AZ75" s="382">
        <v>3.2062905925111291</v>
      </c>
      <c r="BA75" s="32">
        <v>34.801665366447452</v>
      </c>
      <c r="BB75" s="32">
        <v>13.077006683130877</v>
      </c>
      <c r="BC75" s="32">
        <v>0</v>
      </c>
      <c r="BD75" s="32">
        <v>0</v>
      </c>
      <c r="BE75" s="32">
        <v>47.878672049578327</v>
      </c>
      <c r="BF75" s="32">
        <v>18.718781566600143</v>
      </c>
      <c r="BG75" s="32">
        <v>5.7174510556505487</v>
      </c>
      <c r="BH75" s="382">
        <v>2.5577878495579047</v>
      </c>
      <c r="BI75" s="32">
        <v>5.7296098331866991</v>
      </c>
      <c r="BJ75" s="32">
        <v>13.240256855758261</v>
      </c>
      <c r="BK75" s="32">
        <v>0</v>
      </c>
      <c r="BL75" s="32">
        <v>-164.78845761854839</v>
      </c>
      <c r="BM75" s="32">
        <v>-145.81859092960343</v>
      </c>
      <c r="BN75" s="32">
        <v>34.801665366447452</v>
      </c>
      <c r="BO75" s="32">
        <v>0</v>
      </c>
      <c r="BP75" s="32">
        <v>13.077006683130877</v>
      </c>
      <c r="BQ75" s="32">
        <v>0</v>
      </c>
      <c r="BR75" s="32">
        <v>0</v>
      </c>
      <c r="BS75" s="32">
        <v>0</v>
      </c>
      <c r="BT75" s="32">
        <v>0</v>
      </c>
      <c r="BU75" s="32">
        <v>0</v>
      </c>
      <c r="BV75" s="32">
        <v>0</v>
      </c>
      <c r="BW75" s="32">
        <v>0</v>
      </c>
      <c r="BX75" s="32">
        <v>46.376032514668815</v>
      </c>
      <c r="BY75" s="32"/>
      <c r="BZ75" s="32">
        <v>-190.26456882954764</v>
      </c>
      <c r="CA75" s="32">
        <v>0</v>
      </c>
      <c r="CB75" s="32">
        <v>47.878672049578327</v>
      </c>
      <c r="CC75" s="32">
        <v>-143.88853631487882</v>
      </c>
      <c r="CD75" s="382">
        <v>5.1350498946584295</v>
      </c>
      <c r="CE75" s="32">
        <v>-159.07100656289782</v>
      </c>
      <c r="CF75" s="32">
        <v>0.68977614039683877</v>
      </c>
      <c r="CG75" s="32">
        <v>0</v>
      </c>
      <c r="CH75" s="32">
        <v>0.68977614039683877</v>
      </c>
      <c r="CI75" s="32">
        <v>3.4488715644685433E-2</v>
      </c>
      <c r="CJ75" s="32">
        <v>0</v>
      </c>
      <c r="CK75" s="32">
        <v>3.4488715644685433E-2</v>
      </c>
      <c r="CL75" s="32"/>
      <c r="CM75" s="32">
        <v>0</v>
      </c>
      <c r="CN75" s="32"/>
      <c r="CO75" s="32">
        <v>0</v>
      </c>
      <c r="CP75" s="32">
        <v>0</v>
      </c>
      <c r="CQ75" s="32">
        <v>0</v>
      </c>
      <c r="CR75" s="32">
        <v>0</v>
      </c>
      <c r="CS75" s="32">
        <v>0</v>
      </c>
      <c r="CT75" s="32">
        <v>0</v>
      </c>
      <c r="CU75" s="32">
        <v>0</v>
      </c>
      <c r="CV75" s="32">
        <v>9999</v>
      </c>
      <c r="CW75" s="382">
        <v>9999</v>
      </c>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row>
    <row r="76" spans="1:131">
      <c r="A76" s="11" t="s">
        <v>669</v>
      </c>
      <c r="B76" s="11" t="s">
        <v>839</v>
      </c>
      <c r="C76" s="32">
        <v>11.627906976744185</v>
      </c>
      <c r="D76" s="32">
        <v>197.8</v>
      </c>
      <c r="E76" s="32">
        <v>0</v>
      </c>
      <c r="F76" s="32">
        <v>81.005788606478362</v>
      </c>
      <c r="G76" s="32">
        <v>0</v>
      </c>
      <c r="H76" s="32">
        <v>-77.340943132189253</v>
      </c>
      <c r="I76" s="32" t="s">
        <v>525</v>
      </c>
      <c r="J76" s="32"/>
      <c r="K76" s="32"/>
      <c r="L76" s="32">
        <v>212.06094164150772</v>
      </c>
      <c r="M76" s="32">
        <v>4.9498151887370001E-2</v>
      </c>
      <c r="N76" s="32">
        <v>4.9140896424175309E-2</v>
      </c>
      <c r="O76" s="32">
        <v>0</v>
      </c>
      <c r="P76" s="32">
        <v>0</v>
      </c>
      <c r="Q76" s="32">
        <v>0</v>
      </c>
      <c r="R76" s="32">
        <v>16.153636364134851</v>
      </c>
      <c r="S76" s="32">
        <v>37.328596683294116</v>
      </c>
      <c r="T76" s="32">
        <v>0</v>
      </c>
      <c r="U76" s="32">
        <v>79.020716994481901</v>
      </c>
      <c r="V76" s="32" t="s">
        <v>610</v>
      </c>
      <c r="W76" s="32" t="s">
        <v>610</v>
      </c>
      <c r="X76" s="32" t="s">
        <v>610</v>
      </c>
      <c r="Y76" s="32" t="s">
        <v>610</v>
      </c>
      <c r="Z76" s="32">
        <v>0</v>
      </c>
      <c r="AA76" s="32">
        <v>0</v>
      </c>
      <c r="AB76" s="32">
        <v>0</v>
      </c>
      <c r="AC76" s="32">
        <v>0</v>
      </c>
      <c r="AD76" s="32">
        <v>0</v>
      </c>
      <c r="AE76" s="32">
        <v>0</v>
      </c>
      <c r="AF76" s="32">
        <v>0</v>
      </c>
      <c r="AG76" s="32">
        <v>-77.340943132189253</v>
      </c>
      <c r="AH76" s="32">
        <v>16.153636364134851</v>
      </c>
      <c r="AI76" s="32">
        <v>37.328596683294116</v>
      </c>
      <c r="AJ76" s="32">
        <v>0</v>
      </c>
      <c r="AK76" s="32">
        <v>1.6797738622926488</v>
      </c>
      <c r="AL76" s="32">
        <v>55.162006909721612</v>
      </c>
      <c r="AM76" s="32">
        <v>101.64295916549729</v>
      </c>
      <c r="AN76" s="32">
        <v>17.490096978175551</v>
      </c>
      <c r="AO76" s="32">
        <v>0</v>
      </c>
      <c r="AP76" s="32">
        <v>0</v>
      </c>
      <c r="AQ76" s="32">
        <v>119.13305614367283</v>
      </c>
      <c r="AR76" s="32">
        <v>16.153636364134851</v>
      </c>
      <c r="AS76" s="382">
        <v>7.374999254544214</v>
      </c>
      <c r="AT76" s="32">
        <v>101.64295916549729</v>
      </c>
      <c r="AU76" s="32">
        <v>20.703065397952734</v>
      </c>
      <c r="AV76" s="32">
        <v>0</v>
      </c>
      <c r="AW76" s="32">
        <v>0</v>
      </c>
      <c r="AX76" s="32">
        <v>122.34602456345002</v>
      </c>
      <c r="AY76" s="32">
        <v>37.328596683294116</v>
      </c>
      <c r="AZ76" s="382">
        <v>3.2775414945669321</v>
      </c>
      <c r="BA76" s="32">
        <v>101.64295916549729</v>
      </c>
      <c r="BB76" s="32">
        <v>38.193162376128285</v>
      </c>
      <c r="BC76" s="32">
        <v>0</v>
      </c>
      <c r="BD76" s="32">
        <v>0</v>
      </c>
      <c r="BE76" s="32">
        <v>139.83612154162557</v>
      </c>
      <c r="BF76" s="32">
        <v>53.482233047428963</v>
      </c>
      <c r="BG76" s="32">
        <v>5.3050626493691251</v>
      </c>
      <c r="BH76" s="382">
        <v>2.6146275795480811</v>
      </c>
      <c r="BI76" s="32">
        <v>5.6050530976826405</v>
      </c>
      <c r="BJ76" s="32">
        <v>12.952425184980903</v>
      </c>
      <c r="BK76" s="32">
        <v>0</v>
      </c>
      <c r="BL76" s="32">
        <v>0.58285462653807851</v>
      </c>
      <c r="BM76" s="32">
        <v>19.140332909201621</v>
      </c>
      <c r="BN76" s="32">
        <v>101.64295916549729</v>
      </c>
      <c r="BO76" s="32">
        <v>0</v>
      </c>
      <c r="BP76" s="32">
        <v>38.193162376128285</v>
      </c>
      <c r="BQ76" s="32">
        <v>0</v>
      </c>
      <c r="BR76" s="32">
        <v>0</v>
      </c>
      <c r="BS76" s="32">
        <v>0</v>
      </c>
      <c r="BT76" s="32">
        <v>0</v>
      </c>
      <c r="BU76" s="32">
        <v>0</v>
      </c>
      <c r="BV76" s="32">
        <v>0</v>
      </c>
      <c r="BW76" s="32">
        <v>0</v>
      </c>
      <c r="BX76" s="32">
        <v>132.50295004191088</v>
      </c>
      <c r="BY76" s="32"/>
      <c r="BZ76" s="32">
        <v>0</v>
      </c>
      <c r="CA76" s="32">
        <v>-77.340943132189253</v>
      </c>
      <c r="CB76" s="32">
        <v>139.83612154162557</v>
      </c>
      <c r="CC76" s="32">
        <v>55.162006909721626</v>
      </c>
      <c r="CD76" s="382">
        <v>1.6390356939609376</v>
      </c>
      <c r="CE76" s="32">
        <v>5.887917275907208</v>
      </c>
      <c r="CF76" s="32">
        <v>2.0145842830637801</v>
      </c>
      <c r="CG76" s="32">
        <v>0</v>
      </c>
      <c r="CH76" s="32">
        <v>2.0145842830637801</v>
      </c>
      <c r="CI76" s="32">
        <v>0.10072894727971618</v>
      </c>
      <c r="CJ76" s="32">
        <v>0</v>
      </c>
      <c r="CK76" s="32">
        <v>0.10072894727971618</v>
      </c>
      <c r="CL76" s="32"/>
      <c r="CM76" s="32">
        <v>0</v>
      </c>
      <c r="CN76" s="32"/>
      <c r="CO76" s="32">
        <v>0</v>
      </c>
      <c r="CP76" s="32">
        <v>0</v>
      </c>
      <c r="CQ76" s="32">
        <v>0</v>
      </c>
      <c r="CR76" s="32">
        <v>0</v>
      </c>
      <c r="CS76" s="32">
        <v>0</v>
      </c>
      <c r="CT76" s="32">
        <v>0</v>
      </c>
      <c r="CU76" s="32">
        <v>0</v>
      </c>
      <c r="CV76" s="32">
        <v>9999</v>
      </c>
      <c r="CW76" s="382">
        <v>9999</v>
      </c>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row>
    <row r="77" spans="1:131">
      <c r="A77" s="11" t="s">
        <v>669</v>
      </c>
      <c r="B77" s="11" t="s">
        <v>840</v>
      </c>
      <c r="C77" s="32">
        <v>11.627906976744185</v>
      </c>
      <c r="D77" s="32">
        <v>197.8</v>
      </c>
      <c r="E77" s="32">
        <v>0</v>
      </c>
      <c r="F77" s="32">
        <v>81.005788606478362</v>
      </c>
      <c r="G77" s="32">
        <v>-28</v>
      </c>
      <c r="H77" s="32">
        <v>0</v>
      </c>
      <c r="I77" s="32" t="s">
        <v>525</v>
      </c>
      <c r="J77" s="32"/>
      <c r="K77" s="32"/>
      <c r="L77" s="32">
        <v>212.06094164150772</v>
      </c>
      <c r="M77" s="32">
        <v>4.9498151887370001E-2</v>
      </c>
      <c r="N77" s="32">
        <v>4.9140896424175309E-2</v>
      </c>
      <c r="O77" s="32">
        <v>0</v>
      </c>
      <c r="P77" s="32">
        <v>0</v>
      </c>
      <c r="Q77" s="32">
        <v>0</v>
      </c>
      <c r="R77" s="32">
        <v>16.153636364134851</v>
      </c>
      <c r="S77" s="32">
        <v>37.328596683294116</v>
      </c>
      <c r="T77" s="32">
        <v>0</v>
      </c>
      <c r="U77" s="32">
        <v>79.020716994481901</v>
      </c>
      <c r="V77" s="32" t="s">
        <v>610</v>
      </c>
      <c r="W77" s="32" t="s">
        <v>610</v>
      </c>
      <c r="X77" s="32" t="s">
        <v>610</v>
      </c>
      <c r="Y77" s="32" t="s">
        <v>610</v>
      </c>
      <c r="Z77" s="32">
        <v>0</v>
      </c>
      <c r="AA77" s="32">
        <v>0</v>
      </c>
      <c r="AB77" s="32">
        <v>0</v>
      </c>
      <c r="AC77" s="32">
        <v>-380.52913765909528</v>
      </c>
      <c r="AD77" s="32">
        <v>0</v>
      </c>
      <c r="AE77" s="32">
        <v>0</v>
      </c>
      <c r="AF77" s="32">
        <v>0</v>
      </c>
      <c r="AG77" s="32">
        <v>0</v>
      </c>
      <c r="AH77" s="32">
        <v>16.153636364134851</v>
      </c>
      <c r="AI77" s="32">
        <v>37.328596683294116</v>
      </c>
      <c r="AJ77" s="32">
        <v>0</v>
      </c>
      <c r="AK77" s="32">
        <v>-301.50842066461337</v>
      </c>
      <c r="AL77" s="32">
        <v>-248.02618761718441</v>
      </c>
      <c r="AM77" s="32">
        <v>101.64295916549729</v>
      </c>
      <c r="AN77" s="32">
        <v>17.490096978175551</v>
      </c>
      <c r="AO77" s="32">
        <v>0</v>
      </c>
      <c r="AP77" s="32">
        <v>0</v>
      </c>
      <c r="AQ77" s="32">
        <v>119.13305614367283</v>
      </c>
      <c r="AR77" s="32">
        <v>16.153636364134851</v>
      </c>
      <c r="AS77" s="382">
        <v>7.374999254544214</v>
      </c>
      <c r="AT77" s="32">
        <v>101.64295916549729</v>
      </c>
      <c r="AU77" s="32">
        <v>20.703065397952734</v>
      </c>
      <c r="AV77" s="32">
        <v>0</v>
      </c>
      <c r="AW77" s="32">
        <v>0</v>
      </c>
      <c r="AX77" s="32">
        <v>122.34602456345002</v>
      </c>
      <c r="AY77" s="32">
        <v>37.328596683294116</v>
      </c>
      <c r="AZ77" s="382">
        <v>3.2775414945669321</v>
      </c>
      <c r="BA77" s="32">
        <v>101.64295916549729</v>
      </c>
      <c r="BB77" s="32">
        <v>38.193162376128285</v>
      </c>
      <c r="BC77" s="32">
        <v>0</v>
      </c>
      <c r="BD77" s="32">
        <v>0</v>
      </c>
      <c r="BE77" s="32">
        <v>139.83612154162557</v>
      </c>
      <c r="BF77" s="32">
        <v>53.482233047428963</v>
      </c>
      <c r="BG77" s="32">
        <v>5.3050626493691251</v>
      </c>
      <c r="BH77" s="382">
        <v>2.6146275795480811</v>
      </c>
      <c r="BI77" s="32">
        <v>5.6050530976826405</v>
      </c>
      <c r="BJ77" s="32">
        <v>12.952425184980903</v>
      </c>
      <c r="BK77" s="32">
        <v>0</v>
      </c>
      <c r="BL77" s="32">
        <v>-104.61859293649529</v>
      </c>
      <c r="BM77" s="32">
        <v>-86.061114653831751</v>
      </c>
      <c r="BN77" s="32">
        <v>101.64295916549729</v>
      </c>
      <c r="BO77" s="32">
        <v>0</v>
      </c>
      <c r="BP77" s="32">
        <v>38.193162376128285</v>
      </c>
      <c r="BQ77" s="32">
        <v>0</v>
      </c>
      <c r="BR77" s="32">
        <v>0</v>
      </c>
      <c r="BS77" s="32">
        <v>0</v>
      </c>
      <c r="BT77" s="32">
        <v>0</v>
      </c>
      <c r="BU77" s="32">
        <v>0</v>
      </c>
      <c r="BV77" s="32">
        <v>0</v>
      </c>
      <c r="BW77" s="32">
        <v>0</v>
      </c>
      <c r="BX77" s="32">
        <v>132.50295004191088</v>
      </c>
      <c r="BY77" s="32"/>
      <c r="BZ77" s="32">
        <v>-380.52913765909528</v>
      </c>
      <c r="CA77" s="32">
        <v>0</v>
      </c>
      <c r="CB77" s="32">
        <v>139.83612154162557</v>
      </c>
      <c r="CC77" s="32">
        <v>-248.02618761718441</v>
      </c>
      <c r="CD77" s="382">
        <v>3.9271975381388002</v>
      </c>
      <c r="CE77" s="32">
        <v>-99.313530287126156</v>
      </c>
      <c r="CF77" s="32">
        <v>2.0145842830637801</v>
      </c>
      <c r="CG77" s="32">
        <v>0</v>
      </c>
      <c r="CH77" s="32">
        <v>2.0145842830637801</v>
      </c>
      <c r="CI77" s="32">
        <v>0.10072894727971618</v>
      </c>
      <c r="CJ77" s="32">
        <v>0</v>
      </c>
      <c r="CK77" s="32">
        <v>0.10072894727971618</v>
      </c>
      <c r="CL77" s="32"/>
      <c r="CM77" s="32">
        <v>0</v>
      </c>
      <c r="CN77" s="32"/>
      <c r="CO77" s="32">
        <v>0</v>
      </c>
      <c r="CP77" s="32">
        <v>0</v>
      </c>
      <c r="CQ77" s="32">
        <v>0</v>
      </c>
      <c r="CR77" s="32">
        <v>0</v>
      </c>
      <c r="CS77" s="32">
        <v>0</v>
      </c>
      <c r="CT77" s="32">
        <v>0</v>
      </c>
      <c r="CU77" s="32">
        <v>0</v>
      </c>
      <c r="CV77" s="32">
        <v>9999</v>
      </c>
      <c r="CW77" s="382">
        <v>9999</v>
      </c>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row>
    <row r="78" spans="1:131">
      <c r="A78" s="11" t="s">
        <v>670</v>
      </c>
      <c r="B78" s="11" t="s">
        <v>841</v>
      </c>
      <c r="C78" s="32">
        <v>11.627906976744185</v>
      </c>
      <c r="D78" s="32">
        <v>333.25</v>
      </c>
      <c r="E78" s="32">
        <v>0</v>
      </c>
      <c r="F78" s="32">
        <v>81.005788606478362</v>
      </c>
      <c r="G78" s="32">
        <v>0</v>
      </c>
      <c r="H78" s="32">
        <v>-77.340943132189253</v>
      </c>
      <c r="I78" s="32" t="s">
        <v>525</v>
      </c>
      <c r="J78" s="32"/>
      <c r="K78" s="32"/>
      <c r="L78" s="32">
        <v>357.27658646123581</v>
      </c>
      <c r="M78" s="32">
        <v>8.3393625462416854E-2</v>
      </c>
      <c r="N78" s="32">
        <v>8.2791727671164911E-2</v>
      </c>
      <c r="O78" s="32">
        <v>0</v>
      </c>
      <c r="P78" s="32">
        <v>0</v>
      </c>
      <c r="Q78" s="32">
        <v>0</v>
      </c>
      <c r="R78" s="32">
        <v>16.153636364134851</v>
      </c>
      <c r="S78" s="32">
        <v>37.328596683294116</v>
      </c>
      <c r="T78" s="32">
        <v>0</v>
      </c>
      <c r="U78" s="32">
        <v>79.020716994481901</v>
      </c>
      <c r="V78" s="32" t="s">
        <v>610</v>
      </c>
      <c r="W78" s="32" t="s">
        <v>610</v>
      </c>
      <c r="X78" s="32" t="s">
        <v>610</v>
      </c>
      <c r="Y78" s="32" t="s">
        <v>610</v>
      </c>
      <c r="Z78" s="32">
        <v>0</v>
      </c>
      <c r="AA78" s="32">
        <v>0</v>
      </c>
      <c r="AB78" s="32">
        <v>0</v>
      </c>
      <c r="AC78" s="32">
        <v>0</v>
      </c>
      <c r="AD78" s="32">
        <v>0</v>
      </c>
      <c r="AE78" s="32">
        <v>0</v>
      </c>
      <c r="AF78" s="32">
        <v>0</v>
      </c>
      <c r="AG78" s="32">
        <v>-77.340943132189253</v>
      </c>
      <c r="AH78" s="32">
        <v>16.153636364134851</v>
      </c>
      <c r="AI78" s="32">
        <v>37.328596683294116</v>
      </c>
      <c r="AJ78" s="32">
        <v>0</v>
      </c>
      <c r="AK78" s="32">
        <v>1.6797738622926488</v>
      </c>
      <c r="AL78" s="32">
        <v>55.162006909721612</v>
      </c>
      <c r="AM78" s="32">
        <v>171.24628989839229</v>
      </c>
      <c r="AN78" s="32">
        <v>29.467011213230535</v>
      </c>
      <c r="AO78" s="32">
        <v>0</v>
      </c>
      <c r="AP78" s="32">
        <v>0</v>
      </c>
      <c r="AQ78" s="32">
        <v>200.71330111162283</v>
      </c>
      <c r="AR78" s="32">
        <v>16.153636364134851</v>
      </c>
      <c r="AS78" s="382">
        <v>12.425270483199498</v>
      </c>
      <c r="AT78" s="32">
        <v>171.24628989839229</v>
      </c>
      <c r="AU78" s="32">
        <v>34.880164529159487</v>
      </c>
      <c r="AV78" s="32">
        <v>0</v>
      </c>
      <c r="AW78" s="32">
        <v>0</v>
      </c>
      <c r="AX78" s="32">
        <v>206.12645442755178</v>
      </c>
      <c r="AY78" s="32">
        <v>37.328596683294116</v>
      </c>
      <c r="AZ78" s="382">
        <v>5.5219449093247253</v>
      </c>
      <c r="BA78" s="32">
        <v>171.24628989839229</v>
      </c>
      <c r="BB78" s="32">
        <v>64.347175742390021</v>
      </c>
      <c r="BC78" s="32">
        <v>0</v>
      </c>
      <c r="BD78" s="32">
        <v>0</v>
      </c>
      <c r="BE78" s="32">
        <v>235.59346564078231</v>
      </c>
      <c r="BF78" s="32">
        <v>53.482233047428963</v>
      </c>
      <c r="BG78" s="32">
        <v>-2.2376543300360527</v>
      </c>
      <c r="BH78" s="382">
        <v>4.4050790742386168</v>
      </c>
      <c r="BI78" s="32">
        <v>3.3268702257213092</v>
      </c>
      <c r="BJ78" s="32">
        <v>7.6878910775370528</v>
      </c>
      <c r="BK78" s="32">
        <v>0</v>
      </c>
      <c r="BL78" s="32">
        <v>0.34595242349356925</v>
      </c>
      <c r="BM78" s="32">
        <v>11.36071372675193</v>
      </c>
      <c r="BN78" s="32">
        <v>171.24628989839229</v>
      </c>
      <c r="BO78" s="32">
        <v>0</v>
      </c>
      <c r="BP78" s="32">
        <v>64.347175742390021</v>
      </c>
      <c r="BQ78" s="32">
        <v>0</v>
      </c>
      <c r="BR78" s="32">
        <v>0</v>
      </c>
      <c r="BS78" s="32">
        <v>0</v>
      </c>
      <c r="BT78" s="32">
        <v>0</v>
      </c>
      <c r="BU78" s="32">
        <v>0</v>
      </c>
      <c r="BV78" s="32">
        <v>0</v>
      </c>
      <c r="BW78" s="32">
        <v>0</v>
      </c>
      <c r="BX78" s="32">
        <v>132.50295004191088</v>
      </c>
      <c r="BY78" s="32"/>
      <c r="BZ78" s="32">
        <v>0</v>
      </c>
      <c r="CA78" s="32">
        <v>-77.340943132189253</v>
      </c>
      <c r="CB78" s="32">
        <v>235.59346564078231</v>
      </c>
      <c r="CC78" s="32">
        <v>55.162006909721626</v>
      </c>
      <c r="CD78" s="382">
        <v>2.3617165404543066</v>
      </c>
      <c r="CE78" s="32">
        <v>-1.8917019065424776</v>
      </c>
      <c r="CF78" s="32">
        <v>3.394136563857463</v>
      </c>
      <c r="CG78" s="32">
        <v>0</v>
      </c>
      <c r="CH78" s="32">
        <v>3.394136563857463</v>
      </c>
      <c r="CI78" s="32">
        <v>0.16970637856908702</v>
      </c>
      <c r="CJ78" s="32">
        <v>0</v>
      </c>
      <c r="CK78" s="32">
        <v>0.16970637856908702</v>
      </c>
      <c r="CL78" s="32"/>
      <c r="CM78" s="32">
        <v>0</v>
      </c>
      <c r="CN78" s="32"/>
      <c r="CO78" s="32">
        <v>0</v>
      </c>
      <c r="CP78" s="32">
        <v>0</v>
      </c>
      <c r="CQ78" s="32">
        <v>0</v>
      </c>
      <c r="CR78" s="32">
        <v>0</v>
      </c>
      <c r="CS78" s="32">
        <v>0</v>
      </c>
      <c r="CT78" s="32">
        <v>0</v>
      </c>
      <c r="CU78" s="32">
        <v>0</v>
      </c>
      <c r="CV78" s="32">
        <v>9999</v>
      </c>
      <c r="CW78" s="382">
        <v>9999</v>
      </c>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row>
    <row r="79" spans="1:131">
      <c r="A79" s="11" t="s">
        <v>670</v>
      </c>
      <c r="B79" s="11" t="s">
        <v>842</v>
      </c>
      <c r="C79" s="32">
        <v>11.627906976744185</v>
      </c>
      <c r="D79" s="32">
        <v>333.25</v>
      </c>
      <c r="E79" s="32">
        <v>0</v>
      </c>
      <c r="F79" s="32">
        <v>81.005788606478362</v>
      </c>
      <c r="G79" s="32">
        <v>-28</v>
      </c>
      <c r="H79" s="32">
        <v>0</v>
      </c>
      <c r="I79" s="32" t="s">
        <v>525</v>
      </c>
      <c r="J79" s="32"/>
      <c r="K79" s="32"/>
      <c r="L79" s="32">
        <v>357.27658646123581</v>
      </c>
      <c r="M79" s="32">
        <v>8.3393625462416854E-2</v>
      </c>
      <c r="N79" s="32">
        <v>8.2791727671164911E-2</v>
      </c>
      <c r="O79" s="32">
        <v>0</v>
      </c>
      <c r="P79" s="32">
        <v>0</v>
      </c>
      <c r="Q79" s="32">
        <v>0</v>
      </c>
      <c r="R79" s="32">
        <v>16.153636364134851</v>
      </c>
      <c r="S79" s="32">
        <v>37.328596683294116</v>
      </c>
      <c r="T79" s="32">
        <v>0</v>
      </c>
      <c r="U79" s="32">
        <v>79.020716994481901</v>
      </c>
      <c r="V79" s="32" t="s">
        <v>610</v>
      </c>
      <c r="W79" s="32" t="s">
        <v>610</v>
      </c>
      <c r="X79" s="32" t="s">
        <v>610</v>
      </c>
      <c r="Y79" s="32" t="s">
        <v>610</v>
      </c>
      <c r="Z79" s="32">
        <v>0</v>
      </c>
      <c r="AA79" s="32">
        <v>0</v>
      </c>
      <c r="AB79" s="32">
        <v>0</v>
      </c>
      <c r="AC79" s="32">
        <v>-380.52913765909528</v>
      </c>
      <c r="AD79" s="32">
        <v>0</v>
      </c>
      <c r="AE79" s="32">
        <v>0</v>
      </c>
      <c r="AF79" s="32">
        <v>0</v>
      </c>
      <c r="AG79" s="32">
        <v>0</v>
      </c>
      <c r="AH79" s="32">
        <v>16.153636364134851</v>
      </c>
      <c r="AI79" s="32">
        <v>37.328596683294116</v>
      </c>
      <c r="AJ79" s="32">
        <v>0</v>
      </c>
      <c r="AK79" s="32">
        <v>-301.50842066461337</v>
      </c>
      <c r="AL79" s="32">
        <v>-248.02618761718441</v>
      </c>
      <c r="AM79" s="32">
        <v>171.24628989839229</v>
      </c>
      <c r="AN79" s="32">
        <v>29.467011213230535</v>
      </c>
      <c r="AO79" s="32">
        <v>0</v>
      </c>
      <c r="AP79" s="32">
        <v>0</v>
      </c>
      <c r="AQ79" s="32">
        <v>200.71330111162283</v>
      </c>
      <c r="AR79" s="32">
        <v>16.153636364134851</v>
      </c>
      <c r="AS79" s="382">
        <v>12.425270483199498</v>
      </c>
      <c r="AT79" s="32">
        <v>171.24628989839229</v>
      </c>
      <c r="AU79" s="32">
        <v>34.880164529159487</v>
      </c>
      <c r="AV79" s="32">
        <v>0</v>
      </c>
      <c r="AW79" s="32">
        <v>0</v>
      </c>
      <c r="AX79" s="32">
        <v>206.12645442755178</v>
      </c>
      <c r="AY79" s="32">
        <v>37.328596683294116</v>
      </c>
      <c r="AZ79" s="382">
        <v>5.5219449093247253</v>
      </c>
      <c r="BA79" s="32">
        <v>171.24628989839229</v>
      </c>
      <c r="BB79" s="32">
        <v>64.347175742390021</v>
      </c>
      <c r="BC79" s="32">
        <v>0</v>
      </c>
      <c r="BD79" s="32">
        <v>0</v>
      </c>
      <c r="BE79" s="32">
        <v>235.59346564078231</v>
      </c>
      <c r="BF79" s="32">
        <v>53.482233047428963</v>
      </c>
      <c r="BG79" s="32">
        <v>-2.2376543300360527</v>
      </c>
      <c r="BH79" s="382">
        <v>4.4050790742386168</v>
      </c>
      <c r="BI79" s="32">
        <v>3.3268702257213092</v>
      </c>
      <c r="BJ79" s="32">
        <v>7.6878910775370528</v>
      </c>
      <c r="BK79" s="32">
        <v>0</v>
      </c>
      <c r="BL79" s="32">
        <v>-62.096197097790757</v>
      </c>
      <c r="BM79" s="32">
        <v>-51.081435794532396</v>
      </c>
      <c r="BN79" s="32">
        <v>171.24628989839229</v>
      </c>
      <c r="BO79" s="32">
        <v>0</v>
      </c>
      <c r="BP79" s="32">
        <v>64.347175742390021</v>
      </c>
      <c r="BQ79" s="32">
        <v>0</v>
      </c>
      <c r="BR79" s="32">
        <v>0</v>
      </c>
      <c r="BS79" s="32">
        <v>0</v>
      </c>
      <c r="BT79" s="32">
        <v>0</v>
      </c>
      <c r="BU79" s="32">
        <v>0</v>
      </c>
      <c r="BV79" s="32">
        <v>0</v>
      </c>
      <c r="BW79" s="32">
        <v>0</v>
      </c>
      <c r="BX79" s="32">
        <v>132.50295004191088</v>
      </c>
      <c r="BY79" s="32"/>
      <c r="BZ79" s="32">
        <v>-380.52913765909528</v>
      </c>
      <c r="CA79" s="32">
        <v>0</v>
      </c>
      <c r="CB79" s="32">
        <v>235.59346564078231</v>
      </c>
      <c r="CC79" s="32">
        <v>-248.02618761718441</v>
      </c>
      <c r="CD79" s="382">
        <v>4.649878384632169</v>
      </c>
      <c r="CE79" s="32">
        <v>-64.333851427826815</v>
      </c>
      <c r="CF79" s="32">
        <v>3.394136563857463</v>
      </c>
      <c r="CG79" s="32">
        <v>0</v>
      </c>
      <c r="CH79" s="32">
        <v>3.394136563857463</v>
      </c>
      <c r="CI79" s="32">
        <v>0.16970637856908702</v>
      </c>
      <c r="CJ79" s="32">
        <v>0</v>
      </c>
      <c r="CK79" s="32">
        <v>0.16970637856908702</v>
      </c>
      <c r="CL79" s="32"/>
      <c r="CM79" s="32">
        <v>0</v>
      </c>
      <c r="CN79" s="32"/>
      <c r="CO79" s="32">
        <v>0</v>
      </c>
      <c r="CP79" s="32">
        <v>0</v>
      </c>
      <c r="CQ79" s="32">
        <v>0</v>
      </c>
      <c r="CR79" s="32">
        <v>0</v>
      </c>
      <c r="CS79" s="32">
        <v>0</v>
      </c>
      <c r="CT79" s="32">
        <v>0</v>
      </c>
      <c r="CU79" s="32">
        <v>0</v>
      </c>
      <c r="CV79" s="32">
        <v>9999</v>
      </c>
      <c r="CW79" s="382">
        <v>9999</v>
      </c>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row>
    <row r="80" spans="1:131">
      <c r="A80" s="11" t="s">
        <v>671</v>
      </c>
      <c r="B80" s="11" t="s">
        <v>952</v>
      </c>
      <c r="C80" s="32">
        <v>11.627906976744185</v>
      </c>
      <c r="D80" s="32">
        <v>576.20000000000005</v>
      </c>
      <c r="E80" s="32">
        <v>0</v>
      </c>
      <c r="F80" s="32">
        <v>162.01157721295672</v>
      </c>
      <c r="G80" s="32">
        <v>0</v>
      </c>
      <c r="H80" s="32">
        <v>-84.572314159883035</v>
      </c>
      <c r="I80" s="32" t="s">
        <v>525</v>
      </c>
      <c r="J80" s="32"/>
      <c r="K80" s="32"/>
      <c r="L80" s="32">
        <v>617.74274304265293</v>
      </c>
      <c r="M80" s="32">
        <v>0.14419026854146913</v>
      </c>
      <c r="N80" s="32">
        <v>0.14314956784433677</v>
      </c>
      <c r="O80" s="32">
        <v>0</v>
      </c>
      <c r="P80" s="32">
        <v>0</v>
      </c>
      <c r="Q80" s="32">
        <v>0</v>
      </c>
      <c r="R80" s="32">
        <v>32.307272728269702</v>
      </c>
      <c r="S80" s="32">
        <v>74.657193366588231</v>
      </c>
      <c r="T80" s="32">
        <v>0</v>
      </c>
      <c r="U80" s="32">
        <v>158.0414339889638</v>
      </c>
      <c r="V80" s="32" t="s">
        <v>610</v>
      </c>
      <c r="W80" s="32" t="s">
        <v>610</v>
      </c>
      <c r="X80" s="32" t="s">
        <v>610</v>
      </c>
      <c r="Y80" s="32" t="s">
        <v>610</v>
      </c>
      <c r="Z80" s="32">
        <v>0</v>
      </c>
      <c r="AA80" s="32">
        <v>0</v>
      </c>
      <c r="AB80" s="32">
        <v>0</v>
      </c>
      <c r="AC80" s="32">
        <v>0</v>
      </c>
      <c r="AD80" s="32">
        <v>0</v>
      </c>
      <c r="AE80" s="32">
        <v>0</v>
      </c>
      <c r="AF80" s="32">
        <v>0</v>
      </c>
      <c r="AG80" s="32">
        <v>-84.572314159883035</v>
      </c>
      <c r="AH80" s="32">
        <v>32.307272728269702</v>
      </c>
      <c r="AI80" s="32">
        <v>74.657193366588231</v>
      </c>
      <c r="AJ80" s="32">
        <v>0</v>
      </c>
      <c r="AK80" s="32">
        <v>73.469119829080768</v>
      </c>
      <c r="AL80" s="32">
        <v>180.43358592393869</v>
      </c>
      <c r="AM80" s="32">
        <v>296.09035930818806</v>
      </c>
      <c r="AN80" s="32">
        <v>50.949412936424423</v>
      </c>
      <c r="AO80" s="32">
        <v>0</v>
      </c>
      <c r="AP80" s="32">
        <v>0</v>
      </c>
      <c r="AQ80" s="32">
        <v>347.03977224461249</v>
      </c>
      <c r="AR80" s="32">
        <v>32.307272728269702</v>
      </c>
      <c r="AS80" s="382">
        <v>10.74184674031441</v>
      </c>
      <c r="AT80" s="32">
        <v>296.09035930818806</v>
      </c>
      <c r="AU80" s="32">
        <v>60.308929637514488</v>
      </c>
      <c r="AV80" s="32">
        <v>0</v>
      </c>
      <c r="AW80" s="32">
        <v>0</v>
      </c>
      <c r="AX80" s="32">
        <v>356.39928894570255</v>
      </c>
      <c r="AY80" s="32">
        <v>74.657193366588231</v>
      </c>
      <c r="AZ80" s="382">
        <v>4.7738104377387964</v>
      </c>
      <c r="BA80" s="32">
        <v>296.09035930818806</v>
      </c>
      <c r="BB80" s="32">
        <v>111.2583425739389</v>
      </c>
      <c r="BC80" s="32">
        <v>0</v>
      </c>
      <c r="BD80" s="32">
        <v>0</v>
      </c>
      <c r="BE80" s="32">
        <v>407.34870188212699</v>
      </c>
      <c r="BF80" s="32">
        <v>106.96446609485793</v>
      </c>
      <c r="BG80" s="32">
        <v>-0.51146039445079372</v>
      </c>
      <c r="BH80" s="382">
        <v>3.8082619093417729</v>
      </c>
      <c r="BI80" s="32">
        <v>3.8482454103492749</v>
      </c>
      <c r="BJ80" s="32">
        <v>8.8927098284943504</v>
      </c>
      <c r="BK80" s="32">
        <v>0</v>
      </c>
      <c r="BL80" s="32">
        <v>8.7511937501696746</v>
      </c>
      <c r="BM80" s="32">
        <v>21.492148989013302</v>
      </c>
      <c r="BN80" s="32">
        <v>296.09035930818806</v>
      </c>
      <c r="BO80" s="32">
        <v>0</v>
      </c>
      <c r="BP80" s="32">
        <v>111.2583425739389</v>
      </c>
      <c r="BQ80" s="32">
        <v>0</v>
      </c>
      <c r="BR80" s="32">
        <v>0</v>
      </c>
      <c r="BS80" s="32">
        <v>0</v>
      </c>
      <c r="BT80" s="32">
        <v>0</v>
      </c>
      <c r="BU80" s="32">
        <v>0</v>
      </c>
      <c r="BV80" s="32">
        <v>0</v>
      </c>
      <c r="BW80" s="32">
        <v>0</v>
      </c>
      <c r="BX80" s="32">
        <v>265.00590008382176</v>
      </c>
      <c r="BY80" s="32"/>
      <c r="BZ80" s="32">
        <v>0</v>
      </c>
      <c r="CA80" s="32">
        <v>-84.572314159883035</v>
      </c>
      <c r="CB80" s="32">
        <v>407.34870188212699</v>
      </c>
      <c r="CC80" s="32">
        <v>180.43358592393872</v>
      </c>
      <c r="CD80" s="382">
        <v>1.8562643921754749</v>
      </c>
      <c r="CE80" s="32">
        <v>8.239733355718883</v>
      </c>
      <c r="CF80" s="32">
        <v>5.8685716071857978</v>
      </c>
      <c r="CG80" s="32">
        <v>0</v>
      </c>
      <c r="CH80" s="32">
        <v>5.8685716071857978</v>
      </c>
      <c r="CI80" s="32">
        <v>0.29342780294526022</v>
      </c>
      <c r="CJ80" s="32">
        <v>0</v>
      </c>
      <c r="CK80" s="32">
        <v>0.29342780294526022</v>
      </c>
      <c r="CL80" s="32"/>
      <c r="CM80" s="32">
        <v>0</v>
      </c>
      <c r="CN80" s="32"/>
      <c r="CO80" s="32">
        <v>0</v>
      </c>
      <c r="CP80" s="32">
        <v>0</v>
      </c>
      <c r="CQ80" s="32">
        <v>0</v>
      </c>
      <c r="CR80" s="32">
        <v>0</v>
      </c>
      <c r="CS80" s="32">
        <v>0</v>
      </c>
      <c r="CT80" s="32">
        <v>0</v>
      </c>
      <c r="CU80" s="32">
        <v>0</v>
      </c>
      <c r="CV80" s="32">
        <v>9999</v>
      </c>
      <c r="CW80" s="382">
        <v>9999</v>
      </c>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row>
    <row r="81" spans="1:131">
      <c r="A81" s="11" t="s">
        <v>671</v>
      </c>
      <c r="B81" s="11" t="s">
        <v>953</v>
      </c>
      <c r="C81" s="32">
        <v>11.627906976744185</v>
      </c>
      <c r="D81" s="32">
        <v>576.20000000000005</v>
      </c>
      <c r="E81" s="32">
        <v>0</v>
      </c>
      <c r="F81" s="32">
        <v>162.01157721295672</v>
      </c>
      <c r="G81" s="32">
        <v>-28</v>
      </c>
      <c r="H81" s="32">
        <v>0</v>
      </c>
      <c r="I81" s="32" t="s">
        <v>525</v>
      </c>
      <c r="J81" s="32"/>
      <c r="K81" s="32"/>
      <c r="L81" s="32">
        <v>617.74274304265293</v>
      </c>
      <c r="M81" s="32">
        <v>0.14419026854146913</v>
      </c>
      <c r="N81" s="32">
        <v>0.14314956784433677</v>
      </c>
      <c r="O81" s="32">
        <v>0</v>
      </c>
      <c r="P81" s="32">
        <v>0</v>
      </c>
      <c r="Q81" s="32">
        <v>0</v>
      </c>
      <c r="R81" s="32">
        <v>32.307272728269702</v>
      </c>
      <c r="S81" s="32">
        <v>74.657193366588231</v>
      </c>
      <c r="T81" s="32">
        <v>0</v>
      </c>
      <c r="U81" s="32">
        <v>158.0414339889638</v>
      </c>
      <c r="V81" s="32" t="s">
        <v>610</v>
      </c>
      <c r="W81" s="32" t="s">
        <v>610</v>
      </c>
      <c r="X81" s="32" t="s">
        <v>610</v>
      </c>
      <c r="Y81" s="32" t="s">
        <v>610</v>
      </c>
      <c r="Z81" s="32">
        <v>0</v>
      </c>
      <c r="AA81" s="32">
        <v>0</v>
      </c>
      <c r="AB81" s="32">
        <v>0</v>
      </c>
      <c r="AC81" s="32">
        <v>-380.52913765909528</v>
      </c>
      <c r="AD81" s="32">
        <v>0</v>
      </c>
      <c r="AE81" s="32">
        <v>0</v>
      </c>
      <c r="AF81" s="32">
        <v>0</v>
      </c>
      <c r="AG81" s="32">
        <v>0</v>
      </c>
      <c r="AH81" s="32">
        <v>32.307272728269702</v>
      </c>
      <c r="AI81" s="32">
        <v>74.657193366588231</v>
      </c>
      <c r="AJ81" s="32">
        <v>0</v>
      </c>
      <c r="AK81" s="32">
        <v>-222.48770367013148</v>
      </c>
      <c r="AL81" s="32">
        <v>-115.52323757527355</v>
      </c>
      <c r="AM81" s="32">
        <v>296.09035930818806</v>
      </c>
      <c r="AN81" s="32">
        <v>50.949412936424423</v>
      </c>
      <c r="AO81" s="32">
        <v>0</v>
      </c>
      <c r="AP81" s="32">
        <v>0</v>
      </c>
      <c r="AQ81" s="32">
        <v>347.03977224461249</v>
      </c>
      <c r="AR81" s="32">
        <v>32.307272728269702</v>
      </c>
      <c r="AS81" s="382">
        <v>10.74184674031441</v>
      </c>
      <c r="AT81" s="32">
        <v>296.09035930818806</v>
      </c>
      <c r="AU81" s="32">
        <v>60.308929637514488</v>
      </c>
      <c r="AV81" s="32">
        <v>0</v>
      </c>
      <c r="AW81" s="32">
        <v>0</v>
      </c>
      <c r="AX81" s="32">
        <v>356.39928894570255</v>
      </c>
      <c r="AY81" s="32">
        <v>74.657193366588231</v>
      </c>
      <c r="AZ81" s="382">
        <v>4.7738104377387964</v>
      </c>
      <c r="BA81" s="32">
        <v>296.09035930818806</v>
      </c>
      <c r="BB81" s="32">
        <v>111.2583425739389</v>
      </c>
      <c r="BC81" s="32">
        <v>0</v>
      </c>
      <c r="BD81" s="32">
        <v>0</v>
      </c>
      <c r="BE81" s="32">
        <v>407.34870188212699</v>
      </c>
      <c r="BF81" s="32">
        <v>106.96446609485793</v>
      </c>
      <c r="BG81" s="32">
        <v>-0.51146039445079372</v>
      </c>
      <c r="BH81" s="382">
        <v>3.8082619093417729</v>
      </c>
      <c r="BI81" s="32">
        <v>3.8482454103492749</v>
      </c>
      <c r="BJ81" s="32">
        <v>8.8927098284943504</v>
      </c>
      <c r="BK81" s="32">
        <v>0</v>
      </c>
      <c r="BL81" s="32">
        <v>-26.501379169605578</v>
      </c>
      <c r="BM81" s="32">
        <v>-13.760423930761952</v>
      </c>
      <c r="BN81" s="32">
        <v>296.09035930818806</v>
      </c>
      <c r="BO81" s="32">
        <v>0</v>
      </c>
      <c r="BP81" s="32">
        <v>111.2583425739389</v>
      </c>
      <c r="BQ81" s="32">
        <v>0</v>
      </c>
      <c r="BR81" s="32">
        <v>0</v>
      </c>
      <c r="BS81" s="32">
        <v>0</v>
      </c>
      <c r="BT81" s="32">
        <v>0</v>
      </c>
      <c r="BU81" s="32">
        <v>0</v>
      </c>
      <c r="BV81" s="32">
        <v>0</v>
      </c>
      <c r="BW81" s="32">
        <v>0</v>
      </c>
      <c r="BX81" s="32">
        <v>265.00590008382176</v>
      </c>
      <c r="BY81" s="32"/>
      <c r="BZ81" s="32">
        <v>-380.52913765909528</v>
      </c>
      <c r="CA81" s="32">
        <v>0</v>
      </c>
      <c r="CB81" s="32">
        <v>407.34870188212699</v>
      </c>
      <c r="CC81" s="32">
        <v>-115.52323757527353</v>
      </c>
      <c r="CD81" s="382">
        <v>2.973057729250614</v>
      </c>
      <c r="CE81" s="32">
        <v>-27.012839564056364</v>
      </c>
      <c r="CF81" s="32">
        <v>5.8685716071857978</v>
      </c>
      <c r="CG81" s="32">
        <v>0</v>
      </c>
      <c r="CH81" s="32">
        <v>5.8685716071857978</v>
      </c>
      <c r="CI81" s="32">
        <v>0.29342780294526022</v>
      </c>
      <c r="CJ81" s="32">
        <v>0</v>
      </c>
      <c r="CK81" s="32">
        <v>0.29342780294526022</v>
      </c>
      <c r="CL81" s="32"/>
      <c r="CM81" s="32">
        <v>0</v>
      </c>
      <c r="CN81" s="32"/>
      <c r="CO81" s="32">
        <v>0</v>
      </c>
      <c r="CP81" s="32">
        <v>0</v>
      </c>
      <c r="CQ81" s="32">
        <v>0</v>
      </c>
      <c r="CR81" s="32">
        <v>0</v>
      </c>
      <c r="CS81" s="32">
        <v>0</v>
      </c>
      <c r="CT81" s="32">
        <v>0</v>
      </c>
      <c r="CU81" s="32">
        <v>0</v>
      </c>
      <c r="CV81" s="32">
        <v>9999</v>
      </c>
      <c r="CW81" s="382">
        <v>9999</v>
      </c>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row>
    <row r="82" spans="1:131">
      <c r="A82" s="11" t="s">
        <v>672</v>
      </c>
      <c r="B82" s="11" t="s">
        <v>869</v>
      </c>
      <c r="C82" s="32">
        <v>11.627906976744185</v>
      </c>
      <c r="D82" s="32">
        <v>1459.85</v>
      </c>
      <c r="E82" s="32">
        <v>0</v>
      </c>
      <c r="F82" s="32">
        <v>486.0347316388702</v>
      </c>
      <c r="G82" s="32">
        <v>0</v>
      </c>
      <c r="H82" s="32">
        <v>-86.610201248072983</v>
      </c>
      <c r="I82" s="32" t="s">
        <v>525</v>
      </c>
      <c r="J82" s="32"/>
      <c r="K82" s="32"/>
      <c r="L82" s="32">
        <v>1565.101949723736</v>
      </c>
      <c r="M82" s="32">
        <v>0.36531788186439379</v>
      </c>
      <c r="N82" s="32">
        <v>0.36268118121755466</v>
      </c>
      <c r="O82" s="32">
        <v>0</v>
      </c>
      <c r="P82" s="32">
        <v>0</v>
      </c>
      <c r="Q82" s="32">
        <v>0</v>
      </c>
      <c r="R82" s="32">
        <v>96.921818184809098</v>
      </c>
      <c r="S82" s="32">
        <v>223.97158009976471</v>
      </c>
      <c r="T82" s="32">
        <v>0</v>
      </c>
      <c r="U82" s="32">
        <v>474.12430196689149</v>
      </c>
      <c r="V82" s="32" t="s">
        <v>610</v>
      </c>
      <c r="W82" s="32" t="s">
        <v>610</v>
      </c>
      <c r="X82" s="32" t="s">
        <v>610</v>
      </c>
      <c r="Y82" s="32" t="s">
        <v>610</v>
      </c>
      <c r="Z82" s="32">
        <v>0</v>
      </c>
      <c r="AA82" s="32">
        <v>0</v>
      </c>
      <c r="AB82" s="32">
        <v>0</v>
      </c>
      <c r="AC82" s="32">
        <v>0</v>
      </c>
      <c r="AD82" s="32">
        <v>0</v>
      </c>
      <c r="AE82" s="32">
        <v>0</v>
      </c>
      <c r="AF82" s="32">
        <v>0</v>
      </c>
      <c r="AG82" s="32">
        <v>-86.610201248072983</v>
      </c>
      <c r="AH82" s="32">
        <v>96.921818184809098</v>
      </c>
      <c r="AI82" s="32">
        <v>223.97158009976471</v>
      </c>
      <c r="AJ82" s="32">
        <v>0</v>
      </c>
      <c r="AK82" s="32">
        <v>387.5141007188185</v>
      </c>
      <c r="AL82" s="32">
        <v>708.40749900339233</v>
      </c>
      <c r="AM82" s="32">
        <v>750.16923123231277</v>
      </c>
      <c r="AN82" s="32">
        <v>129.08452008892601</v>
      </c>
      <c r="AO82" s="32">
        <v>0</v>
      </c>
      <c r="AP82" s="32">
        <v>0</v>
      </c>
      <c r="AQ82" s="32">
        <v>879.25375132123872</v>
      </c>
      <c r="AR82" s="32">
        <v>96.921818184809098</v>
      </c>
      <c r="AS82" s="382">
        <v>9.0717835033252321</v>
      </c>
      <c r="AT82" s="32">
        <v>750.16923123231277</v>
      </c>
      <c r="AU82" s="32">
        <v>152.79762396967291</v>
      </c>
      <c r="AV82" s="32">
        <v>0</v>
      </c>
      <c r="AW82" s="32">
        <v>0</v>
      </c>
      <c r="AX82" s="32">
        <v>902.96685520198571</v>
      </c>
      <c r="AY82" s="32">
        <v>223.97158009976471</v>
      </c>
      <c r="AZ82" s="382">
        <v>4.0316135413241847</v>
      </c>
      <c r="BA82" s="32">
        <v>750.16923123231277</v>
      </c>
      <c r="BB82" s="32">
        <v>281.8821440585989</v>
      </c>
      <c r="BC82" s="32">
        <v>0</v>
      </c>
      <c r="BD82" s="32">
        <v>0</v>
      </c>
      <c r="BE82" s="32">
        <v>1032.0513752909117</v>
      </c>
      <c r="BF82" s="32">
        <v>320.89339828457378</v>
      </c>
      <c r="BG82" s="32">
        <v>1.8340762842759475</v>
      </c>
      <c r="BH82" s="382">
        <v>3.2161813886107771</v>
      </c>
      <c r="BI82" s="32">
        <v>4.5566852870704242</v>
      </c>
      <c r="BJ82" s="32">
        <v>10.529806630499943</v>
      </c>
      <c r="BK82" s="32">
        <v>0</v>
      </c>
      <c r="BL82" s="32">
        <v>18.218599633684168</v>
      </c>
      <c r="BM82" s="32">
        <v>33.305091551254534</v>
      </c>
      <c r="BN82" s="32">
        <v>750.16923123231277</v>
      </c>
      <c r="BO82" s="32">
        <v>0</v>
      </c>
      <c r="BP82" s="32">
        <v>281.8821440585989</v>
      </c>
      <c r="BQ82" s="32">
        <v>0</v>
      </c>
      <c r="BR82" s="32">
        <v>0</v>
      </c>
      <c r="BS82" s="32">
        <v>0</v>
      </c>
      <c r="BT82" s="32">
        <v>0</v>
      </c>
      <c r="BU82" s="32">
        <v>0</v>
      </c>
      <c r="BV82" s="32">
        <v>0</v>
      </c>
      <c r="BW82" s="32">
        <v>0</v>
      </c>
      <c r="BX82" s="32">
        <v>795.01770025146527</v>
      </c>
      <c r="BY82" s="32"/>
      <c r="BZ82" s="32">
        <v>0</v>
      </c>
      <c r="CA82" s="32">
        <v>-86.610201248072983</v>
      </c>
      <c r="CB82" s="32">
        <v>1032.0513752909117</v>
      </c>
      <c r="CC82" s="32">
        <v>708.40749900339233</v>
      </c>
      <c r="CD82" s="382">
        <v>1.4070901518106458</v>
      </c>
      <c r="CE82" s="32">
        <v>20.052675917960119</v>
      </c>
      <c r="CF82" s="32">
        <v>14.868507915220775</v>
      </c>
      <c r="CG82" s="32">
        <v>0</v>
      </c>
      <c r="CH82" s="32">
        <v>14.868507915220775</v>
      </c>
      <c r="CI82" s="32">
        <v>0.74342342611877466</v>
      </c>
      <c r="CJ82" s="32">
        <v>0</v>
      </c>
      <c r="CK82" s="32">
        <v>0.74342342611877466</v>
      </c>
      <c r="CL82" s="32"/>
      <c r="CM82" s="32">
        <v>0</v>
      </c>
      <c r="CN82" s="32"/>
      <c r="CO82" s="32">
        <v>0</v>
      </c>
      <c r="CP82" s="32">
        <v>0</v>
      </c>
      <c r="CQ82" s="32">
        <v>0</v>
      </c>
      <c r="CR82" s="32">
        <v>0</v>
      </c>
      <c r="CS82" s="32">
        <v>0</v>
      </c>
      <c r="CT82" s="32">
        <v>0</v>
      </c>
      <c r="CU82" s="32">
        <v>0</v>
      </c>
      <c r="CV82" s="32">
        <v>9999</v>
      </c>
      <c r="CW82" s="382">
        <v>9999</v>
      </c>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row>
    <row r="83" spans="1:131">
      <c r="A83" s="11" t="s">
        <v>672</v>
      </c>
      <c r="B83" s="11" t="s">
        <v>870</v>
      </c>
      <c r="C83" s="32">
        <v>11.627906976744185</v>
      </c>
      <c r="D83" s="32">
        <v>1459.85</v>
      </c>
      <c r="E83" s="32">
        <v>0</v>
      </c>
      <c r="F83" s="32">
        <v>486.0347316388702</v>
      </c>
      <c r="G83" s="32">
        <v>-28</v>
      </c>
      <c r="H83" s="32">
        <v>0</v>
      </c>
      <c r="I83" s="32" t="s">
        <v>525</v>
      </c>
      <c r="J83" s="32"/>
      <c r="K83" s="32"/>
      <c r="L83" s="32">
        <v>1565.101949723736</v>
      </c>
      <c r="M83" s="32">
        <v>0.36531788186439379</v>
      </c>
      <c r="N83" s="32">
        <v>0.36268118121755466</v>
      </c>
      <c r="O83" s="32">
        <v>0</v>
      </c>
      <c r="P83" s="32">
        <v>0</v>
      </c>
      <c r="Q83" s="32">
        <v>0</v>
      </c>
      <c r="R83" s="32">
        <v>96.921818184809098</v>
      </c>
      <c r="S83" s="32">
        <v>223.97158009976471</v>
      </c>
      <c r="T83" s="32">
        <v>0</v>
      </c>
      <c r="U83" s="32">
        <v>474.12430196689149</v>
      </c>
      <c r="V83" s="32" t="s">
        <v>610</v>
      </c>
      <c r="W83" s="32" t="s">
        <v>610</v>
      </c>
      <c r="X83" s="32" t="s">
        <v>610</v>
      </c>
      <c r="Y83" s="32" t="s">
        <v>610</v>
      </c>
      <c r="Z83" s="32">
        <v>0</v>
      </c>
      <c r="AA83" s="32">
        <v>0</v>
      </c>
      <c r="AB83" s="32">
        <v>0</v>
      </c>
      <c r="AC83" s="32">
        <v>-380.52913765909528</v>
      </c>
      <c r="AD83" s="32">
        <v>0</v>
      </c>
      <c r="AE83" s="32">
        <v>0</v>
      </c>
      <c r="AF83" s="32">
        <v>0</v>
      </c>
      <c r="AG83" s="32">
        <v>0</v>
      </c>
      <c r="AH83" s="32">
        <v>96.921818184809098</v>
      </c>
      <c r="AI83" s="32">
        <v>223.97158009976471</v>
      </c>
      <c r="AJ83" s="32">
        <v>0</v>
      </c>
      <c r="AK83" s="32">
        <v>93.59516430779621</v>
      </c>
      <c r="AL83" s="32">
        <v>414.48856259236999</v>
      </c>
      <c r="AM83" s="32">
        <v>750.16923123231277</v>
      </c>
      <c r="AN83" s="32">
        <v>129.08452008892601</v>
      </c>
      <c r="AO83" s="32">
        <v>0</v>
      </c>
      <c r="AP83" s="32">
        <v>0</v>
      </c>
      <c r="AQ83" s="32">
        <v>879.25375132123872</v>
      </c>
      <c r="AR83" s="32">
        <v>96.921818184809098</v>
      </c>
      <c r="AS83" s="382">
        <v>9.0717835033252321</v>
      </c>
      <c r="AT83" s="32">
        <v>750.16923123231277</v>
      </c>
      <c r="AU83" s="32">
        <v>152.79762396967291</v>
      </c>
      <c r="AV83" s="32">
        <v>0</v>
      </c>
      <c r="AW83" s="32">
        <v>0</v>
      </c>
      <c r="AX83" s="32">
        <v>902.96685520198571</v>
      </c>
      <c r="AY83" s="32">
        <v>223.97158009976471</v>
      </c>
      <c r="AZ83" s="382">
        <v>4.0316135413241847</v>
      </c>
      <c r="BA83" s="32">
        <v>750.16923123231277</v>
      </c>
      <c r="BB83" s="32">
        <v>281.8821440585989</v>
      </c>
      <c r="BC83" s="32">
        <v>0</v>
      </c>
      <c r="BD83" s="32">
        <v>0</v>
      </c>
      <c r="BE83" s="32">
        <v>1032.0513752909117</v>
      </c>
      <c r="BF83" s="32">
        <v>320.89339828457378</v>
      </c>
      <c r="BG83" s="32">
        <v>1.8340762842759475</v>
      </c>
      <c r="BH83" s="382">
        <v>3.2161813886107771</v>
      </c>
      <c r="BI83" s="32">
        <v>4.5566852870704242</v>
      </c>
      <c r="BJ83" s="32">
        <v>10.529806630499943</v>
      </c>
      <c r="BK83" s="32">
        <v>0</v>
      </c>
      <c r="BL83" s="32">
        <v>4.4002858812353374</v>
      </c>
      <c r="BM83" s="32">
        <v>19.486777798805701</v>
      </c>
      <c r="BN83" s="32">
        <v>750.16923123231277</v>
      </c>
      <c r="BO83" s="32">
        <v>0</v>
      </c>
      <c r="BP83" s="32">
        <v>281.8821440585989</v>
      </c>
      <c r="BQ83" s="32">
        <v>0</v>
      </c>
      <c r="BR83" s="32">
        <v>0</v>
      </c>
      <c r="BS83" s="32">
        <v>0</v>
      </c>
      <c r="BT83" s="32">
        <v>0</v>
      </c>
      <c r="BU83" s="32">
        <v>0</v>
      </c>
      <c r="BV83" s="32">
        <v>0</v>
      </c>
      <c r="BW83" s="32">
        <v>0</v>
      </c>
      <c r="BX83" s="32">
        <v>795.01770025146527</v>
      </c>
      <c r="BY83" s="32"/>
      <c r="BZ83" s="32">
        <v>-380.52913765909528</v>
      </c>
      <c r="CA83" s="32">
        <v>0</v>
      </c>
      <c r="CB83" s="32">
        <v>1032.0513752909117</v>
      </c>
      <c r="CC83" s="32">
        <v>414.48856259236999</v>
      </c>
      <c r="CD83" s="382">
        <v>1.7767912745882333</v>
      </c>
      <c r="CE83" s="32">
        <v>6.2343621655112882</v>
      </c>
      <c r="CF83" s="32">
        <v>14.868507915220775</v>
      </c>
      <c r="CG83" s="32">
        <v>0</v>
      </c>
      <c r="CH83" s="32">
        <v>14.868507915220775</v>
      </c>
      <c r="CI83" s="32">
        <v>0.74342342611877466</v>
      </c>
      <c r="CJ83" s="32">
        <v>0</v>
      </c>
      <c r="CK83" s="32">
        <v>0.74342342611877466</v>
      </c>
      <c r="CL83" s="32"/>
      <c r="CM83" s="32">
        <v>0</v>
      </c>
      <c r="CN83" s="32"/>
      <c r="CO83" s="32">
        <v>0</v>
      </c>
      <c r="CP83" s="32">
        <v>0</v>
      </c>
      <c r="CQ83" s="32">
        <v>0</v>
      </c>
      <c r="CR83" s="32">
        <v>0</v>
      </c>
      <c r="CS83" s="32">
        <v>0</v>
      </c>
      <c r="CT83" s="32">
        <v>0</v>
      </c>
      <c r="CU83" s="32">
        <v>0</v>
      </c>
      <c r="CV83" s="32">
        <v>9999</v>
      </c>
      <c r="CW83" s="382">
        <v>9999</v>
      </c>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row>
    <row r="84" spans="1:131">
      <c r="A84" s="11"/>
      <c r="B84" s="1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row>
    <row r="85" spans="1:131">
      <c r="A85" s="11"/>
      <c r="B85" s="11"/>
      <c r="C85" s="32"/>
      <c r="D85" s="32"/>
      <c r="E85" s="32"/>
      <c r="F85" s="32"/>
      <c r="G85" s="32"/>
      <c r="H85" s="32"/>
      <c r="I85" s="32"/>
      <c r="J85" s="32"/>
      <c r="K85" s="32"/>
      <c r="L85" s="32"/>
      <c r="M85" s="32"/>
      <c r="N85" s="32"/>
      <c r="O85" s="32"/>
      <c r="P85" s="32"/>
      <c r="Q85" s="32"/>
      <c r="R85" s="32"/>
      <c r="S85" s="32"/>
      <c r="T85" s="32"/>
      <c r="U85" s="32"/>
      <c r="V85" s="32"/>
      <c r="W85" s="32"/>
      <c r="X85" s="32"/>
      <c r="Y85" s="32"/>
      <c r="Z85" s="32"/>
      <c r="AA85" s="32"/>
      <c r="AB85" s="32"/>
      <c r="AC85" s="32"/>
      <c r="AD85" s="32"/>
      <c r="AE85" s="32"/>
      <c r="AF85" s="32"/>
      <c r="AG85" s="32"/>
      <c r="AH85" s="32"/>
      <c r="AI85" s="32"/>
      <c r="AJ85" s="32"/>
      <c r="AK85" s="32"/>
      <c r="AL85" s="32"/>
      <c r="AM85" s="32"/>
      <c r="AN85" s="32"/>
      <c r="AO85" s="32"/>
      <c r="AP85" s="32"/>
      <c r="AQ85" s="32"/>
      <c r="AR85" s="32"/>
      <c r="AS85" s="32"/>
      <c r="AT85" s="32"/>
      <c r="AU85" s="32"/>
      <c r="AV85" s="32"/>
      <c r="AW85" s="32"/>
      <c r="AX85" s="32"/>
      <c r="AY85" s="32"/>
      <c r="AZ85" s="32"/>
      <c r="BA85" s="32"/>
      <c r="BB85" s="32"/>
      <c r="BC85" s="32"/>
      <c r="BD85" s="32"/>
      <c r="BE85" s="32"/>
      <c r="BF85" s="32"/>
      <c r="BG85" s="32"/>
      <c r="BH85" s="32"/>
      <c r="BI85" s="32"/>
      <c r="BJ85" s="32"/>
      <c r="BK85" s="32"/>
      <c r="BL85" s="32"/>
      <c r="BM85" s="32"/>
      <c r="BN85" s="32"/>
      <c r="BO85" s="32"/>
      <c r="BP85" s="32"/>
      <c r="BQ85" s="32"/>
      <c r="BR85" s="32"/>
      <c r="BS85" s="32"/>
      <c r="BT85" s="32"/>
      <c r="BU85" s="32"/>
      <c r="BV85" s="32"/>
      <c r="BW85" s="32"/>
      <c r="BX85" s="32"/>
      <c r="BY85" s="32"/>
      <c r="BZ85" s="32"/>
      <c r="CA85" s="32"/>
      <c r="CB85" s="32"/>
      <c r="CC85" s="32"/>
      <c r="CD85" s="32"/>
      <c r="CE85" s="32"/>
      <c r="CF85" s="32"/>
      <c r="CG85" s="32"/>
      <c r="CH85" s="32"/>
      <c r="CI85" s="32"/>
      <c r="CJ85" s="32"/>
      <c r="CK85" s="32"/>
      <c r="CL85" s="32"/>
      <c r="CM85" s="32"/>
      <c r="CN85" s="32"/>
      <c r="CO85" s="32"/>
      <c r="CP85" s="32"/>
      <c r="CQ85" s="32"/>
      <c r="CR85" s="32"/>
      <c r="CS85" s="32"/>
      <c r="CT85" s="32"/>
      <c r="CU85" s="32"/>
      <c r="CV85" s="32"/>
      <c r="CW85" s="32"/>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row>
    <row r="86" spans="1:131" ht="13.5" thickBot="1">
      <c r="A86" s="367" t="s">
        <v>611</v>
      </c>
      <c r="B86" s="369"/>
      <c r="C86" s="32"/>
      <c r="D86" s="32"/>
      <c r="E86" s="32"/>
      <c r="F86" s="32"/>
      <c r="G86" s="32"/>
      <c r="H86" s="32"/>
      <c r="I86" s="32"/>
      <c r="J86" s="32"/>
      <c r="K86" s="32"/>
      <c r="L86" s="32"/>
      <c r="M86" s="32"/>
      <c r="N86" s="32"/>
      <c r="O86" s="32"/>
      <c r="P86" s="32"/>
      <c r="Q86" s="32"/>
      <c r="R86" s="32"/>
      <c r="S86" s="32"/>
      <c r="T86" s="32"/>
      <c r="U86" s="32"/>
      <c r="V86" s="32"/>
      <c r="W86" s="32"/>
      <c r="X86" s="32"/>
      <c r="Y86" s="32"/>
      <c r="Z86" s="32"/>
      <c r="AA86" s="32"/>
      <c r="AB86" s="32"/>
      <c r="AC86" s="32"/>
      <c r="AD86" s="32"/>
      <c r="AE86" s="32"/>
      <c r="AF86" s="32"/>
      <c r="AG86" s="32"/>
      <c r="AH86" s="32"/>
      <c r="AI86" s="32"/>
      <c r="AJ86" s="32"/>
      <c r="AK86" s="32"/>
      <c r="AL86" s="32"/>
      <c r="AM86" s="32"/>
      <c r="AN86" s="32"/>
      <c r="AO86" s="32"/>
      <c r="AP86" s="32"/>
      <c r="AQ86" s="32"/>
      <c r="AR86" s="32"/>
      <c r="AS86" s="32"/>
      <c r="AT86" s="32"/>
      <c r="AU86" s="32"/>
      <c r="AV86" s="32"/>
      <c r="AW86" s="32"/>
      <c r="AX86" s="32"/>
      <c r="AY86" s="32"/>
      <c r="AZ86" s="32"/>
      <c r="BA86" s="32"/>
      <c r="BB86" s="32"/>
      <c r="BC86" s="32"/>
      <c r="BD86" s="32"/>
      <c r="BE86" s="32"/>
      <c r="BF86" s="32"/>
      <c r="BG86" s="32"/>
      <c r="BH86" s="32"/>
      <c r="BI86" s="32"/>
      <c r="BJ86" s="32"/>
      <c r="BK86" s="32"/>
      <c r="BL86" s="32"/>
      <c r="BM86" s="32"/>
      <c r="BN86" s="32"/>
      <c r="BO86" s="32"/>
      <c r="BP86" s="32"/>
      <c r="BQ86" s="32"/>
      <c r="BR86" s="32"/>
      <c r="BS86" s="32"/>
      <c r="BT86" s="32"/>
      <c r="BU86" s="32"/>
      <c r="BV86" s="32"/>
      <c r="BW86" s="32"/>
      <c r="BX86" s="32"/>
      <c r="BY86" s="32"/>
      <c r="BZ86" s="32"/>
      <c r="CA86" s="32"/>
      <c r="CB86" s="32"/>
      <c r="CC86" s="32"/>
      <c r="CD86" s="32"/>
      <c r="CE86" s="32"/>
      <c r="CF86" s="32"/>
      <c r="CG86" s="32"/>
      <c r="CH86" s="32"/>
      <c r="CI86" s="32"/>
      <c r="CJ86" s="32"/>
      <c r="CK86" s="32"/>
      <c r="CL86" s="32"/>
      <c r="CM86" s="32"/>
      <c r="CN86" s="32"/>
      <c r="CO86" s="32"/>
      <c r="CP86" s="32"/>
      <c r="CQ86" s="32"/>
      <c r="CR86" s="32"/>
      <c r="CS86" s="32"/>
      <c r="CT86" s="32"/>
      <c r="CU86" s="32"/>
      <c r="CV86" s="32"/>
      <c r="CW86" s="32"/>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row>
    <row r="87" spans="1:131" ht="26.25" thickBot="1">
      <c r="A87" s="372" t="s">
        <v>291</v>
      </c>
      <c r="B87" s="373"/>
      <c r="C87" s="374" t="s">
        <v>292</v>
      </c>
      <c r="D87" s="375"/>
      <c r="E87" s="375"/>
      <c r="F87" s="375"/>
      <c r="G87" s="375"/>
      <c r="H87" s="375"/>
      <c r="I87" s="375"/>
      <c r="J87" s="375"/>
      <c r="K87" s="376"/>
      <c r="L87" s="374" t="s">
        <v>102</v>
      </c>
      <c r="M87" s="375"/>
      <c r="N87" s="375"/>
      <c r="O87" s="375"/>
      <c r="P87" s="375"/>
      <c r="Q87" s="376"/>
      <c r="R87" s="374" t="s">
        <v>293</v>
      </c>
      <c r="S87" s="375"/>
      <c r="T87" s="375"/>
      <c r="U87" s="376"/>
      <c r="V87" s="374" t="s">
        <v>294</v>
      </c>
      <c r="W87" s="375"/>
      <c r="X87" s="375"/>
      <c r="Y87" s="376"/>
      <c r="Z87" s="374" t="s">
        <v>295</v>
      </c>
      <c r="AA87" s="375"/>
      <c r="AB87" s="375"/>
      <c r="AC87" s="376"/>
      <c r="AD87" s="374" t="s">
        <v>296</v>
      </c>
      <c r="AE87" s="375"/>
      <c r="AF87" s="375"/>
      <c r="AG87" s="376"/>
      <c r="AH87" s="374" t="s">
        <v>297</v>
      </c>
      <c r="AI87" s="375"/>
      <c r="AJ87" s="375"/>
      <c r="AK87" s="375"/>
      <c r="AL87" s="376"/>
      <c r="AM87" s="374" t="s">
        <v>298</v>
      </c>
      <c r="AN87" s="375"/>
      <c r="AO87" s="375"/>
      <c r="AP87" s="375"/>
      <c r="AQ87" s="375"/>
      <c r="AR87" s="375"/>
      <c r="AS87" s="376"/>
      <c r="AT87" s="374" t="s">
        <v>299</v>
      </c>
      <c r="AU87" s="375"/>
      <c r="AV87" s="375"/>
      <c r="AW87" s="375"/>
      <c r="AX87" s="375"/>
      <c r="AY87" s="375"/>
      <c r="AZ87" s="376"/>
      <c r="BA87" s="374" t="s">
        <v>300</v>
      </c>
      <c r="BB87" s="375"/>
      <c r="BC87" s="375"/>
      <c r="BD87" s="375"/>
      <c r="BE87" s="375"/>
      <c r="BF87" s="376"/>
      <c r="BG87" s="374" t="s">
        <v>301</v>
      </c>
      <c r="BH87" s="376"/>
      <c r="BI87" s="374" t="s">
        <v>302</v>
      </c>
      <c r="BJ87" s="375"/>
      <c r="BK87" s="375"/>
      <c r="BL87" s="375"/>
      <c r="BM87" s="376"/>
      <c r="BN87" s="374" t="s">
        <v>303</v>
      </c>
      <c r="BO87" s="375"/>
      <c r="BP87" s="375"/>
      <c r="BQ87" s="375"/>
      <c r="BR87" s="375"/>
      <c r="BS87" s="375"/>
      <c r="BT87" s="375"/>
      <c r="BU87" s="375"/>
      <c r="BV87" s="375"/>
      <c r="BW87" s="375"/>
      <c r="BX87" s="375"/>
      <c r="BY87" s="375"/>
      <c r="BZ87" s="375"/>
      <c r="CA87" s="375"/>
      <c r="CB87" s="375"/>
      <c r="CC87" s="376"/>
      <c r="CD87" s="374" t="s">
        <v>304</v>
      </c>
      <c r="CE87" s="376"/>
      <c r="CF87" s="374" t="s">
        <v>305</v>
      </c>
      <c r="CG87" s="375"/>
      <c r="CH87" s="375"/>
      <c r="CI87" s="375"/>
      <c r="CJ87" s="375"/>
      <c r="CK87" s="376"/>
      <c r="CL87" s="377"/>
      <c r="CM87" s="374" t="s">
        <v>15</v>
      </c>
      <c r="CN87" s="375"/>
      <c r="CO87" s="375"/>
      <c r="CP87" s="376"/>
      <c r="CQ87" s="374" t="s">
        <v>306</v>
      </c>
      <c r="CR87" s="375"/>
      <c r="CS87" s="375"/>
      <c r="CT87" s="375"/>
      <c r="CU87" s="376"/>
      <c r="CV87" s="374" t="s">
        <v>307</v>
      </c>
      <c r="CW87" s="376"/>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row>
    <row r="88" spans="1:131" ht="127.5">
      <c r="A88" s="378" t="s">
        <v>308</v>
      </c>
      <c r="B88" s="379" t="s">
        <v>309</v>
      </c>
      <c r="C88" s="380" t="s">
        <v>8</v>
      </c>
      <c r="D88" s="380" t="s">
        <v>310</v>
      </c>
      <c r="E88" s="380" t="s">
        <v>311</v>
      </c>
      <c r="F88" s="380" t="s">
        <v>312</v>
      </c>
      <c r="G88" s="380" t="s">
        <v>313</v>
      </c>
      <c r="H88" s="380" t="s">
        <v>314</v>
      </c>
      <c r="I88" s="380" t="s">
        <v>315</v>
      </c>
      <c r="J88" s="380" t="s">
        <v>316</v>
      </c>
      <c r="K88" s="380" t="s">
        <v>317</v>
      </c>
      <c r="L88" s="380" t="s">
        <v>318</v>
      </c>
      <c r="M88" s="380" t="s">
        <v>319</v>
      </c>
      <c r="N88" s="380" t="s">
        <v>320</v>
      </c>
      <c r="O88" s="380" t="s">
        <v>321</v>
      </c>
      <c r="P88" s="380" t="s">
        <v>322</v>
      </c>
      <c r="Q88" s="380" t="s">
        <v>323</v>
      </c>
      <c r="R88" s="380" t="s">
        <v>324</v>
      </c>
      <c r="S88" s="380" t="s">
        <v>325</v>
      </c>
      <c r="T88" s="380" t="s">
        <v>326</v>
      </c>
      <c r="U88" s="380" t="s">
        <v>327</v>
      </c>
      <c r="V88" s="380" t="s">
        <v>324</v>
      </c>
      <c r="W88" s="380" t="s">
        <v>325</v>
      </c>
      <c r="X88" s="380" t="s">
        <v>326</v>
      </c>
      <c r="Y88" s="380" t="s">
        <v>327</v>
      </c>
      <c r="Z88" s="380" t="s">
        <v>324</v>
      </c>
      <c r="AA88" s="380" t="s">
        <v>325</v>
      </c>
      <c r="AB88" s="380" t="s">
        <v>326</v>
      </c>
      <c r="AC88" s="380" t="s">
        <v>327</v>
      </c>
      <c r="AD88" s="380" t="s">
        <v>324</v>
      </c>
      <c r="AE88" s="380" t="s">
        <v>325</v>
      </c>
      <c r="AF88" s="380" t="s">
        <v>326</v>
      </c>
      <c r="AG88" s="380" t="s">
        <v>327</v>
      </c>
      <c r="AH88" s="380" t="s">
        <v>324</v>
      </c>
      <c r="AI88" s="380" t="s">
        <v>325</v>
      </c>
      <c r="AJ88" s="380" t="s">
        <v>326</v>
      </c>
      <c r="AK88" s="380" t="s">
        <v>327</v>
      </c>
      <c r="AL88" s="380" t="s">
        <v>156</v>
      </c>
      <c r="AM88" s="380" t="s">
        <v>328</v>
      </c>
      <c r="AN88" s="380" t="s">
        <v>329</v>
      </c>
      <c r="AO88" s="380" t="s">
        <v>330</v>
      </c>
      <c r="AP88" s="380" t="s">
        <v>331</v>
      </c>
      <c r="AQ88" s="380" t="s">
        <v>332</v>
      </c>
      <c r="AR88" s="380" t="s">
        <v>333</v>
      </c>
      <c r="AS88" s="380" t="s">
        <v>334</v>
      </c>
      <c r="AT88" s="380" t="s">
        <v>335</v>
      </c>
      <c r="AU88" s="380" t="s">
        <v>336</v>
      </c>
      <c r="AV88" s="380" t="s">
        <v>337</v>
      </c>
      <c r="AW88" s="380" t="s">
        <v>338</v>
      </c>
      <c r="AX88" s="380" t="s">
        <v>339</v>
      </c>
      <c r="AY88" s="380" t="s">
        <v>340</v>
      </c>
      <c r="AZ88" s="380" t="s">
        <v>341</v>
      </c>
      <c r="BA88" s="380" t="s">
        <v>342</v>
      </c>
      <c r="BB88" s="380" t="s">
        <v>343</v>
      </c>
      <c r="BC88" s="380" t="s">
        <v>344</v>
      </c>
      <c r="BD88" s="380" t="s">
        <v>345</v>
      </c>
      <c r="BE88" s="380" t="s">
        <v>346</v>
      </c>
      <c r="BF88" s="380" t="s">
        <v>347</v>
      </c>
      <c r="BG88" s="380" t="s">
        <v>348</v>
      </c>
      <c r="BH88" s="380" t="s">
        <v>349</v>
      </c>
      <c r="BI88" s="380" t="s">
        <v>350</v>
      </c>
      <c r="BJ88" s="380" t="s">
        <v>351</v>
      </c>
      <c r="BK88" s="380" t="s">
        <v>352</v>
      </c>
      <c r="BL88" s="380" t="s">
        <v>353</v>
      </c>
      <c r="BM88" s="380" t="s">
        <v>354</v>
      </c>
      <c r="BN88" s="380" t="s">
        <v>355</v>
      </c>
      <c r="BO88" s="380" t="s">
        <v>356</v>
      </c>
      <c r="BP88" s="380" t="s">
        <v>357</v>
      </c>
      <c r="BQ88" s="380" t="s">
        <v>358</v>
      </c>
      <c r="BR88" s="380" t="s">
        <v>359</v>
      </c>
      <c r="BS88" s="380" t="s">
        <v>360</v>
      </c>
      <c r="BT88" s="380" t="s">
        <v>361</v>
      </c>
      <c r="BU88" s="380" t="s">
        <v>362</v>
      </c>
      <c r="BV88" s="380" t="s">
        <v>363</v>
      </c>
      <c r="BW88" s="380" t="s">
        <v>364</v>
      </c>
      <c r="BX88" s="380" t="s">
        <v>365</v>
      </c>
      <c r="BY88" s="380" t="s">
        <v>366</v>
      </c>
      <c r="BZ88" s="380" t="s">
        <v>367</v>
      </c>
      <c r="CA88" s="380" t="s">
        <v>368</v>
      </c>
      <c r="CB88" s="380" t="s">
        <v>369</v>
      </c>
      <c r="CC88" s="380" t="s">
        <v>370</v>
      </c>
      <c r="CD88" s="380" t="s">
        <v>371</v>
      </c>
      <c r="CE88" s="380" t="s">
        <v>372</v>
      </c>
      <c r="CF88" s="380" t="s">
        <v>373</v>
      </c>
      <c r="CG88" s="380" t="s">
        <v>374</v>
      </c>
      <c r="CH88" s="380" t="s">
        <v>375</v>
      </c>
      <c r="CI88" s="380" t="s">
        <v>607</v>
      </c>
      <c r="CJ88" s="380" t="s">
        <v>608</v>
      </c>
      <c r="CK88" s="380" t="s">
        <v>609</v>
      </c>
      <c r="CL88" s="380"/>
      <c r="CM88" s="380" t="s">
        <v>376</v>
      </c>
      <c r="CN88" s="380" t="s">
        <v>377</v>
      </c>
      <c r="CO88" s="380" t="s">
        <v>378</v>
      </c>
      <c r="CP88" s="380" t="s">
        <v>379</v>
      </c>
      <c r="CQ88" s="380" t="s">
        <v>380</v>
      </c>
      <c r="CR88" s="380" t="s">
        <v>381</v>
      </c>
      <c r="CS88" s="380" t="s">
        <v>382</v>
      </c>
      <c r="CT88" s="380" t="s">
        <v>383</v>
      </c>
      <c r="CU88" s="380" t="s">
        <v>384</v>
      </c>
      <c r="CV88" s="380" t="s">
        <v>385</v>
      </c>
      <c r="CW88" s="380" t="s">
        <v>386</v>
      </c>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row>
    <row r="89" spans="1:131">
      <c r="A89" s="11" t="s">
        <v>663</v>
      </c>
      <c r="B89" s="11"/>
      <c r="C89" s="32">
        <v>11.627906976744187</v>
      </c>
      <c r="D89" s="32">
        <v>305.29999999999995</v>
      </c>
      <c r="E89" s="32">
        <v>0</v>
      </c>
      <c r="F89" s="32">
        <v>-8.5918959509302795</v>
      </c>
      <c r="G89" s="32">
        <v>-28</v>
      </c>
      <c r="H89" s="32">
        <v>-74.440657764732151</v>
      </c>
      <c r="I89" s="32"/>
      <c r="J89" s="32"/>
      <c r="K89" s="32"/>
      <c r="L89" s="32">
        <v>327.31145340319665</v>
      </c>
      <c r="M89" s="32">
        <v>7.6399321391375424E-2</v>
      </c>
      <c r="N89" s="32">
        <v>7.5847905350357528E-2</v>
      </c>
      <c r="O89" s="32">
        <v>0</v>
      </c>
      <c r="P89" s="32">
        <v>0</v>
      </c>
      <c r="Q89" s="32">
        <v>0</v>
      </c>
      <c r="R89" s="32">
        <v>-1.713338827476222</v>
      </c>
      <c r="S89" s="32">
        <v>-3.9592654329329573</v>
      </c>
      <c r="T89" s="32">
        <v>0</v>
      </c>
      <c r="U89" s="32">
        <v>-8.3813489142453612</v>
      </c>
      <c r="V89" s="32">
        <v>-0.51551375705581681</v>
      </c>
      <c r="W89" s="32">
        <v>-1.2028654331302391</v>
      </c>
      <c r="X89" s="32">
        <v>0</v>
      </c>
      <c r="Y89" s="32">
        <v>0</v>
      </c>
      <c r="Z89" s="32">
        <v>0</v>
      </c>
      <c r="AA89" s="32">
        <v>0</v>
      </c>
      <c r="AB89" s="32">
        <v>0</v>
      </c>
      <c r="AC89" s="32">
        <v>-380.52913765909528</v>
      </c>
      <c r="AD89" s="32">
        <v>0</v>
      </c>
      <c r="AE89" s="32">
        <v>0</v>
      </c>
      <c r="AF89" s="32">
        <v>0</v>
      </c>
      <c r="AG89" s="32">
        <v>-74.440657764732151</v>
      </c>
      <c r="AH89" s="32">
        <v>-2.2288525845320386</v>
      </c>
      <c r="AI89" s="32">
        <v>-5.1621308660631966</v>
      </c>
      <c r="AJ89" s="32">
        <v>0</v>
      </c>
      <c r="AK89" s="32">
        <v>-463.3511443380728</v>
      </c>
      <c r="AL89" s="32">
        <v>-470.74212778866803</v>
      </c>
      <c r="AM89" s="32">
        <v>156.88369784239811</v>
      </c>
      <c r="AN89" s="32">
        <v>26.995584466314426</v>
      </c>
      <c r="AO89" s="32">
        <v>0</v>
      </c>
      <c r="AP89" s="32">
        <v>0</v>
      </c>
      <c r="AQ89" s="32">
        <v>183.87928230871253</v>
      </c>
      <c r="AR89" s="32">
        <v>-2.2288525845320386</v>
      </c>
      <c r="AS89" s="382">
        <v>9999</v>
      </c>
      <c r="AT89" s="32">
        <v>156.88369784239811</v>
      </c>
      <c r="AU89" s="32">
        <v>31.954731375100945</v>
      </c>
      <c r="AV89" s="32">
        <v>0</v>
      </c>
      <c r="AW89" s="32">
        <v>0</v>
      </c>
      <c r="AX89" s="32">
        <v>188.83842921749905</v>
      </c>
      <c r="AY89" s="32">
        <v>-5.1621308660631966</v>
      </c>
      <c r="AZ89" s="382">
        <v>9999</v>
      </c>
      <c r="BA89" s="32">
        <v>156.88369784239811</v>
      </c>
      <c r="BB89" s="32">
        <v>58.950315841415375</v>
      </c>
      <c r="BC89" s="32">
        <v>0</v>
      </c>
      <c r="BD89" s="32">
        <v>0</v>
      </c>
      <c r="BE89" s="32">
        <v>215.83401368381348</v>
      </c>
      <c r="BF89" s="32">
        <v>-7.3909834505952352</v>
      </c>
      <c r="BG89" s="32">
        <v>-14.913956936814882</v>
      </c>
      <c r="BH89" s="382">
        <v>9999</v>
      </c>
      <c r="BI89" s="32">
        <v>-0.50106060356014992</v>
      </c>
      <c r="BJ89" s="32">
        <v>-1.1604806999603181</v>
      </c>
      <c r="BK89" s="32">
        <v>0</v>
      </c>
      <c r="BL89" s="32">
        <v>-104.16436046669537</v>
      </c>
      <c r="BM89" s="32">
        <v>-105.82590177021584</v>
      </c>
      <c r="BN89" s="32">
        <v>156.88369784239811</v>
      </c>
      <c r="BO89" s="32">
        <v>0</v>
      </c>
      <c r="BP89" s="32">
        <v>58.950315841415375</v>
      </c>
      <c r="BQ89" s="32">
        <v>0</v>
      </c>
      <c r="BR89" s="32">
        <v>0</v>
      </c>
      <c r="BS89" s="32">
        <v>0</v>
      </c>
      <c r="BT89" s="32">
        <v>0</v>
      </c>
      <c r="BU89" s="32">
        <v>0</v>
      </c>
      <c r="BV89" s="32">
        <v>0</v>
      </c>
      <c r="BW89" s="32">
        <v>0</v>
      </c>
      <c r="BX89" s="32">
        <v>-14.053953174654541</v>
      </c>
      <c r="BY89" s="32">
        <v>-1.7183791901860559</v>
      </c>
      <c r="BZ89" s="32">
        <v>-380.52913765909528</v>
      </c>
      <c r="CA89" s="32">
        <v>-74.440657764732151</v>
      </c>
      <c r="CB89" s="32">
        <v>215.83401368381348</v>
      </c>
      <c r="CC89" s="32">
        <v>-470.74212778866809</v>
      </c>
      <c r="CD89" s="382">
        <v>9999</v>
      </c>
      <c r="CE89" s="32">
        <v>-119.07831740351027</v>
      </c>
      <c r="CF89" s="32">
        <v>3.109467045598445</v>
      </c>
      <c r="CG89" s="32">
        <v>0</v>
      </c>
      <c r="CH89" s="32">
        <v>3.109467045598445</v>
      </c>
      <c r="CI89" s="32">
        <v>0.15547294036651843</v>
      </c>
      <c r="CJ89" s="32">
        <v>0</v>
      </c>
      <c r="CK89" s="32">
        <v>0.15547294036651843</v>
      </c>
      <c r="CL89" s="32"/>
      <c r="CM89" s="32">
        <v>0</v>
      </c>
      <c r="CN89" s="32"/>
      <c r="CO89" s="32">
        <v>0</v>
      </c>
      <c r="CP89" s="32">
        <v>0</v>
      </c>
      <c r="CQ89" s="32">
        <v>0</v>
      </c>
      <c r="CR89" s="32">
        <v>0</v>
      </c>
      <c r="CS89" s="32">
        <v>0</v>
      </c>
      <c r="CT89" s="32">
        <v>0</v>
      </c>
      <c r="CU89" s="32">
        <v>0</v>
      </c>
      <c r="CV89" s="32">
        <v>9999</v>
      </c>
      <c r="CW89" s="382">
        <v>9999</v>
      </c>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row>
    <row r="90" spans="1:131">
      <c r="A90" s="11" t="s">
        <v>665</v>
      </c>
      <c r="B90" s="11"/>
      <c r="C90" s="32">
        <v>11.627906976744185</v>
      </c>
      <c r="D90" s="32">
        <v>666.5</v>
      </c>
      <c r="E90" s="32">
        <v>0</v>
      </c>
      <c r="F90" s="32">
        <v>2.0115772129567233</v>
      </c>
      <c r="G90" s="32">
        <v>-28</v>
      </c>
      <c r="H90" s="32">
        <v>-77.340943132189253</v>
      </c>
      <c r="I90" s="32"/>
      <c r="J90" s="32"/>
      <c r="K90" s="32"/>
      <c r="L90" s="32">
        <v>714.55317292247162</v>
      </c>
      <c r="M90" s="32">
        <v>0.16678725092483371</v>
      </c>
      <c r="N90" s="32">
        <v>0.16558345534232982</v>
      </c>
      <c r="O90" s="32">
        <v>0</v>
      </c>
      <c r="P90" s="32">
        <v>0</v>
      </c>
      <c r="Q90" s="32">
        <v>0</v>
      </c>
      <c r="R90" s="32">
        <v>0.40113536792213955</v>
      </c>
      <c r="S90" s="32">
        <v>0.92696282292301724</v>
      </c>
      <c r="T90" s="32">
        <v>0</v>
      </c>
      <c r="U90" s="32">
        <v>1.962282898445723</v>
      </c>
      <c r="V90" s="32">
        <v>0.1206946327774034</v>
      </c>
      <c r="W90" s="32">
        <v>0.28162080981394128</v>
      </c>
      <c r="X90" s="32">
        <v>0</v>
      </c>
      <c r="Y90" s="32">
        <v>0</v>
      </c>
      <c r="Z90" s="32">
        <v>0</v>
      </c>
      <c r="AA90" s="32">
        <v>0</v>
      </c>
      <c r="AB90" s="32">
        <v>0</v>
      </c>
      <c r="AC90" s="32">
        <v>-380.52913765909528</v>
      </c>
      <c r="AD90" s="32">
        <v>0</v>
      </c>
      <c r="AE90" s="32">
        <v>0</v>
      </c>
      <c r="AF90" s="32">
        <v>0</v>
      </c>
      <c r="AG90" s="32">
        <v>-77.340943132189253</v>
      </c>
      <c r="AH90" s="32">
        <v>0.521830000699543</v>
      </c>
      <c r="AI90" s="32">
        <v>1.2085836327369586</v>
      </c>
      <c r="AJ90" s="32">
        <v>0</v>
      </c>
      <c r="AK90" s="32">
        <v>-455.9077978928388</v>
      </c>
      <c r="AL90" s="32">
        <v>-454.17738425940229</v>
      </c>
      <c r="AM90" s="32">
        <v>342.49257979678458</v>
      </c>
      <c r="AN90" s="32">
        <v>58.93402242646107</v>
      </c>
      <c r="AO90" s="32">
        <v>0</v>
      </c>
      <c r="AP90" s="32">
        <v>0</v>
      </c>
      <c r="AQ90" s="32">
        <v>401.42660222324565</v>
      </c>
      <c r="AR90" s="32">
        <v>0.521830000699543</v>
      </c>
      <c r="AS90" s="382">
        <v>769.26700589293512</v>
      </c>
      <c r="AT90" s="32">
        <v>342.49257979678458</v>
      </c>
      <c r="AU90" s="32">
        <v>69.760329058318973</v>
      </c>
      <c r="AV90" s="32">
        <v>0</v>
      </c>
      <c r="AW90" s="32">
        <v>0</v>
      </c>
      <c r="AX90" s="32">
        <v>412.25290885510356</v>
      </c>
      <c r="AY90" s="32">
        <v>1.2085836327369586</v>
      </c>
      <c r="AZ90" s="382">
        <v>341.10416332671622</v>
      </c>
      <c r="BA90" s="32">
        <v>342.49257979678458</v>
      </c>
      <c r="BB90" s="32">
        <v>128.69435148478004</v>
      </c>
      <c r="BC90" s="32">
        <v>0</v>
      </c>
      <c r="BD90" s="32">
        <v>0</v>
      </c>
      <c r="BE90" s="32">
        <v>471.18693128156463</v>
      </c>
      <c r="BF90" s="32">
        <v>1.7304136334365015</v>
      </c>
      <c r="BG90" s="32">
        <v>-13.074224745945859</v>
      </c>
      <c r="BH90" s="382">
        <v>272.29728324886958</v>
      </c>
      <c r="BI90" s="32">
        <v>5.373590976920628E-2</v>
      </c>
      <c r="BJ90" s="32">
        <v>0.12445497757934795</v>
      </c>
      <c r="BK90" s="32">
        <v>0</v>
      </c>
      <c r="BL90" s="32">
        <v>-46.947512135763205</v>
      </c>
      <c r="BM90" s="32">
        <v>-46.769321248414656</v>
      </c>
      <c r="BN90" s="32">
        <v>342.49257979678458</v>
      </c>
      <c r="BO90" s="32">
        <v>0</v>
      </c>
      <c r="BP90" s="32">
        <v>128.69435148478004</v>
      </c>
      <c r="BQ90" s="32">
        <v>0</v>
      </c>
      <c r="BR90" s="32">
        <v>0</v>
      </c>
      <c r="BS90" s="32">
        <v>0</v>
      </c>
      <c r="BT90" s="32">
        <v>0</v>
      </c>
      <c r="BU90" s="32">
        <v>0</v>
      </c>
      <c r="BV90" s="32">
        <v>0</v>
      </c>
      <c r="BW90" s="32">
        <v>0</v>
      </c>
      <c r="BX90" s="32">
        <v>3.2903810892908796</v>
      </c>
      <c r="BY90" s="32">
        <v>0.40231544259134466</v>
      </c>
      <c r="BZ90" s="32">
        <v>-380.52913765909528</v>
      </c>
      <c r="CA90" s="32">
        <v>-77.340943132189253</v>
      </c>
      <c r="CB90" s="32">
        <v>471.18693128156463</v>
      </c>
      <c r="CC90" s="32">
        <v>-454.17738425940229</v>
      </c>
      <c r="CD90" s="382">
        <v>251.59311198510389</v>
      </c>
      <c r="CE90" s="32">
        <v>-60.021736881709074</v>
      </c>
      <c r="CF90" s="32">
        <v>6.788273127714926</v>
      </c>
      <c r="CG90" s="32">
        <v>0</v>
      </c>
      <c r="CH90" s="32">
        <v>6.788273127714926</v>
      </c>
      <c r="CI90" s="32">
        <v>0.33941275713817404</v>
      </c>
      <c r="CJ90" s="32">
        <v>0</v>
      </c>
      <c r="CK90" s="32">
        <v>0.33941275713817404</v>
      </c>
      <c r="CL90" s="32"/>
      <c r="CM90" s="32">
        <v>0</v>
      </c>
      <c r="CN90" s="32"/>
      <c r="CO90" s="32">
        <v>0</v>
      </c>
      <c r="CP90" s="32">
        <v>0</v>
      </c>
      <c r="CQ90" s="32">
        <v>0</v>
      </c>
      <c r="CR90" s="32">
        <v>0</v>
      </c>
      <c r="CS90" s="32">
        <v>0</v>
      </c>
      <c r="CT90" s="32">
        <v>0</v>
      </c>
      <c r="CU90" s="32">
        <v>0</v>
      </c>
      <c r="CV90" s="32">
        <v>9999</v>
      </c>
      <c r="CW90" s="382">
        <v>9999</v>
      </c>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row>
    <row r="91" spans="1:131">
      <c r="A91" s="11" t="s">
        <v>664</v>
      </c>
      <c r="B91" s="11"/>
      <c r="C91" s="32">
        <v>11.627906976744185</v>
      </c>
      <c r="D91" s="32">
        <v>395.6</v>
      </c>
      <c r="E91" s="32">
        <v>0</v>
      </c>
      <c r="F91" s="32">
        <v>2.0115772129567233</v>
      </c>
      <c r="G91" s="32">
        <v>-28</v>
      </c>
      <c r="H91" s="32">
        <v>-77.340943132189253</v>
      </c>
      <c r="I91" s="32"/>
      <c r="J91" s="32"/>
      <c r="K91" s="32"/>
      <c r="L91" s="32">
        <v>424.12188328301545</v>
      </c>
      <c r="M91" s="32">
        <v>9.8996303774740002E-2</v>
      </c>
      <c r="N91" s="32">
        <v>9.8281792848350619E-2</v>
      </c>
      <c r="O91" s="32">
        <v>0</v>
      </c>
      <c r="P91" s="32">
        <v>0</v>
      </c>
      <c r="Q91" s="32">
        <v>0</v>
      </c>
      <c r="R91" s="32">
        <v>0.40113536792213955</v>
      </c>
      <c r="S91" s="32">
        <v>0.92696282292301724</v>
      </c>
      <c r="T91" s="32">
        <v>0</v>
      </c>
      <c r="U91" s="32">
        <v>1.962282898445723</v>
      </c>
      <c r="V91" s="32">
        <v>0.1206946327774034</v>
      </c>
      <c r="W91" s="32">
        <v>0.28162080981394128</v>
      </c>
      <c r="X91" s="32">
        <v>0</v>
      </c>
      <c r="Y91" s="32">
        <v>0</v>
      </c>
      <c r="Z91" s="32">
        <v>0</v>
      </c>
      <c r="AA91" s="32">
        <v>0</v>
      </c>
      <c r="AB91" s="32">
        <v>0</v>
      </c>
      <c r="AC91" s="32">
        <v>-380.52913765909528</v>
      </c>
      <c r="AD91" s="32">
        <v>0</v>
      </c>
      <c r="AE91" s="32">
        <v>0</v>
      </c>
      <c r="AF91" s="32">
        <v>0</v>
      </c>
      <c r="AG91" s="32">
        <v>-77.340943132189253</v>
      </c>
      <c r="AH91" s="32">
        <v>0.521830000699543</v>
      </c>
      <c r="AI91" s="32">
        <v>1.2085836327369586</v>
      </c>
      <c r="AJ91" s="32">
        <v>0</v>
      </c>
      <c r="AK91" s="32">
        <v>-455.9077978928388</v>
      </c>
      <c r="AL91" s="32">
        <v>-454.17738425940229</v>
      </c>
      <c r="AM91" s="32">
        <v>203.28591833099458</v>
      </c>
      <c r="AN91" s="32">
        <v>34.980193956351101</v>
      </c>
      <c r="AO91" s="32">
        <v>0</v>
      </c>
      <c r="AP91" s="32">
        <v>0</v>
      </c>
      <c r="AQ91" s="32">
        <v>238.26611228734566</v>
      </c>
      <c r="AR91" s="32">
        <v>0.521830000699543</v>
      </c>
      <c r="AS91" s="382">
        <v>456.59719059451601</v>
      </c>
      <c r="AT91" s="32">
        <v>203.28591833099458</v>
      </c>
      <c r="AU91" s="32">
        <v>41.406130795905469</v>
      </c>
      <c r="AV91" s="32">
        <v>0</v>
      </c>
      <c r="AW91" s="32">
        <v>0</v>
      </c>
      <c r="AX91" s="32">
        <v>244.69204912690003</v>
      </c>
      <c r="AY91" s="32">
        <v>1.2085836327369586</v>
      </c>
      <c r="AZ91" s="382">
        <v>202.46182597456695</v>
      </c>
      <c r="BA91" s="32">
        <v>203.28591833099458</v>
      </c>
      <c r="BB91" s="32">
        <v>76.38632475225657</v>
      </c>
      <c r="BC91" s="32">
        <v>0</v>
      </c>
      <c r="BD91" s="32">
        <v>0</v>
      </c>
      <c r="BE91" s="32">
        <v>279.67224308325115</v>
      </c>
      <c r="BF91" s="32">
        <v>1.7304136334365015</v>
      </c>
      <c r="BG91" s="32">
        <v>-12.952202725261527</v>
      </c>
      <c r="BH91" s="382">
        <v>161.62161328319993</v>
      </c>
      <c r="BI91" s="32">
        <v>9.0533326241597531E-2</v>
      </c>
      <c r="BJ91" s="32">
        <v>0.20967958179129273</v>
      </c>
      <c r="BK91" s="32">
        <v>0</v>
      </c>
      <c r="BL91" s="32">
        <v>-79.096351967861921</v>
      </c>
      <c r="BM91" s="32">
        <v>-78.796139059829031</v>
      </c>
      <c r="BN91" s="32">
        <v>203.28591833099458</v>
      </c>
      <c r="BO91" s="32">
        <v>0</v>
      </c>
      <c r="BP91" s="32">
        <v>76.38632475225657</v>
      </c>
      <c r="BQ91" s="32">
        <v>0</v>
      </c>
      <c r="BR91" s="32">
        <v>0</v>
      </c>
      <c r="BS91" s="32">
        <v>0</v>
      </c>
      <c r="BT91" s="32">
        <v>0</v>
      </c>
      <c r="BU91" s="32">
        <v>0</v>
      </c>
      <c r="BV91" s="32">
        <v>0</v>
      </c>
      <c r="BW91" s="32">
        <v>0</v>
      </c>
      <c r="BX91" s="32">
        <v>3.2903810892908796</v>
      </c>
      <c r="BY91" s="32">
        <v>0.40231544259134466</v>
      </c>
      <c r="BZ91" s="32">
        <v>-380.52913765909528</v>
      </c>
      <c r="CA91" s="32">
        <v>-77.340943132189253</v>
      </c>
      <c r="CB91" s="32">
        <v>279.67224308325115</v>
      </c>
      <c r="CC91" s="32">
        <v>-454.17738425940229</v>
      </c>
      <c r="CD91" s="382">
        <v>199.73001233832747</v>
      </c>
      <c r="CE91" s="32">
        <v>-92.048554693123435</v>
      </c>
      <c r="CF91" s="32">
        <v>4.0291685661275602</v>
      </c>
      <c r="CG91" s="32">
        <v>0</v>
      </c>
      <c r="CH91" s="32">
        <v>4.0291685661275602</v>
      </c>
      <c r="CI91" s="32">
        <v>0.20145789455943236</v>
      </c>
      <c r="CJ91" s="32">
        <v>0</v>
      </c>
      <c r="CK91" s="32">
        <v>0.20145789455943236</v>
      </c>
      <c r="CL91" s="32"/>
      <c r="CM91" s="32">
        <v>0</v>
      </c>
      <c r="CN91" s="32"/>
      <c r="CO91" s="32">
        <v>0</v>
      </c>
      <c r="CP91" s="32">
        <v>0</v>
      </c>
      <c r="CQ91" s="32">
        <v>0</v>
      </c>
      <c r="CR91" s="32">
        <v>0</v>
      </c>
      <c r="CS91" s="32">
        <v>0</v>
      </c>
      <c r="CT91" s="32">
        <v>0</v>
      </c>
      <c r="CU91" s="32">
        <v>0</v>
      </c>
      <c r="CV91" s="32">
        <v>9999</v>
      </c>
      <c r="CW91" s="382">
        <v>9999</v>
      </c>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row>
    <row r="92" spans="1:131">
      <c r="A92" s="11" t="s">
        <v>666</v>
      </c>
      <c r="B92" s="11"/>
      <c r="C92" s="32">
        <v>11.627906976744185</v>
      </c>
      <c r="D92" s="32">
        <v>1152.4000000000001</v>
      </c>
      <c r="E92" s="32">
        <v>0</v>
      </c>
      <c r="F92" s="32">
        <v>134.02315442591345</v>
      </c>
      <c r="G92" s="32">
        <v>-28</v>
      </c>
      <c r="H92" s="32">
        <v>-84.572314159883035</v>
      </c>
      <c r="I92" s="32"/>
      <c r="J92" s="32"/>
      <c r="K92" s="32"/>
      <c r="L92" s="32">
        <v>1235.4854860853059</v>
      </c>
      <c r="M92" s="32">
        <v>0.28838053708293826</v>
      </c>
      <c r="N92" s="32">
        <v>0.28629913568867355</v>
      </c>
      <c r="O92" s="32">
        <v>0</v>
      </c>
      <c r="P92" s="32">
        <v>0</v>
      </c>
      <c r="Q92" s="32">
        <v>0</v>
      </c>
      <c r="R92" s="32">
        <v>26.726007341126671</v>
      </c>
      <c r="S92" s="32">
        <v>61.759737962574029</v>
      </c>
      <c r="T92" s="32">
        <v>0</v>
      </c>
      <c r="U92" s="32">
        <v>130.73887605793738</v>
      </c>
      <c r="V92" s="32">
        <v>8.0413892655548072</v>
      </c>
      <c r="W92" s="32">
        <v>18.763241619627884</v>
      </c>
      <c r="X92" s="32">
        <v>0</v>
      </c>
      <c r="Y92" s="32">
        <v>0</v>
      </c>
      <c r="Z92" s="32">
        <v>0</v>
      </c>
      <c r="AA92" s="32">
        <v>0</v>
      </c>
      <c r="AB92" s="32">
        <v>0</v>
      </c>
      <c r="AC92" s="32">
        <v>-380.52913765909528</v>
      </c>
      <c r="AD92" s="32">
        <v>0</v>
      </c>
      <c r="AE92" s="32">
        <v>0</v>
      </c>
      <c r="AF92" s="32">
        <v>0</v>
      </c>
      <c r="AG92" s="32">
        <v>-84.572314159883035</v>
      </c>
      <c r="AH92" s="32">
        <v>34.76739660668148</v>
      </c>
      <c r="AI92" s="32">
        <v>80.522979582201913</v>
      </c>
      <c r="AJ92" s="32">
        <v>0</v>
      </c>
      <c r="AK92" s="32">
        <v>-334.36257576104094</v>
      </c>
      <c r="AL92" s="32">
        <v>-219.07219957215756</v>
      </c>
      <c r="AM92" s="32">
        <v>592.18071861637611</v>
      </c>
      <c r="AN92" s="32">
        <v>101.89882587284885</v>
      </c>
      <c r="AO92" s="32">
        <v>0</v>
      </c>
      <c r="AP92" s="32">
        <v>0</v>
      </c>
      <c r="AQ92" s="32">
        <v>694.07954448922499</v>
      </c>
      <c r="AR92" s="32">
        <v>34.76739660668148</v>
      </c>
      <c r="AS92" s="382">
        <v>19.963517899865966</v>
      </c>
      <c r="AT92" s="32">
        <v>592.18071861637611</v>
      </c>
      <c r="AU92" s="32">
        <v>120.61785927502898</v>
      </c>
      <c r="AV92" s="32">
        <v>0</v>
      </c>
      <c r="AW92" s="32">
        <v>0</v>
      </c>
      <c r="AX92" s="32">
        <v>712.7985778914051</v>
      </c>
      <c r="AY92" s="32">
        <v>80.522979582201913</v>
      </c>
      <c r="AZ92" s="382">
        <v>8.8521137890053421</v>
      </c>
      <c r="BA92" s="32">
        <v>592.18071861637611</v>
      </c>
      <c r="BB92" s="32">
        <v>222.51668514787781</v>
      </c>
      <c r="BC92" s="32">
        <v>0</v>
      </c>
      <c r="BD92" s="32">
        <v>0</v>
      </c>
      <c r="BE92" s="32">
        <v>814.69740376425398</v>
      </c>
      <c r="BF92" s="32">
        <v>115.29037618888339</v>
      </c>
      <c r="BG92" s="32">
        <v>-6.38607218242658</v>
      </c>
      <c r="BH92" s="382">
        <v>7.0664823092390021</v>
      </c>
      <c r="BI92" s="32">
        <v>2.0706401859848449</v>
      </c>
      <c r="BJ92" s="32">
        <v>4.7957032648829978</v>
      </c>
      <c r="BK92" s="32">
        <v>0</v>
      </c>
      <c r="BL92" s="32">
        <v>-19.913616020566845</v>
      </c>
      <c r="BM92" s="32">
        <v>-13.047272569699</v>
      </c>
      <c r="BN92" s="32">
        <v>592.18071861637611</v>
      </c>
      <c r="BO92" s="32">
        <v>0</v>
      </c>
      <c r="BP92" s="32">
        <v>222.51668514787781</v>
      </c>
      <c r="BQ92" s="32">
        <v>0</v>
      </c>
      <c r="BR92" s="32">
        <v>0</v>
      </c>
      <c r="BS92" s="32">
        <v>0</v>
      </c>
      <c r="BT92" s="32">
        <v>0</v>
      </c>
      <c r="BU92" s="32">
        <v>0</v>
      </c>
      <c r="BV92" s="32">
        <v>0</v>
      </c>
      <c r="BW92" s="32">
        <v>0</v>
      </c>
      <c r="BX92" s="32">
        <v>219.22462136163807</v>
      </c>
      <c r="BY92" s="32">
        <v>26.804630885182689</v>
      </c>
      <c r="BZ92" s="32">
        <v>-380.52913765909528</v>
      </c>
      <c r="CA92" s="32">
        <v>-84.572314159883035</v>
      </c>
      <c r="CB92" s="32">
        <v>814.69740376425398</v>
      </c>
      <c r="CC92" s="32">
        <v>-219.07219957215756</v>
      </c>
      <c r="CD92" s="382">
        <v>5.2018158161913037</v>
      </c>
      <c r="CE92" s="32">
        <v>-26.299688202993423</v>
      </c>
      <c r="CF92" s="32">
        <v>11.737143214371596</v>
      </c>
      <c r="CG92" s="32">
        <v>0</v>
      </c>
      <c r="CH92" s="32">
        <v>11.737143214371596</v>
      </c>
      <c r="CI92" s="32">
        <v>0.58685560589052044</v>
      </c>
      <c r="CJ92" s="32">
        <v>0</v>
      </c>
      <c r="CK92" s="32">
        <v>0.58685560589052044</v>
      </c>
      <c r="CL92" s="32"/>
      <c r="CM92" s="32">
        <v>0</v>
      </c>
      <c r="CN92" s="32"/>
      <c r="CO92" s="32">
        <v>0</v>
      </c>
      <c r="CP92" s="32">
        <v>0</v>
      </c>
      <c r="CQ92" s="32">
        <v>0</v>
      </c>
      <c r="CR92" s="32">
        <v>0</v>
      </c>
      <c r="CS92" s="32">
        <v>0</v>
      </c>
      <c r="CT92" s="32">
        <v>0</v>
      </c>
      <c r="CU92" s="32">
        <v>0</v>
      </c>
      <c r="CV92" s="32">
        <v>9999</v>
      </c>
      <c r="CW92" s="382">
        <v>9999</v>
      </c>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row>
    <row r="93" spans="1:131">
      <c r="A93" s="11" t="s">
        <v>668</v>
      </c>
      <c r="B93" s="11"/>
      <c r="C93" s="32">
        <v>11.627906976744187</v>
      </c>
      <c r="D93" s="32">
        <v>305.29999999999995</v>
      </c>
      <c r="E93" s="32">
        <v>0</v>
      </c>
      <c r="F93" s="32">
        <v>113.40810404906972</v>
      </c>
      <c r="G93" s="32">
        <v>-28</v>
      </c>
      <c r="H93" s="32">
        <v>-74.440657764732151</v>
      </c>
      <c r="I93" s="32"/>
      <c r="J93" s="32"/>
      <c r="K93" s="32"/>
      <c r="L93" s="32">
        <v>327.31145340319665</v>
      </c>
      <c r="M93" s="32">
        <v>7.6399321391375424E-2</v>
      </c>
      <c r="N93" s="32">
        <v>7.5847905350357528E-2</v>
      </c>
      <c r="O93" s="32">
        <v>0</v>
      </c>
      <c r="P93" s="32">
        <v>0</v>
      </c>
      <c r="Q93" s="32">
        <v>0</v>
      </c>
      <c r="R93" s="32">
        <v>22.61509090978879</v>
      </c>
      <c r="S93" s="32">
        <v>52.260035356611773</v>
      </c>
      <c r="T93" s="32">
        <v>0</v>
      </c>
      <c r="U93" s="32">
        <v>110.62900379227469</v>
      </c>
      <c r="V93" s="32">
        <v>6.8044862429441837</v>
      </c>
      <c r="W93" s="32">
        <v>15.877134566869762</v>
      </c>
      <c r="X93" s="32">
        <v>0</v>
      </c>
      <c r="Y93" s="32">
        <v>0</v>
      </c>
      <c r="Z93" s="32">
        <v>0</v>
      </c>
      <c r="AA93" s="32">
        <v>0</v>
      </c>
      <c r="AB93" s="32">
        <v>0</v>
      </c>
      <c r="AC93" s="32">
        <v>-380.52913765909528</v>
      </c>
      <c r="AD93" s="32">
        <v>0</v>
      </c>
      <c r="AE93" s="32">
        <v>0</v>
      </c>
      <c r="AF93" s="32">
        <v>0</v>
      </c>
      <c r="AG93" s="32">
        <v>-74.440657764732151</v>
      </c>
      <c r="AH93" s="32">
        <v>29.419577152732973</v>
      </c>
      <c r="AI93" s="32">
        <v>68.137169923481537</v>
      </c>
      <c r="AJ93" s="32">
        <v>0</v>
      </c>
      <c r="AK93" s="32">
        <v>-344.34079163155275</v>
      </c>
      <c r="AL93" s="32">
        <v>-246.78404455533823</v>
      </c>
      <c r="AM93" s="32">
        <v>156.88369784239811</v>
      </c>
      <c r="AN93" s="32">
        <v>26.995584466314426</v>
      </c>
      <c r="AO93" s="32">
        <v>0</v>
      </c>
      <c r="AP93" s="32">
        <v>0</v>
      </c>
      <c r="AQ93" s="32">
        <v>183.87928230871253</v>
      </c>
      <c r="AR93" s="32">
        <v>29.419577152732973</v>
      </c>
      <c r="AS93" s="382">
        <v>6.2502353910151562</v>
      </c>
      <c r="AT93" s="32">
        <v>156.88369784239811</v>
      </c>
      <c r="AU93" s="32">
        <v>31.954731375100945</v>
      </c>
      <c r="AV93" s="32">
        <v>0</v>
      </c>
      <c r="AW93" s="32">
        <v>0</v>
      </c>
      <c r="AX93" s="32">
        <v>188.83842921749905</v>
      </c>
      <c r="AY93" s="32">
        <v>68.137169923481537</v>
      </c>
      <c r="AZ93" s="382">
        <v>2.7714451514432694</v>
      </c>
      <c r="BA93" s="32">
        <v>156.88369784239811</v>
      </c>
      <c r="BB93" s="32">
        <v>58.950315841415375</v>
      </c>
      <c r="BC93" s="32">
        <v>0</v>
      </c>
      <c r="BD93" s="32">
        <v>0</v>
      </c>
      <c r="BE93" s="32">
        <v>215.83401368381348</v>
      </c>
      <c r="BF93" s="32">
        <v>97.556747076214521</v>
      </c>
      <c r="BG93" s="32">
        <v>8.6789776363219229</v>
      </c>
      <c r="BH93" s="382">
        <v>2.2123945309000197</v>
      </c>
      <c r="BI93" s="32">
        <v>6.6137128973595809</v>
      </c>
      <c r="BJ93" s="32">
        <v>15.317680372256754</v>
      </c>
      <c r="BK93" s="32">
        <v>0</v>
      </c>
      <c r="BL93" s="32">
        <v>-77.410056673402892</v>
      </c>
      <c r="BM93" s="32">
        <v>-55.478663403786555</v>
      </c>
      <c r="BN93" s="32">
        <v>156.88369784239811</v>
      </c>
      <c r="BO93" s="32">
        <v>0</v>
      </c>
      <c r="BP93" s="32">
        <v>58.950315841415375</v>
      </c>
      <c r="BQ93" s="32">
        <v>0</v>
      </c>
      <c r="BR93" s="32">
        <v>0</v>
      </c>
      <c r="BS93" s="32">
        <v>0</v>
      </c>
      <c r="BT93" s="32">
        <v>0</v>
      </c>
      <c r="BU93" s="32">
        <v>0</v>
      </c>
      <c r="BV93" s="32">
        <v>0</v>
      </c>
      <c r="BW93" s="32">
        <v>0</v>
      </c>
      <c r="BX93" s="32">
        <v>185.50413005867526</v>
      </c>
      <c r="BY93" s="32">
        <v>22.681620809813946</v>
      </c>
      <c r="BZ93" s="32">
        <v>-380.52913765909528</v>
      </c>
      <c r="CA93" s="32">
        <v>-74.440657764732151</v>
      </c>
      <c r="CB93" s="32">
        <v>215.83401368381348</v>
      </c>
      <c r="CC93" s="32">
        <v>-246.78404455533823</v>
      </c>
      <c r="CD93" s="382">
        <v>3.2221408348517913</v>
      </c>
      <c r="CE93" s="32">
        <v>-68.731079037080974</v>
      </c>
      <c r="CF93" s="32">
        <v>3.109467045598445</v>
      </c>
      <c r="CG93" s="32">
        <v>0</v>
      </c>
      <c r="CH93" s="32">
        <v>3.109467045598445</v>
      </c>
      <c r="CI93" s="32">
        <v>0.15547294036651843</v>
      </c>
      <c r="CJ93" s="32">
        <v>0</v>
      </c>
      <c r="CK93" s="32">
        <v>0.15547294036651843</v>
      </c>
      <c r="CL93" s="32"/>
      <c r="CM93" s="32">
        <v>0</v>
      </c>
      <c r="CN93" s="32"/>
      <c r="CO93" s="32">
        <v>0</v>
      </c>
      <c r="CP93" s="32">
        <v>0</v>
      </c>
      <c r="CQ93" s="32">
        <v>0</v>
      </c>
      <c r="CR93" s="32">
        <v>0</v>
      </c>
      <c r="CS93" s="32">
        <v>0</v>
      </c>
      <c r="CT93" s="32">
        <v>0</v>
      </c>
      <c r="CU93" s="32">
        <v>0</v>
      </c>
      <c r="CV93" s="32">
        <v>9999</v>
      </c>
      <c r="CW93" s="382">
        <v>9999</v>
      </c>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row>
    <row r="94" spans="1:131">
      <c r="A94" s="11" t="s">
        <v>670</v>
      </c>
      <c r="B94" s="11"/>
      <c r="C94" s="32">
        <v>11.627906976744185</v>
      </c>
      <c r="D94" s="32">
        <v>666.5</v>
      </c>
      <c r="E94" s="32">
        <v>0</v>
      </c>
      <c r="F94" s="32">
        <v>162.01157721295672</v>
      </c>
      <c r="G94" s="32">
        <v>-28</v>
      </c>
      <c r="H94" s="32">
        <v>-77.340943132189253</v>
      </c>
      <c r="I94" s="32"/>
      <c r="J94" s="32"/>
      <c r="K94" s="32"/>
      <c r="L94" s="32">
        <v>714.55317292247162</v>
      </c>
      <c r="M94" s="32">
        <v>0.16678725092483371</v>
      </c>
      <c r="N94" s="32">
        <v>0.16558345534232982</v>
      </c>
      <c r="O94" s="32">
        <v>0</v>
      </c>
      <c r="P94" s="32">
        <v>0</v>
      </c>
      <c r="Q94" s="32">
        <v>0</v>
      </c>
      <c r="R94" s="32">
        <v>32.307272728269702</v>
      </c>
      <c r="S94" s="32">
        <v>74.657193366588231</v>
      </c>
      <c r="T94" s="32">
        <v>0</v>
      </c>
      <c r="U94" s="32">
        <v>158.0414339889638</v>
      </c>
      <c r="V94" s="32">
        <v>9.7206946327774038</v>
      </c>
      <c r="W94" s="32">
        <v>22.681620809813943</v>
      </c>
      <c r="X94" s="32">
        <v>0</v>
      </c>
      <c r="Y94" s="32">
        <v>0</v>
      </c>
      <c r="Z94" s="32">
        <v>0</v>
      </c>
      <c r="AA94" s="32">
        <v>0</v>
      </c>
      <c r="AB94" s="32">
        <v>0</v>
      </c>
      <c r="AC94" s="32">
        <v>-380.52913765909528</v>
      </c>
      <c r="AD94" s="32">
        <v>0</v>
      </c>
      <c r="AE94" s="32">
        <v>0</v>
      </c>
      <c r="AF94" s="32">
        <v>0</v>
      </c>
      <c r="AG94" s="32">
        <v>-77.340943132189253</v>
      </c>
      <c r="AH94" s="32">
        <v>42.027967361047104</v>
      </c>
      <c r="AI94" s="32">
        <v>97.338814176402167</v>
      </c>
      <c r="AJ94" s="32">
        <v>0</v>
      </c>
      <c r="AK94" s="32">
        <v>-299.82864680232075</v>
      </c>
      <c r="AL94" s="32">
        <v>-160.46186526487145</v>
      </c>
      <c r="AM94" s="32">
        <v>342.49257979678458</v>
      </c>
      <c r="AN94" s="32">
        <v>58.93402242646107</v>
      </c>
      <c r="AO94" s="32">
        <v>0</v>
      </c>
      <c r="AP94" s="32">
        <v>0</v>
      </c>
      <c r="AQ94" s="32">
        <v>401.42660222324565</v>
      </c>
      <c r="AR94" s="32">
        <v>42.027967361047104</v>
      </c>
      <c r="AS94" s="382">
        <v>9.5514160552837239</v>
      </c>
      <c r="AT94" s="32">
        <v>342.49257979678458</v>
      </c>
      <c r="AU94" s="32">
        <v>69.760329058318973</v>
      </c>
      <c r="AV94" s="32">
        <v>0</v>
      </c>
      <c r="AW94" s="32">
        <v>0</v>
      </c>
      <c r="AX94" s="32">
        <v>412.25290885510356</v>
      </c>
      <c r="AY94" s="32">
        <v>97.338814176402167</v>
      </c>
      <c r="AZ94" s="382">
        <v>4.2352366046703489</v>
      </c>
      <c r="BA94" s="32">
        <v>342.49257979678458</v>
      </c>
      <c r="BB94" s="32">
        <v>128.69435148478004</v>
      </c>
      <c r="BC94" s="32">
        <v>0</v>
      </c>
      <c r="BD94" s="32">
        <v>0</v>
      </c>
      <c r="BE94" s="32">
        <v>471.18693128156463</v>
      </c>
      <c r="BF94" s="32">
        <v>139.36678153744927</v>
      </c>
      <c r="BG94" s="32">
        <v>1.0990030039660381</v>
      </c>
      <c r="BH94" s="382">
        <v>3.3809127690514393</v>
      </c>
      <c r="BI94" s="32">
        <v>4.3278674259219372</v>
      </c>
      <c r="BJ94" s="32">
        <v>10.023551211338519</v>
      </c>
      <c r="BK94" s="32">
        <v>0</v>
      </c>
      <c r="BL94" s="32">
        <v>-30.875122337148593</v>
      </c>
      <c r="BM94" s="32">
        <v>-16.523703699888138</v>
      </c>
      <c r="BN94" s="32">
        <v>342.49257979678458</v>
      </c>
      <c r="BO94" s="32">
        <v>0</v>
      </c>
      <c r="BP94" s="32">
        <v>128.69435148478004</v>
      </c>
      <c r="BQ94" s="32">
        <v>0</v>
      </c>
      <c r="BR94" s="32">
        <v>0</v>
      </c>
      <c r="BS94" s="32">
        <v>0</v>
      </c>
      <c r="BT94" s="32">
        <v>0</v>
      </c>
      <c r="BU94" s="32">
        <v>0</v>
      </c>
      <c r="BV94" s="32">
        <v>0</v>
      </c>
      <c r="BW94" s="32">
        <v>0</v>
      </c>
      <c r="BX94" s="32">
        <v>265.00590008382176</v>
      </c>
      <c r="BY94" s="32">
        <v>32.402315442591345</v>
      </c>
      <c r="BZ94" s="32">
        <v>-380.52913765909528</v>
      </c>
      <c r="CA94" s="32">
        <v>-77.340943132189253</v>
      </c>
      <c r="CB94" s="32">
        <v>471.18693128156463</v>
      </c>
      <c r="CC94" s="32">
        <v>-160.46186526487142</v>
      </c>
      <c r="CD94" s="382">
        <v>3.1238444789711561</v>
      </c>
      <c r="CE94" s="32">
        <v>-29.77611933318255</v>
      </c>
      <c r="CF94" s="32">
        <v>6.788273127714926</v>
      </c>
      <c r="CG94" s="32">
        <v>0</v>
      </c>
      <c r="CH94" s="32">
        <v>6.788273127714926</v>
      </c>
      <c r="CI94" s="32">
        <v>0.33941275713817404</v>
      </c>
      <c r="CJ94" s="32">
        <v>0</v>
      </c>
      <c r="CK94" s="32">
        <v>0.33941275713817404</v>
      </c>
      <c r="CL94" s="32"/>
      <c r="CM94" s="32">
        <v>0</v>
      </c>
      <c r="CN94" s="32"/>
      <c r="CO94" s="32">
        <v>0</v>
      </c>
      <c r="CP94" s="32">
        <v>0</v>
      </c>
      <c r="CQ94" s="32">
        <v>0</v>
      </c>
      <c r="CR94" s="32">
        <v>0</v>
      </c>
      <c r="CS94" s="32">
        <v>0</v>
      </c>
      <c r="CT94" s="32">
        <v>0</v>
      </c>
      <c r="CU94" s="32">
        <v>0</v>
      </c>
      <c r="CV94" s="32">
        <v>9999</v>
      </c>
      <c r="CW94" s="382">
        <v>9999</v>
      </c>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row>
    <row r="95" spans="1:131">
      <c r="A95" s="11" t="s">
        <v>667</v>
      </c>
      <c r="B95" s="11"/>
      <c r="C95" s="32">
        <v>11.627906976744184</v>
      </c>
      <c r="D95" s="32">
        <v>2919.7</v>
      </c>
      <c r="E95" s="32">
        <v>0</v>
      </c>
      <c r="F95" s="32">
        <v>532.0694632777404</v>
      </c>
      <c r="G95" s="32">
        <v>-28</v>
      </c>
      <c r="H95" s="32">
        <v>-86.610201248072983</v>
      </c>
      <c r="I95" s="32"/>
      <c r="J95" s="32"/>
      <c r="K95" s="32"/>
      <c r="L95" s="32">
        <v>3130.2038994474719</v>
      </c>
      <c r="M95" s="32">
        <v>0.73063576372878758</v>
      </c>
      <c r="N95" s="32">
        <v>0.72536236243510932</v>
      </c>
      <c r="O95" s="32">
        <v>0</v>
      </c>
      <c r="P95" s="32">
        <v>0</v>
      </c>
      <c r="Q95" s="32">
        <v>0</v>
      </c>
      <c r="R95" s="32">
        <v>106.10175862866241</v>
      </c>
      <c r="S95" s="32">
        <v>245.18502620445005</v>
      </c>
      <c r="T95" s="32">
        <v>0</v>
      </c>
      <c r="U95" s="32">
        <v>519.03093843485806</v>
      </c>
      <c r="V95" s="32">
        <v>31.924167796664424</v>
      </c>
      <c r="W95" s="32">
        <v>74.489724858883662</v>
      </c>
      <c r="X95" s="32">
        <v>0</v>
      </c>
      <c r="Y95" s="32">
        <v>0</v>
      </c>
      <c r="Z95" s="32">
        <v>0</v>
      </c>
      <c r="AA95" s="32">
        <v>0</v>
      </c>
      <c r="AB95" s="32">
        <v>0</v>
      </c>
      <c r="AC95" s="32">
        <v>-380.52913765909528</v>
      </c>
      <c r="AD95" s="32">
        <v>0</v>
      </c>
      <c r="AE95" s="32">
        <v>0</v>
      </c>
      <c r="AF95" s="32">
        <v>0</v>
      </c>
      <c r="AG95" s="32">
        <v>-86.610201248072983</v>
      </c>
      <c r="AH95" s="32">
        <v>138.02592642532684</v>
      </c>
      <c r="AI95" s="32">
        <v>319.6747510633337</v>
      </c>
      <c r="AJ95" s="32">
        <v>0</v>
      </c>
      <c r="AK95" s="32">
        <v>51.891599527689792</v>
      </c>
      <c r="AL95" s="32">
        <v>509.59227701635029</v>
      </c>
      <c r="AM95" s="32">
        <v>1500.3384624646255</v>
      </c>
      <c r="AN95" s="32">
        <v>258.16904017785203</v>
      </c>
      <c r="AO95" s="32">
        <v>0</v>
      </c>
      <c r="AP95" s="32">
        <v>0</v>
      </c>
      <c r="AQ95" s="32">
        <v>1758.5075026424774</v>
      </c>
      <c r="AR95" s="32">
        <v>138.02592642532684</v>
      </c>
      <c r="AS95" s="382">
        <v>12.740414414779128</v>
      </c>
      <c r="AT95" s="32">
        <v>1500.3384624646255</v>
      </c>
      <c r="AU95" s="32">
        <v>305.59524793934582</v>
      </c>
      <c r="AV95" s="32">
        <v>0</v>
      </c>
      <c r="AW95" s="32">
        <v>0</v>
      </c>
      <c r="AX95" s="32">
        <v>1805.9337104039714</v>
      </c>
      <c r="AY95" s="32">
        <v>319.6747510633337</v>
      </c>
      <c r="AZ95" s="382">
        <v>5.6492847946135765</v>
      </c>
      <c r="BA95" s="32">
        <v>1500.3384624646255</v>
      </c>
      <c r="BB95" s="32">
        <v>563.76428811719779</v>
      </c>
      <c r="BC95" s="32">
        <v>0</v>
      </c>
      <c r="BD95" s="32">
        <v>0</v>
      </c>
      <c r="BE95" s="32">
        <v>2064.1027505818233</v>
      </c>
      <c r="BF95" s="32">
        <v>457.70067748866052</v>
      </c>
      <c r="BG95" s="32">
        <v>-2.4932388965458538</v>
      </c>
      <c r="BH95" s="382">
        <v>4.5097218599440705</v>
      </c>
      <c r="BI95" s="32">
        <v>3.2445775365939626</v>
      </c>
      <c r="BJ95" s="32">
        <v>7.5145992001546054</v>
      </c>
      <c r="BK95" s="32">
        <v>0</v>
      </c>
      <c r="BL95" s="32">
        <v>1.2198166136313509</v>
      </c>
      <c r="BM95" s="32">
        <v>11.978993350379918</v>
      </c>
      <c r="BN95" s="32">
        <v>1500.3384624646255</v>
      </c>
      <c r="BO95" s="32">
        <v>0</v>
      </c>
      <c r="BP95" s="32">
        <v>563.76428811719779</v>
      </c>
      <c r="BQ95" s="32">
        <v>0</v>
      </c>
      <c r="BR95" s="32">
        <v>0</v>
      </c>
      <c r="BS95" s="32">
        <v>0</v>
      </c>
      <c r="BT95" s="32">
        <v>0</v>
      </c>
      <c r="BU95" s="32">
        <v>0</v>
      </c>
      <c r="BV95" s="32">
        <v>0</v>
      </c>
      <c r="BW95" s="32">
        <v>0</v>
      </c>
      <c r="BX95" s="32">
        <v>870.31772326797045</v>
      </c>
      <c r="BY95" s="32">
        <v>106.41389265554808</v>
      </c>
      <c r="BZ95" s="32">
        <v>-380.52913765909528</v>
      </c>
      <c r="CA95" s="32">
        <v>-86.610201248072983</v>
      </c>
      <c r="CB95" s="32">
        <v>2064.1027505818233</v>
      </c>
      <c r="CC95" s="32">
        <v>509.59227701635024</v>
      </c>
      <c r="CD95" s="382">
        <v>2.5915431099214019</v>
      </c>
      <c r="CE95" s="32">
        <v>-1.273422282914503</v>
      </c>
      <c r="CF95" s="32">
        <v>29.73701583044155</v>
      </c>
      <c r="CG95" s="32">
        <v>0</v>
      </c>
      <c r="CH95" s="32">
        <v>29.73701583044155</v>
      </c>
      <c r="CI95" s="32">
        <v>1.4868468522375493</v>
      </c>
      <c r="CJ95" s="32">
        <v>0</v>
      </c>
      <c r="CK95" s="32">
        <v>1.4868468522375493</v>
      </c>
      <c r="CL95" s="32"/>
      <c r="CM95" s="32">
        <v>0</v>
      </c>
      <c r="CN95" s="32"/>
      <c r="CO95" s="32">
        <v>0</v>
      </c>
      <c r="CP95" s="32">
        <v>0</v>
      </c>
      <c r="CQ95" s="32">
        <v>0</v>
      </c>
      <c r="CR95" s="32">
        <v>0</v>
      </c>
      <c r="CS95" s="32">
        <v>0</v>
      </c>
      <c r="CT95" s="32">
        <v>0</v>
      </c>
      <c r="CU95" s="32">
        <v>0</v>
      </c>
      <c r="CV95" s="32">
        <v>9999</v>
      </c>
      <c r="CW95" s="382">
        <v>9999</v>
      </c>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row>
    <row r="96" spans="1:131">
      <c r="A96" s="11" t="s">
        <v>669</v>
      </c>
      <c r="B96" s="11"/>
      <c r="C96" s="32">
        <v>11.627906976744185</v>
      </c>
      <c r="D96" s="32">
        <v>395.6</v>
      </c>
      <c r="E96" s="32">
        <v>0</v>
      </c>
      <c r="F96" s="32">
        <v>162.01157721295672</v>
      </c>
      <c r="G96" s="32">
        <v>-28</v>
      </c>
      <c r="H96" s="32">
        <v>-77.340943132189253</v>
      </c>
      <c r="I96" s="32"/>
      <c r="J96" s="32"/>
      <c r="K96" s="32"/>
      <c r="L96" s="32">
        <v>424.12188328301545</v>
      </c>
      <c r="M96" s="32">
        <v>9.8996303774740002E-2</v>
      </c>
      <c r="N96" s="32">
        <v>9.8281792848350619E-2</v>
      </c>
      <c r="O96" s="32">
        <v>0</v>
      </c>
      <c r="P96" s="32">
        <v>0</v>
      </c>
      <c r="Q96" s="32">
        <v>0</v>
      </c>
      <c r="R96" s="32">
        <v>32.307272728269702</v>
      </c>
      <c r="S96" s="32">
        <v>74.657193366588231</v>
      </c>
      <c r="T96" s="32">
        <v>0</v>
      </c>
      <c r="U96" s="32">
        <v>158.0414339889638</v>
      </c>
      <c r="V96" s="32">
        <v>9.7206946327774038</v>
      </c>
      <c r="W96" s="32">
        <v>22.681620809813943</v>
      </c>
      <c r="X96" s="32">
        <v>0</v>
      </c>
      <c r="Y96" s="32">
        <v>0</v>
      </c>
      <c r="Z96" s="32">
        <v>0</v>
      </c>
      <c r="AA96" s="32">
        <v>0</v>
      </c>
      <c r="AB96" s="32">
        <v>0</v>
      </c>
      <c r="AC96" s="32">
        <v>-380.52913765909528</v>
      </c>
      <c r="AD96" s="32">
        <v>0</v>
      </c>
      <c r="AE96" s="32">
        <v>0</v>
      </c>
      <c r="AF96" s="32">
        <v>0</v>
      </c>
      <c r="AG96" s="32">
        <v>-77.340943132189253</v>
      </c>
      <c r="AH96" s="32">
        <v>42.027967361047104</v>
      </c>
      <c r="AI96" s="32">
        <v>97.338814176402167</v>
      </c>
      <c r="AJ96" s="32">
        <v>0</v>
      </c>
      <c r="AK96" s="32">
        <v>-299.82864680232075</v>
      </c>
      <c r="AL96" s="32">
        <v>-160.46186526487145</v>
      </c>
      <c r="AM96" s="32">
        <v>203.28591833099458</v>
      </c>
      <c r="AN96" s="32">
        <v>34.980193956351101</v>
      </c>
      <c r="AO96" s="32">
        <v>0</v>
      </c>
      <c r="AP96" s="32">
        <v>0</v>
      </c>
      <c r="AQ96" s="32">
        <v>238.26611228734566</v>
      </c>
      <c r="AR96" s="32">
        <v>42.027967361047104</v>
      </c>
      <c r="AS96" s="382">
        <v>5.6692275941038845</v>
      </c>
      <c r="AT96" s="32">
        <v>203.28591833099458</v>
      </c>
      <c r="AU96" s="32">
        <v>41.406130795905469</v>
      </c>
      <c r="AV96" s="32">
        <v>0</v>
      </c>
      <c r="AW96" s="32">
        <v>0</v>
      </c>
      <c r="AX96" s="32">
        <v>244.69204912690003</v>
      </c>
      <c r="AY96" s="32">
        <v>97.338814176402167</v>
      </c>
      <c r="AZ96" s="382">
        <v>2.5138178556753026</v>
      </c>
      <c r="BA96" s="32">
        <v>203.28591833099458</v>
      </c>
      <c r="BB96" s="32">
        <v>76.38632475225657</v>
      </c>
      <c r="BC96" s="32">
        <v>0</v>
      </c>
      <c r="BD96" s="32">
        <v>0</v>
      </c>
      <c r="BE96" s="32">
        <v>279.67224308325115</v>
      </c>
      <c r="BF96" s="32">
        <v>139.36678153744927</v>
      </c>
      <c r="BG96" s="32">
        <v>10.926604896872652</v>
      </c>
      <c r="BH96" s="382">
        <v>2.0067353209853698</v>
      </c>
      <c r="BI96" s="32">
        <v>7.2915157719336987</v>
      </c>
      <c r="BJ96" s="32">
        <v>16.887504758233373</v>
      </c>
      <c r="BK96" s="32">
        <v>0</v>
      </c>
      <c r="BL96" s="32">
        <v>-52.017869154978605</v>
      </c>
      <c r="BM96" s="32">
        <v>-27.838848624811533</v>
      </c>
      <c r="BN96" s="32">
        <v>203.28591833099458</v>
      </c>
      <c r="BO96" s="32">
        <v>0</v>
      </c>
      <c r="BP96" s="32">
        <v>76.38632475225657</v>
      </c>
      <c r="BQ96" s="32">
        <v>0</v>
      </c>
      <c r="BR96" s="32">
        <v>0</v>
      </c>
      <c r="BS96" s="32">
        <v>0</v>
      </c>
      <c r="BT96" s="32">
        <v>0</v>
      </c>
      <c r="BU96" s="32">
        <v>0</v>
      </c>
      <c r="BV96" s="32">
        <v>0</v>
      </c>
      <c r="BW96" s="32">
        <v>0</v>
      </c>
      <c r="BX96" s="32">
        <v>265.00590008382176</v>
      </c>
      <c r="BY96" s="32">
        <v>32.402315442591345</v>
      </c>
      <c r="BZ96" s="32">
        <v>-380.52913765909528</v>
      </c>
      <c r="CA96" s="32">
        <v>-77.340943132189253</v>
      </c>
      <c r="CB96" s="32">
        <v>279.67224308325115</v>
      </c>
      <c r="CC96" s="32">
        <v>-160.46186526487142</v>
      </c>
      <c r="CD96" s="382">
        <v>2.4798989583024276</v>
      </c>
      <c r="CE96" s="32">
        <v>-41.091264258105952</v>
      </c>
      <c r="CF96" s="32">
        <v>4.0291685661275602</v>
      </c>
      <c r="CG96" s="32">
        <v>0</v>
      </c>
      <c r="CH96" s="32">
        <v>4.0291685661275602</v>
      </c>
      <c r="CI96" s="32">
        <v>0.20145789455943236</v>
      </c>
      <c r="CJ96" s="32">
        <v>0</v>
      </c>
      <c r="CK96" s="32">
        <v>0.20145789455943236</v>
      </c>
      <c r="CL96" s="32"/>
      <c r="CM96" s="32">
        <v>0</v>
      </c>
      <c r="CN96" s="32"/>
      <c r="CO96" s="32">
        <v>0</v>
      </c>
      <c r="CP96" s="32">
        <v>0</v>
      </c>
      <c r="CQ96" s="32">
        <v>0</v>
      </c>
      <c r="CR96" s="32">
        <v>0</v>
      </c>
      <c r="CS96" s="32">
        <v>0</v>
      </c>
      <c r="CT96" s="32">
        <v>0</v>
      </c>
      <c r="CU96" s="32">
        <v>0</v>
      </c>
      <c r="CV96" s="32">
        <v>9999</v>
      </c>
      <c r="CW96" s="382">
        <v>9999</v>
      </c>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row>
    <row r="97" spans="1:131">
      <c r="A97" s="11" t="s">
        <v>671</v>
      </c>
      <c r="B97" s="11"/>
      <c r="C97" s="32">
        <v>11.627906976744185</v>
      </c>
      <c r="D97" s="32">
        <v>1152.4000000000001</v>
      </c>
      <c r="E97" s="32">
        <v>0</v>
      </c>
      <c r="F97" s="32">
        <v>324.02315442591345</v>
      </c>
      <c r="G97" s="32">
        <v>-28</v>
      </c>
      <c r="H97" s="32">
        <v>-84.572314159883035</v>
      </c>
      <c r="I97" s="32"/>
      <c r="J97" s="32"/>
      <c r="K97" s="32"/>
      <c r="L97" s="32">
        <v>1235.4854860853059</v>
      </c>
      <c r="M97" s="32">
        <v>0.28838053708293826</v>
      </c>
      <c r="N97" s="32">
        <v>0.28629913568867355</v>
      </c>
      <c r="O97" s="32">
        <v>0</v>
      </c>
      <c r="P97" s="32">
        <v>0</v>
      </c>
      <c r="Q97" s="32">
        <v>0</v>
      </c>
      <c r="R97" s="32">
        <v>64.614545456539403</v>
      </c>
      <c r="S97" s="32">
        <v>149.31438673317646</v>
      </c>
      <c r="T97" s="32">
        <v>0</v>
      </c>
      <c r="U97" s="32">
        <v>316.08286797792761</v>
      </c>
      <c r="V97" s="32">
        <v>19.441389265554808</v>
      </c>
      <c r="W97" s="32">
        <v>45.363241619627885</v>
      </c>
      <c r="X97" s="32">
        <v>0</v>
      </c>
      <c r="Y97" s="32">
        <v>0</v>
      </c>
      <c r="Z97" s="32">
        <v>0</v>
      </c>
      <c r="AA97" s="32">
        <v>0</v>
      </c>
      <c r="AB97" s="32">
        <v>0</v>
      </c>
      <c r="AC97" s="32">
        <v>-380.52913765909528</v>
      </c>
      <c r="AD97" s="32">
        <v>0</v>
      </c>
      <c r="AE97" s="32">
        <v>0</v>
      </c>
      <c r="AF97" s="32">
        <v>0</v>
      </c>
      <c r="AG97" s="32">
        <v>-84.572314159883035</v>
      </c>
      <c r="AH97" s="32">
        <v>84.055934722094207</v>
      </c>
      <c r="AI97" s="32">
        <v>194.67762835280433</v>
      </c>
      <c r="AJ97" s="32">
        <v>0</v>
      </c>
      <c r="AK97" s="32">
        <v>-149.01858384105071</v>
      </c>
      <c r="AL97" s="32">
        <v>129.71497923384788</v>
      </c>
      <c r="AM97" s="32">
        <v>592.18071861637611</v>
      </c>
      <c r="AN97" s="32">
        <v>101.89882587284885</v>
      </c>
      <c r="AO97" s="32">
        <v>0</v>
      </c>
      <c r="AP97" s="32">
        <v>0</v>
      </c>
      <c r="AQ97" s="32">
        <v>694.07954448922499</v>
      </c>
      <c r="AR97" s="32">
        <v>84.055934722094207</v>
      </c>
      <c r="AS97" s="382">
        <v>8.2573532348904486</v>
      </c>
      <c r="AT97" s="32">
        <v>592.18071861637611</v>
      </c>
      <c r="AU97" s="32">
        <v>120.61785927502898</v>
      </c>
      <c r="AV97" s="32">
        <v>0</v>
      </c>
      <c r="AW97" s="32">
        <v>0</v>
      </c>
      <c r="AX97" s="32">
        <v>712.7985778914051</v>
      </c>
      <c r="AY97" s="32">
        <v>194.67762835280433</v>
      </c>
      <c r="AZ97" s="382">
        <v>3.6614303550053351</v>
      </c>
      <c r="BA97" s="32">
        <v>592.18071861637611</v>
      </c>
      <c r="BB97" s="32">
        <v>222.51668514787781</v>
      </c>
      <c r="BC97" s="32">
        <v>0</v>
      </c>
      <c r="BD97" s="32">
        <v>0</v>
      </c>
      <c r="BE97" s="32">
        <v>814.69740376425398</v>
      </c>
      <c r="BF97" s="32">
        <v>278.73356307489854</v>
      </c>
      <c r="BG97" s="32">
        <v>3.3481059247307288</v>
      </c>
      <c r="BH97" s="382">
        <v>2.9228536196960841</v>
      </c>
      <c r="BI97" s="32">
        <v>5.0061153061037329</v>
      </c>
      <c r="BJ97" s="32">
        <v>11.59440625192142</v>
      </c>
      <c r="BK97" s="32">
        <v>0</v>
      </c>
      <c r="BL97" s="32">
        <v>-8.8750927097179524</v>
      </c>
      <c r="BM97" s="32">
        <v>7.7254288483072031</v>
      </c>
      <c r="BN97" s="32">
        <v>592.18071861637611</v>
      </c>
      <c r="BO97" s="32">
        <v>0</v>
      </c>
      <c r="BP97" s="32">
        <v>222.51668514787781</v>
      </c>
      <c r="BQ97" s="32">
        <v>0</v>
      </c>
      <c r="BR97" s="32">
        <v>0</v>
      </c>
      <c r="BS97" s="32">
        <v>0</v>
      </c>
      <c r="BT97" s="32">
        <v>0</v>
      </c>
      <c r="BU97" s="32">
        <v>0</v>
      </c>
      <c r="BV97" s="32">
        <v>0</v>
      </c>
      <c r="BW97" s="32">
        <v>0</v>
      </c>
      <c r="BX97" s="32">
        <v>530.01180016764351</v>
      </c>
      <c r="BY97" s="32">
        <v>64.804630885182689</v>
      </c>
      <c r="BZ97" s="32">
        <v>-380.52913765909528</v>
      </c>
      <c r="CA97" s="32">
        <v>-84.572314159883035</v>
      </c>
      <c r="CB97" s="32">
        <v>814.69740376425398</v>
      </c>
      <c r="CC97" s="32">
        <v>129.71497923384788</v>
      </c>
      <c r="CD97" s="382">
        <v>2.1515862521114051</v>
      </c>
      <c r="CE97" s="32">
        <v>-5.5269867849872165</v>
      </c>
      <c r="CF97" s="32">
        <v>11.737143214371596</v>
      </c>
      <c r="CG97" s="32">
        <v>0</v>
      </c>
      <c r="CH97" s="32">
        <v>11.737143214371596</v>
      </c>
      <c r="CI97" s="32">
        <v>0.58685560589052044</v>
      </c>
      <c r="CJ97" s="32">
        <v>0</v>
      </c>
      <c r="CK97" s="32">
        <v>0.58685560589052044</v>
      </c>
      <c r="CL97" s="32"/>
      <c r="CM97" s="32">
        <v>0</v>
      </c>
      <c r="CN97" s="32"/>
      <c r="CO97" s="32">
        <v>0</v>
      </c>
      <c r="CP97" s="32">
        <v>0</v>
      </c>
      <c r="CQ97" s="32">
        <v>0</v>
      </c>
      <c r="CR97" s="32">
        <v>0</v>
      </c>
      <c r="CS97" s="32">
        <v>0</v>
      </c>
      <c r="CT97" s="32">
        <v>0</v>
      </c>
      <c r="CU97" s="32">
        <v>0</v>
      </c>
      <c r="CV97" s="32">
        <v>9999</v>
      </c>
      <c r="CW97" s="382">
        <v>9999</v>
      </c>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row>
    <row r="98" spans="1:131">
      <c r="A98" s="11" t="s">
        <v>672</v>
      </c>
      <c r="B98" s="11"/>
      <c r="C98" s="32">
        <v>11.627906976744184</v>
      </c>
      <c r="D98" s="32">
        <v>2919.7</v>
      </c>
      <c r="E98" s="32">
        <v>0</v>
      </c>
      <c r="F98" s="32">
        <v>972.0694632777404</v>
      </c>
      <c r="G98" s="32">
        <v>-28</v>
      </c>
      <c r="H98" s="32">
        <v>-86.610201248072983</v>
      </c>
      <c r="I98" s="32"/>
      <c r="J98" s="32"/>
      <c r="K98" s="32"/>
      <c r="L98" s="32">
        <v>3130.2038994474719</v>
      </c>
      <c r="M98" s="32">
        <v>0.73063576372878758</v>
      </c>
      <c r="N98" s="32">
        <v>0.72536236243510932</v>
      </c>
      <c r="O98" s="32">
        <v>0</v>
      </c>
      <c r="P98" s="32">
        <v>0</v>
      </c>
      <c r="Q98" s="32">
        <v>0</v>
      </c>
      <c r="R98" s="32">
        <v>193.8436363696182</v>
      </c>
      <c r="S98" s="32">
        <v>447.94316019952942</v>
      </c>
      <c r="T98" s="32">
        <v>0</v>
      </c>
      <c r="U98" s="32">
        <v>948.24860393378299</v>
      </c>
      <c r="V98" s="32">
        <v>58.324167796664426</v>
      </c>
      <c r="W98" s="32">
        <v>136.08972485888364</v>
      </c>
      <c r="X98" s="32">
        <v>0</v>
      </c>
      <c r="Y98" s="32">
        <v>0</v>
      </c>
      <c r="Z98" s="32">
        <v>0</v>
      </c>
      <c r="AA98" s="32">
        <v>0</v>
      </c>
      <c r="AB98" s="32">
        <v>0</v>
      </c>
      <c r="AC98" s="32">
        <v>-380.52913765909528</v>
      </c>
      <c r="AD98" s="32">
        <v>0</v>
      </c>
      <c r="AE98" s="32">
        <v>0</v>
      </c>
      <c r="AF98" s="32">
        <v>0</v>
      </c>
      <c r="AG98" s="32">
        <v>-86.610201248072983</v>
      </c>
      <c r="AH98" s="32">
        <v>252.16780416628262</v>
      </c>
      <c r="AI98" s="32">
        <v>584.03288505841306</v>
      </c>
      <c r="AJ98" s="32">
        <v>0</v>
      </c>
      <c r="AK98" s="32">
        <v>481.10926502661471</v>
      </c>
      <c r="AL98" s="32">
        <v>1317.3099542513103</v>
      </c>
      <c r="AM98" s="32">
        <v>1500.3384624646255</v>
      </c>
      <c r="AN98" s="32">
        <v>258.16904017785203</v>
      </c>
      <c r="AO98" s="32">
        <v>0</v>
      </c>
      <c r="AP98" s="32">
        <v>0</v>
      </c>
      <c r="AQ98" s="32">
        <v>1758.5075026424774</v>
      </c>
      <c r="AR98" s="32">
        <v>252.16780416628262</v>
      </c>
      <c r="AS98" s="382">
        <v>6.9735607543415634</v>
      </c>
      <c r="AT98" s="32">
        <v>1500.3384624646255</v>
      </c>
      <c r="AU98" s="32">
        <v>305.59524793934582</v>
      </c>
      <c r="AV98" s="32">
        <v>0</v>
      </c>
      <c r="AW98" s="32">
        <v>0</v>
      </c>
      <c r="AX98" s="32">
        <v>1805.9337104039714</v>
      </c>
      <c r="AY98" s="32">
        <v>584.03288505841306</v>
      </c>
      <c r="AZ98" s="382">
        <v>3.0921781231948056</v>
      </c>
      <c r="BA98" s="32">
        <v>1500.3384624646255</v>
      </c>
      <c r="BB98" s="32">
        <v>563.76428811719779</v>
      </c>
      <c r="BC98" s="32">
        <v>0</v>
      </c>
      <c r="BD98" s="32">
        <v>0</v>
      </c>
      <c r="BE98" s="32">
        <v>2064.1027505818233</v>
      </c>
      <c r="BF98" s="32">
        <v>836.20068922469568</v>
      </c>
      <c r="BG98" s="32">
        <v>6.4041665944702748</v>
      </c>
      <c r="BH98" s="382">
        <v>2.4684298604149775</v>
      </c>
      <c r="BI98" s="32">
        <v>5.9277123801287219</v>
      </c>
      <c r="BJ98" s="32">
        <v>13.72886984763597</v>
      </c>
      <c r="BK98" s="32">
        <v>0</v>
      </c>
      <c r="BL98" s="32">
        <v>11.309442757459752</v>
      </c>
      <c r="BM98" s="32">
        <v>30.966024985224443</v>
      </c>
      <c r="BN98" s="32">
        <v>1500.3384624646255</v>
      </c>
      <c r="BO98" s="32">
        <v>0</v>
      </c>
      <c r="BP98" s="32">
        <v>563.76428811719779</v>
      </c>
      <c r="BQ98" s="32">
        <v>0</v>
      </c>
      <c r="BR98" s="32">
        <v>0</v>
      </c>
      <c r="BS98" s="32">
        <v>0</v>
      </c>
      <c r="BT98" s="32">
        <v>0</v>
      </c>
      <c r="BU98" s="32">
        <v>0</v>
      </c>
      <c r="BV98" s="32">
        <v>0</v>
      </c>
      <c r="BW98" s="32">
        <v>0</v>
      </c>
      <c r="BX98" s="32">
        <v>1590.0354005029305</v>
      </c>
      <c r="BY98" s="32">
        <v>194.4138926555481</v>
      </c>
      <c r="BZ98" s="32">
        <v>-380.52913765909528</v>
      </c>
      <c r="CA98" s="32">
        <v>-86.610201248072983</v>
      </c>
      <c r="CB98" s="32">
        <v>2064.1027505818233</v>
      </c>
      <c r="CC98" s="32">
        <v>1317.3099542513103</v>
      </c>
      <c r="CD98" s="382">
        <v>1.418500429905009</v>
      </c>
      <c r="CE98" s="32">
        <v>17.713609351930028</v>
      </c>
      <c r="CF98" s="32">
        <v>29.73701583044155</v>
      </c>
      <c r="CG98" s="32">
        <v>0</v>
      </c>
      <c r="CH98" s="32">
        <v>29.73701583044155</v>
      </c>
      <c r="CI98" s="32">
        <v>1.4868468522375493</v>
      </c>
      <c r="CJ98" s="32">
        <v>0</v>
      </c>
      <c r="CK98" s="32">
        <v>1.4868468522375493</v>
      </c>
      <c r="CL98" s="32"/>
      <c r="CM98" s="32">
        <v>0</v>
      </c>
      <c r="CN98" s="32"/>
      <c r="CO98" s="32">
        <v>0</v>
      </c>
      <c r="CP98" s="32">
        <v>0</v>
      </c>
      <c r="CQ98" s="32">
        <v>0</v>
      </c>
      <c r="CR98" s="32">
        <v>0</v>
      </c>
      <c r="CS98" s="32">
        <v>0</v>
      </c>
      <c r="CT98" s="32">
        <v>0</v>
      </c>
      <c r="CU98" s="32">
        <v>0</v>
      </c>
      <c r="CV98" s="32">
        <v>9999</v>
      </c>
      <c r="CW98" s="382">
        <v>9999</v>
      </c>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row>
    <row r="99" spans="1:131">
      <c r="A99" s="11"/>
      <c r="B99" s="11"/>
      <c r="C99" s="32"/>
      <c r="D99" s="32"/>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c r="AG99" s="32"/>
      <c r="AH99" s="32"/>
      <c r="AI99" s="32"/>
      <c r="AJ99" s="32"/>
      <c r="AK99" s="32"/>
      <c r="AL99" s="32"/>
      <c r="AM99" s="32"/>
      <c r="AN99" s="32"/>
      <c r="AO99" s="32"/>
      <c r="AP99" s="32"/>
      <c r="AQ99" s="32"/>
      <c r="AR99" s="32"/>
      <c r="AS99" s="383"/>
      <c r="AT99" s="32"/>
      <c r="AU99" s="32"/>
      <c r="AV99" s="32"/>
      <c r="AW99" s="32"/>
      <c r="AX99" s="32"/>
      <c r="AY99" s="32"/>
      <c r="AZ99" s="383"/>
      <c r="BA99" s="32"/>
      <c r="BB99" s="32"/>
      <c r="BC99" s="32"/>
      <c r="BD99" s="32"/>
      <c r="BE99" s="32"/>
      <c r="BF99" s="32"/>
      <c r="BG99" s="32"/>
      <c r="BH99" s="383"/>
      <c r="BI99" s="32"/>
      <c r="BJ99" s="32"/>
      <c r="BK99" s="32"/>
      <c r="BL99" s="32"/>
      <c r="BM99" s="32"/>
      <c r="BN99" s="32"/>
      <c r="BO99" s="32"/>
      <c r="BP99" s="32"/>
      <c r="BQ99" s="32"/>
      <c r="BR99" s="32"/>
      <c r="BS99" s="32"/>
      <c r="BT99" s="32"/>
      <c r="BU99" s="32"/>
      <c r="BV99" s="32"/>
      <c r="BW99" s="32"/>
      <c r="BX99" s="32"/>
      <c r="BY99" s="32"/>
      <c r="BZ99" s="32"/>
      <c r="CA99" s="32"/>
      <c r="CB99" s="32"/>
      <c r="CC99" s="32"/>
      <c r="CD99" s="383"/>
      <c r="CE99" s="32"/>
      <c r="CF99" s="32"/>
      <c r="CG99" s="32"/>
      <c r="CH99" s="32"/>
      <c r="CI99" s="32"/>
      <c r="CJ99" s="32"/>
      <c r="CK99" s="32"/>
      <c r="CL99" s="32"/>
      <c r="CM99" s="32"/>
      <c r="CN99" s="32"/>
      <c r="CO99" s="32"/>
      <c r="CP99" s="32"/>
      <c r="CQ99" s="32"/>
      <c r="CR99" s="32"/>
      <c r="CS99" s="32"/>
      <c r="CT99" s="32"/>
      <c r="CU99" s="32"/>
      <c r="CV99" s="32"/>
      <c r="CW99" s="383"/>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row>
    <row r="100" spans="1:131">
      <c r="A100" s="11"/>
      <c r="B100" s="11"/>
      <c r="C100" s="32"/>
      <c r="D100" s="32"/>
      <c r="E100" s="32"/>
      <c r="F100" s="32"/>
      <c r="G100" s="32"/>
      <c r="H100" s="32"/>
      <c r="I100" s="32"/>
      <c r="J100" s="32"/>
      <c r="K100" s="32"/>
      <c r="L100" s="32"/>
      <c r="M100" s="32"/>
      <c r="N100" s="32"/>
      <c r="O100" s="32"/>
      <c r="P100" s="32"/>
      <c r="Q100" s="32"/>
      <c r="R100" s="32"/>
      <c r="S100" s="32"/>
      <c r="T100" s="32"/>
      <c r="U100" s="32"/>
      <c r="V100" s="32"/>
      <c r="W100" s="32"/>
      <c r="X100" s="32"/>
      <c r="Y100" s="32"/>
      <c r="Z100" s="32"/>
      <c r="AA100" s="32"/>
      <c r="AB100" s="32"/>
      <c r="AC100" s="32"/>
      <c r="AD100" s="32"/>
      <c r="AE100" s="32"/>
      <c r="AF100" s="32"/>
      <c r="AG100" s="32"/>
      <c r="AH100" s="32"/>
      <c r="AI100" s="32"/>
      <c r="AJ100" s="32"/>
      <c r="AK100" s="32"/>
      <c r="AL100" s="32"/>
      <c r="AM100" s="32"/>
      <c r="AN100" s="32"/>
      <c r="AO100" s="32"/>
      <c r="AP100" s="32"/>
      <c r="AQ100" s="32"/>
      <c r="AR100" s="32"/>
      <c r="AS100" s="383"/>
      <c r="AT100" s="32"/>
      <c r="AU100" s="32"/>
      <c r="AV100" s="32"/>
      <c r="AW100" s="32"/>
      <c r="AX100" s="32"/>
      <c r="AY100" s="32"/>
      <c r="AZ100" s="383"/>
      <c r="BA100" s="32"/>
      <c r="BB100" s="32"/>
      <c r="BC100" s="32"/>
      <c r="BD100" s="32"/>
      <c r="BE100" s="32"/>
      <c r="BF100" s="32"/>
      <c r="BG100" s="32"/>
      <c r="BH100" s="383"/>
      <c r="BI100" s="32"/>
      <c r="BJ100" s="32"/>
      <c r="BK100" s="32"/>
      <c r="BL100" s="32"/>
      <c r="BM100" s="32"/>
      <c r="BN100" s="32"/>
      <c r="BO100" s="32"/>
      <c r="BP100" s="32"/>
      <c r="BQ100" s="32"/>
      <c r="BR100" s="32"/>
      <c r="BS100" s="32"/>
      <c r="BT100" s="32"/>
      <c r="BU100" s="32"/>
      <c r="BV100" s="32"/>
      <c r="BW100" s="32"/>
      <c r="BX100" s="32"/>
      <c r="BY100" s="32"/>
      <c r="BZ100" s="32"/>
      <c r="CA100" s="32"/>
      <c r="CB100" s="32"/>
      <c r="CC100" s="32"/>
      <c r="CD100" s="383"/>
      <c r="CE100" s="32"/>
      <c r="CF100" s="32"/>
      <c r="CG100" s="32"/>
      <c r="CH100" s="32"/>
      <c r="CI100" s="32"/>
      <c r="CJ100" s="32"/>
      <c r="CK100" s="32"/>
      <c r="CL100" s="32"/>
      <c r="CM100" s="32"/>
      <c r="CN100" s="32"/>
      <c r="CO100" s="32"/>
      <c r="CP100" s="32"/>
      <c r="CQ100" s="32"/>
      <c r="CR100" s="32"/>
      <c r="CS100" s="32"/>
      <c r="CT100" s="32"/>
      <c r="CU100" s="32"/>
      <c r="CV100" s="32"/>
      <c r="CW100" s="383"/>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row>
    <row r="101" spans="1:131" ht="13.5" thickBot="1">
      <c r="A101" s="367" t="s">
        <v>612</v>
      </c>
      <c r="B101" s="369"/>
      <c r="C101" s="32"/>
      <c r="D101" s="32"/>
      <c r="E101" s="32"/>
      <c r="F101" s="32"/>
      <c r="G101" s="32"/>
      <c r="H101" s="32"/>
      <c r="I101" s="32"/>
      <c r="J101" s="32"/>
      <c r="K101" s="32"/>
      <c r="L101" s="32"/>
      <c r="M101" s="32"/>
      <c r="N101" s="32"/>
      <c r="O101" s="32"/>
      <c r="P101" s="32"/>
      <c r="Q101" s="32"/>
      <c r="R101" s="32"/>
      <c r="S101" s="32"/>
      <c r="T101" s="32"/>
      <c r="U101" s="32"/>
      <c r="V101" s="32"/>
      <c r="W101" s="32"/>
      <c r="X101" s="32"/>
      <c r="Y101" s="32"/>
      <c r="Z101" s="32"/>
      <c r="AA101" s="32"/>
      <c r="AB101" s="32"/>
      <c r="AC101" s="32"/>
      <c r="AD101" s="32"/>
      <c r="AE101" s="32"/>
      <c r="AF101" s="32"/>
      <c r="AG101" s="32"/>
      <c r="AH101" s="32"/>
      <c r="AI101" s="32"/>
      <c r="AJ101" s="32"/>
      <c r="AK101" s="32"/>
      <c r="AL101" s="32"/>
      <c r="AM101" s="32"/>
      <c r="AN101" s="32"/>
      <c r="AO101" s="32"/>
      <c r="AP101" s="32"/>
      <c r="AQ101" s="32"/>
      <c r="AR101" s="32"/>
      <c r="AS101" s="383"/>
      <c r="AT101" s="32"/>
      <c r="AU101" s="32"/>
      <c r="AV101" s="32"/>
      <c r="AW101" s="32"/>
      <c r="AX101" s="32"/>
      <c r="AY101" s="32"/>
      <c r="AZ101" s="383"/>
      <c r="BA101" s="32"/>
      <c r="BB101" s="32"/>
      <c r="BC101" s="32"/>
      <c r="BD101" s="32"/>
      <c r="BE101" s="32"/>
      <c r="BF101" s="32"/>
      <c r="BG101" s="32"/>
      <c r="BH101" s="383"/>
      <c r="BI101" s="32"/>
      <c r="BJ101" s="32"/>
      <c r="BK101" s="32"/>
      <c r="BL101" s="32"/>
      <c r="BM101" s="32"/>
      <c r="BN101" s="32"/>
      <c r="BO101" s="32"/>
      <c r="BP101" s="32"/>
      <c r="BQ101" s="32"/>
      <c r="BR101" s="32"/>
      <c r="BS101" s="32"/>
      <c r="BT101" s="32"/>
      <c r="BU101" s="32"/>
      <c r="BV101" s="32"/>
      <c r="BW101" s="32"/>
      <c r="BX101" s="32"/>
      <c r="BY101" s="32"/>
      <c r="BZ101" s="32"/>
      <c r="CA101" s="32"/>
      <c r="CB101" s="32"/>
      <c r="CC101" s="32"/>
      <c r="CD101" s="383"/>
      <c r="CE101" s="32"/>
      <c r="CF101" s="32"/>
      <c r="CG101" s="32"/>
      <c r="CH101" s="32"/>
      <c r="CI101" s="32"/>
      <c r="CJ101" s="32"/>
      <c r="CK101" s="32"/>
      <c r="CL101" s="32"/>
      <c r="CM101" s="32"/>
      <c r="CN101" s="32"/>
      <c r="CO101" s="32"/>
      <c r="CP101" s="32"/>
      <c r="CQ101" s="32"/>
      <c r="CR101" s="32"/>
      <c r="CS101" s="32"/>
      <c r="CT101" s="32"/>
      <c r="CU101" s="32"/>
      <c r="CV101" s="32"/>
      <c r="CW101" s="383"/>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row>
    <row r="102" spans="1:131" ht="13.5" thickBot="1">
      <c r="A102" s="384" t="s">
        <v>613</v>
      </c>
      <c r="B102" s="385"/>
      <c r="C102" s="386"/>
      <c r="D102" s="386"/>
      <c r="E102" s="386"/>
      <c r="F102" s="386"/>
      <c r="G102" s="386"/>
      <c r="H102" s="386"/>
      <c r="I102" s="386"/>
      <c r="J102" s="386"/>
      <c r="K102" s="386"/>
      <c r="L102" s="387"/>
      <c r="M102" s="388"/>
      <c r="N102" s="389" t="s">
        <v>954</v>
      </c>
      <c r="O102" s="386"/>
      <c r="P102" s="386"/>
      <c r="Q102" s="386"/>
      <c r="R102" s="386"/>
      <c r="S102" s="386"/>
      <c r="T102" s="386"/>
      <c r="U102" s="386"/>
      <c r="V102" s="386"/>
      <c r="W102" s="386"/>
      <c r="X102" s="386"/>
      <c r="Y102" s="387"/>
      <c r="Z102" s="388"/>
      <c r="AA102" s="389" t="s">
        <v>955</v>
      </c>
      <c r="AB102" s="386"/>
      <c r="AC102" s="386"/>
      <c r="AD102" s="386"/>
      <c r="AE102" s="386"/>
      <c r="AF102" s="386"/>
      <c r="AG102" s="386"/>
      <c r="AH102" s="386"/>
      <c r="AI102" s="386"/>
      <c r="AJ102" s="386"/>
      <c r="AK102" s="386"/>
      <c r="AL102" s="387"/>
      <c r="AM102" s="32"/>
      <c r="AN102" s="32"/>
      <c r="AO102" s="32"/>
      <c r="AP102" s="32"/>
      <c r="AQ102" s="32"/>
      <c r="AR102" s="32"/>
      <c r="AS102" s="383"/>
      <c r="AT102" s="32"/>
      <c r="AU102" s="32"/>
      <c r="AV102" s="32"/>
      <c r="AW102" s="32"/>
      <c r="AX102" s="32"/>
      <c r="AY102" s="32"/>
      <c r="AZ102" s="383"/>
      <c r="BA102" s="32"/>
      <c r="BB102" s="32"/>
      <c r="BC102" s="32"/>
      <c r="BD102" s="32"/>
      <c r="BE102" s="32"/>
      <c r="BF102" s="32"/>
      <c r="BG102" s="32"/>
      <c r="BH102" s="383"/>
      <c r="BI102" s="32"/>
      <c r="BJ102" s="32"/>
      <c r="BK102" s="32"/>
      <c r="BL102" s="32"/>
      <c r="BM102" s="32"/>
      <c r="BN102" s="32"/>
      <c r="BO102" s="32"/>
      <c r="BP102" s="32"/>
      <c r="BQ102" s="32"/>
      <c r="BR102" s="32"/>
      <c r="BS102" s="32"/>
      <c r="BT102" s="32"/>
      <c r="BU102" s="32"/>
      <c r="BV102" s="32"/>
      <c r="BW102" s="32"/>
      <c r="BX102" s="32"/>
      <c r="BY102" s="32"/>
      <c r="BZ102" s="32"/>
      <c r="CA102" s="32"/>
      <c r="CB102" s="32"/>
      <c r="CC102" s="32"/>
      <c r="CD102" s="383"/>
      <c r="CE102" s="32"/>
      <c r="CF102" s="32"/>
      <c r="CG102" s="32"/>
      <c r="CH102" s="32"/>
      <c r="CI102" s="32"/>
      <c r="CJ102" s="32"/>
      <c r="CK102" s="32"/>
      <c r="CL102" s="32"/>
      <c r="CM102" s="32"/>
      <c r="CN102" s="32"/>
      <c r="CO102" s="32"/>
      <c r="CP102" s="32"/>
      <c r="CQ102" s="32"/>
      <c r="CR102" s="32"/>
      <c r="CS102" s="32"/>
      <c r="CT102" s="32"/>
      <c r="CU102" s="32"/>
      <c r="CV102" s="32"/>
      <c r="CW102" s="383"/>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row>
    <row r="103" spans="1:131" ht="102">
      <c r="A103" s="378"/>
      <c r="B103" s="379" t="s">
        <v>614</v>
      </c>
      <c r="C103" s="380" t="s">
        <v>615</v>
      </c>
      <c r="D103" s="380" t="s">
        <v>616</v>
      </c>
      <c r="E103" s="380" t="s">
        <v>617</v>
      </c>
      <c r="F103" s="380" t="s">
        <v>618</v>
      </c>
      <c r="G103" s="380" t="s">
        <v>619</v>
      </c>
      <c r="H103" s="380" t="s">
        <v>620</v>
      </c>
      <c r="I103" s="380" t="s">
        <v>621</v>
      </c>
      <c r="J103" s="380" t="s">
        <v>622</v>
      </c>
      <c r="K103" s="380" t="s">
        <v>372</v>
      </c>
      <c r="L103" s="380" t="s">
        <v>371</v>
      </c>
      <c r="M103" s="380" t="s">
        <v>623</v>
      </c>
      <c r="N103" s="380" t="s">
        <v>624</v>
      </c>
      <c r="O103" s="380" t="s">
        <v>625</v>
      </c>
      <c r="P103" s="380" t="s">
        <v>626</v>
      </c>
      <c r="Q103" s="380" t="s">
        <v>627</v>
      </c>
      <c r="R103" s="380" t="s">
        <v>628</v>
      </c>
      <c r="S103" s="380" t="s">
        <v>629</v>
      </c>
      <c r="T103" s="380" t="s">
        <v>630</v>
      </c>
      <c r="U103" s="380" t="s">
        <v>631</v>
      </c>
      <c r="V103" s="380" t="s">
        <v>632</v>
      </c>
      <c r="W103" s="380" t="s">
        <v>633</v>
      </c>
      <c r="X103" s="380" t="s">
        <v>634</v>
      </c>
      <c r="Y103" s="380" t="s">
        <v>635</v>
      </c>
      <c r="Z103" s="380"/>
      <c r="AA103" s="380" t="s">
        <v>624</v>
      </c>
      <c r="AB103" s="380" t="s">
        <v>625</v>
      </c>
      <c r="AC103" s="380" t="s">
        <v>626</v>
      </c>
      <c r="AD103" s="380" t="s">
        <v>627</v>
      </c>
      <c r="AE103" s="380" t="s">
        <v>628</v>
      </c>
      <c r="AF103" s="380" t="s">
        <v>629</v>
      </c>
      <c r="AG103" s="380" t="s">
        <v>630</v>
      </c>
      <c r="AH103" s="380" t="s">
        <v>631</v>
      </c>
      <c r="AI103" s="380" t="s">
        <v>632</v>
      </c>
      <c r="AJ103" s="380" t="s">
        <v>633</v>
      </c>
      <c r="AK103" s="380" t="s">
        <v>634</v>
      </c>
      <c r="AL103" s="380" t="s">
        <v>635</v>
      </c>
      <c r="AM103" s="32"/>
      <c r="AN103" s="32"/>
      <c r="AO103" s="32"/>
      <c r="AP103" s="32"/>
      <c r="AQ103" s="32"/>
      <c r="AR103" s="32"/>
      <c r="AS103" s="383"/>
      <c r="AT103" s="32"/>
      <c r="AU103" s="32"/>
      <c r="AV103" s="32"/>
      <c r="AW103" s="32"/>
      <c r="AX103" s="32"/>
      <c r="AY103" s="32"/>
      <c r="AZ103" s="383"/>
      <c r="BA103" s="32"/>
      <c r="BB103" s="32"/>
      <c r="BC103" s="32"/>
      <c r="BD103" s="32"/>
      <c r="BE103" s="32"/>
      <c r="BF103" s="32"/>
      <c r="BG103" s="32"/>
      <c r="BH103" s="383"/>
      <c r="BI103" s="32"/>
      <c r="BJ103" s="32"/>
      <c r="BK103" s="32"/>
      <c r="BL103" s="32"/>
      <c r="BM103" s="32"/>
      <c r="BN103" s="32"/>
      <c r="BO103" s="32"/>
      <c r="BP103" s="32"/>
      <c r="BQ103" s="32"/>
      <c r="BR103" s="32"/>
      <c r="BS103" s="32"/>
      <c r="BT103" s="32"/>
      <c r="BU103" s="32"/>
      <c r="BV103" s="32"/>
      <c r="BW103" s="32"/>
      <c r="BX103" s="32"/>
      <c r="BY103" s="32"/>
      <c r="BZ103" s="32"/>
      <c r="CA103" s="32"/>
      <c r="CB103" s="32"/>
      <c r="CC103" s="32"/>
      <c r="CD103" s="383"/>
      <c r="CE103" s="32"/>
      <c r="CF103" s="32"/>
      <c r="CG103" s="32"/>
      <c r="CH103" s="32"/>
      <c r="CI103" s="32"/>
      <c r="CJ103" s="32"/>
      <c r="CK103" s="32"/>
      <c r="CL103" s="32"/>
      <c r="CM103" s="32"/>
      <c r="CN103" s="32"/>
      <c r="CO103" s="32"/>
      <c r="CP103" s="32"/>
      <c r="CQ103" s="32"/>
      <c r="CR103" s="32"/>
      <c r="CS103" s="32"/>
      <c r="CT103" s="32"/>
      <c r="CU103" s="32"/>
      <c r="CV103" s="32"/>
      <c r="CW103" s="383"/>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row>
    <row r="104" spans="1:131">
      <c r="A104" s="11"/>
      <c r="B104" s="390" t="s">
        <v>636</v>
      </c>
      <c r="C104" s="391">
        <v>11663.351790282923</v>
      </c>
      <c r="D104" s="391">
        <v>2395.0477523572745</v>
      </c>
      <c r="E104" s="391">
        <v>0</v>
      </c>
      <c r="F104" s="391">
        <v>2395.0477523572745</v>
      </c>
      <c r="G104" s="391">
        <v>-688.26921093465785</v>
      </c>
      <c r="H104" s="391">
        <v>7690.9866847894136</v>
      </c>
      <c r="I104" s="391">
        <v>1798.849823609821</v>
      </c>
      <c r="J104" s="391">
        <v>-3.2764626427946939</v>
      </c>
      <c r="K104" s="391">
        <v>-17.594568227891564</v>
      </c>
      <c r="L104" s="382">
        <v>308.55361153518948</v>
      </c>
      <c r="M104" s="32">
        <v>110.80213556850815</v>
      </c>
      <c r="N104" s="166">
        <v>477.7013356956345</v>
      </c>
      <c r="O104" s="166">
        <v>353.14667773607118</v>
      </c>
      <c r="P104" s="166">
        <v>328.97241839117407</v>
      </c>
      <c r="Q104" s="166">
        <v>188.85438030684907</v>
      </c>
      <c r="R104" s="166">
        <v>151.70463176520093</v>
      </c>
      <c r="S104" s="166">
        <v>117.67841973358547</v>
      </c>
      <c r="T104" s="166">
        <v>122.79651226765861</v>
      </c>
      <c r="U104" s="166">
        <v>178.73437799092966</v>
      </c>
      <c r="V104" s="166">
        <v>225.81685699972539</v>
      </c>
      <c r="W104" s="166">
        <v>368.39470755776324</v>
      </c>
      <c r="X104" s="166">
        <v>426.61097260858998</v>
      </c>
      <c r="Y104" s="166">
        <v>502.53912323727792</v>
      </c>
      <c r="Z104" s="166"/>
      <c r="AA104" s="166">
        <v>791.71485176769158</v>
      </c>
      <c r="AB104" s="166">
        <v>686.74629342646028</v>
      </c>
      <c r="AC104" s="166">
        <v>692.31456978252777</v>
      </c>
      <c r="AD104" s="166">
        <v>659.25653894479376</v>
      </c>
      <c r="AE104" s="166">
        <v>607.20883046975371</v>
      </c>
      <c r="AF104" s="166">
        <v>551.70561853475488</v>
      </c>
      <c r="AG104" s="166">
        <v>602.44830077257643</v>
      </c>
      <c r="AH104" s="166">
        <v>650.52580108120139</v>
      </c>
      <c r="AI104" s="166">
        <v>701.19974678177687</v>
      </c>
      <c r="AJ104" s="166">
        <v>723.67786252514361</v>
      </c>
      <c r="AK104" s="166">
        <v>758.61650256344365</v>
      </c>
      <c r="AL104" s="166">
        <v>794.9864593423423</v>
      </c>
      <c r="AM104" s="32"/>
      <c r="AN104" s="32"/>
      <c r="AO104" s="32"/>
      <c r="AP104" s="32"/>
      <c r="AQ104" s="32"/>
      <c r="AR104" s="32"/>
      <c r="AS104" s="383"/>
      <c r="AT104" s="32"/>
      <c r="AU104" s="32"/>
      <c r="AV104" s="32"/>
      <c r="AW104" s="32"/>
      <c r="AX104" s="32"/>
      <c r="AY104" s="32"/>
      <c r="AZ104" s="383"/>
      <c r="BA104" s="32"/>
      <c r="BB104" s="32"/>
      <c r="BC104" s="32"/>
      <c r="BD104" s="32"/>
      <c r="BE104" s="32"/>
      <c r="BF104" s="32"/>
      <c r="BG104" s="32"/>
      <c r="BH104" s="383"/>
      <c r="BI104" s="32"/>
      <c r="BJ104" s="32"/>
      <c r="BK104" s="32"/>
      <c r="BL104" s="32"/>
      <c r="BM104" s="32"/>
      <c r="BN104" s="32"/>
      <c r="BO104" s="32"/>
      <c r="BP104" s="32"/>
      <c r="BQ104" s="32"/>
      <c r="BR104" s="32"/>
      <c r="BS104" s="32"/>
      <c r="BT104" s="32"/>
      <c r="BU104" s="32"/>
      <c r="BV104" s="32"/>
      <c r="BW104" s="32"/>
      <c r="BX104" s="32"/>
      <c r="BY104" s="32"/>
      <c r="BZ104" s="32"/>
      <c r="CA104" s="32"/>
      <c r="CB104" s="32"/>
      <c r="CC104" s="32"/>
      <c r="CD104" s="383"/>
      <c r="CE104" s="32"/>
      <c r="CF104" s="32"/>
      <c r="CG104" s="32"/>
      <c r="CH104" s="32"/>
      <c r="CI104" s="32"/>
      <c r="CJ104" s="32"/>
      <c r="CK104" s="32"/>
      <c r="CL104" s="32"/>
      <c r="CM104" s="32"/>
      <c r="CN104" s="32"/>
      <c r="CO104" s="32"/>
      <c r="CP104" s="32"/>
      <c r="CQ104" s="32"/>
      <c r="CR104" s="32"/>
      <c r="CS104" s="32"/>
      <c r="CT104" s="32"/>
      <c r="CU104" s="32"/>
      <c r="CV104" s="32"/>
      <c r="CW104" s="383"/>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row>
    <row r="105" spans="1:131">
      <c r="A105" s="11"/>
      <c r="B105" s="390" t="s">
        <v>637</v>
      </c>
      <c r="C105" s="391">
        <v>11663.351790282923</v>
      </c>
      <c r="D105" s="391">
        <v>2395.047752357274</v>
      </c>
      <c r="E105" s="391">
        <v>479.00955047145487</v>
      </c>
      <c r="F105" s="391">
        <v>2874.057302828729</v>
      </c>
      <c r="G105" s="391">
        <v>-209.25966046320286</v>
      </c>
      <c r="H105" s="391">
        <v>7690.9866847894136</v>
      </c>
      <c r="I105" s="391">
        <v>2158.619788331785</v>
      </c>
      <c r="J105" s="391">
        <v>-0.25448733230255183</v>
      </c>
      <c r="K105" s="391">
        <v>-14.57259291739943</v>
      </c>
      <c r="L105" s="382">
        <v>305.50819897562974</v>
      </c>
      <c r="M105" s="32">
        <v>110.80213556850816</v>
      </c>
      <c r="N105" s="166">
        <v>145.57617779499375</v>
      </c>
      <c r="O105" s="166">
        <v>107.61900732589362</v>
      </c>
      <c r="P105" s="166">
        <v>100.25206900379254</v>
      </c>
      <c r="Q105" s="166">
        <v>57.552066093510142</v>
      </c>
      <c r="R105" s="166">
        <v>46.230937190106665</v>
      </c>
      <c r="S105" s="166">
        <v>35.861684432646008</v>
      </c>
      <c r="T105" s="166">
        <v>37.421387730578964</v>
      </c>
      <c r="U105" s="166">
        <v>54.468065387749725</v>
      </c>
      <c r="V105" s="166">
        <v>68.816125196358996</v>
      </c>
      <c r="W105" s="166">
        <v>112.26573894349228</v>
      </c>
      <c r="X105" s="166">
        <v>130.00674303605646</v>
      </c>
      <c r="Y105" s="166">
        <v>153.14532174543132</v>
      </c>
      <c r="Z105" s="166"/>
      <c r="AA105" s="166">
        <v>241.26962478770361</v>
      </c>
      <c r="AB105" s="166">
        <v>209.28118270031655</v>
      </c>
      <c r="AC105" s="166">
        <v>210.97807640408257</v>
      </c>
      <c r="AD105" s="166">
        <v>200.9038701685518</v>
      </c>
      <c r="AE105" s="166">
        <v>185.04269102457707</v>
      </c>
      <c r="AF105" s="166">
        <v>168.12847110288382</v>
      </c>
      <c r="AG105" s="166">
        <v>183.59195252792748</v>
      </c>
      <c r="AH105" s="166">
        <v>198.2432381951013</v>
      </c>
      <c r="AI105" s="166">
        <v>213.68577263586951</v>
      </c>
      <c r="AJ105" s="166">
        <v>220.5358229276228</v>
      </c>
      <c r="AK105" s="166">
        <v>231.18313180885968</v>
      </c>
      <c r="AL105" s="166">
        <v>242.26662456638181</v>
      </c>
      <c r="AM105" s="32"/>
      <c r="AN105" s="32"/>
      <c r="AO105" s="32"/>
      <c r="AP105" s="32"/>
      <c r="AQ105" s="32"/>
      <c r="AR105" s="32"/>
      <c r="AS105" s="383"/>
      <c r="AT105" s="32"/>
      <c r="AU105" s="32"/>
      <c r="AV105" s="32"/>
      <c r="AW105" s="32"/>
      <c r="AX105" s="32"/>
      <c r="AY105" s="32"/>
      <c r="AZ105" s="383"/>
      <c r="BA105" s="32"/>
      <c r="BB105" s="32"/>
      <c r="BC105" s="32"/>
      <c r="BD105" s="32"/>
      <c r="BE105" s="32"/>
      <c r="BF105" s="32"/>
      <c r="BG105" s="32"/>
      <c r="BH105" s="383"/>
      <c r="BI105" s="32"/>
      <c r="BJ105" s="32"/>
      <c r="BK105" s="32"/>
      <c r="BL105" s="32"/>
      <c r="BM105" s="32"/>
      <c r="BN105" s="32"/>
      <c r="BO105" s="32"/>
      <c r="BP105" s="32"/>
      <c r="BQ105" s="32"/>
      <c r="BR105" s="32"/>
      <c r="BS105" s="32"/>
      <c r="BT105" s="32"/>
      <c r="BU105" s="32"/>
      <c r="BV105" s="32"/>
      <c r="BW105" s="32"/>
      <c r="BX105" s="32"/>
      <c r="BY105" s="32"/>
      <c r="BZ105" s="32"/>
      <c r="CA105" s="32"/>
      <c r="CB105" s="32"/>
      <c r="CC105" s="32"/>
      <c r="CD105" s="383"/>
      <c r="CE105" s="32"/>
      <c r="CF105" s="32"/>
      <c r="CG105" s="32"/>
      <c r="CH105" s="32"/>
      <c r="CI105" s="32"/>
      <c r="CJ105" s="32"/>
      <c r="CK105" s="32"/>
      <c r="CL105" s="32"/>
      <c r="CM105" s="32"/>
      <c r="CN105" s="32"/>
      <c r="CO105" s="32"/>
      <c r="CP105" s="32"/>
      <c r="CQ105" s="32"/>
      <c r="CR105" s="32"/>
      <c r="CS105" s="32"/>
      <c r="CT105" s="32"/>
      <c r="CU105" s="32"/>
      <c r="CV105" s="32"/>
      <c r="CW105" s="383"/>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row>
    <row r="106" spans="1:131">
      <c r="A106" s="11"/>
      <c r="B106" s="390" t="s">
        <v>638</v>
      </c>
      <c r="C106" s="392"/>
      <c r="D106" s="392"/>
      <c r="E106" s="392"/>
      <c r="F106" s="392"/>
      <c r="G106" s="392"/>
      <c r="H106" s="392"/>
      <c r="I106" s="392"/>
      <c r="J106" s="392"/>
      <c r="K106" s="392"/>
      <c r="L106" s="383"/>
      <c r="M106" s="393"/>
      <c r="N106" s="393"/>
      <c r="O106" s="393"/>
      <c r="P106" s="393"/>
      <c r="Q106" s="393"/>
      <c r="R106" s="393"/>
      <c r="S106" s="393"/>
      <c r="T106" s="393"/>
      <c r="U106" s="393"/>
      <c r="V106" s="393"/>
      <c r="W106" s="393"/>
      <c r="X106" s="393"/>
      <c r="Y106" s="393"/>
      <c r="Z106" s="393"/>
      <c r="AA106" s="393"/>
      <c r="AB106" s="393"/>
      <c r="AC106" s="393"/>
      <c r="AD106" s="393"/>
      <c r="AE106" s="393"/>
      <c r="AF106" s="393"/>
      <c r="AG106" s="393"/>
      <c r="AH106" s="393"/>
      <c r="AI106" s="393"/>
      <c r="AJ106" s="393"/>
      <c r="AK106" s="393"/>
      <c r="AL106" s="393"/>
      <c r="AM106" s="32"/>
      <c r="AN106" s="32"/>
      <c r="AO106" s="32"/>
      <c r="AP106" s="32"/>
      <c r="AQ106" s="32"/>
      <c r="AR106" s="32"/>
      <c r="AS106" s="383"/>
      <c r="AT106" s="32"/>
      <c r="AU106" s="32"/>
      <c r="AV106" s="32"/>
      <c r="AW106" s="32"/>
      <c r="AX106" s="32"/>
      <c r="AY106" s="32"/>
      <c r="AZ106" s="383"/>
      <c r="BA106" s="32"/>
      <c r="BB106" s="32"/>
      <c r="BC106" s="32"/>
      <c r="BD106" s="32"/>
      <c r="BE106" s="32"/>
      <c r="BF106" s="32"/>
      <c r="BG106" s="32"/>
      <c r="BH106" s="383"/>
      <c r="BI106" s="32"/>
      <c r="BJ106" s="32"/>
      <c r="BK106" s="32"/>
      <c r="BL106" s="32"/>
      <c r="BM106" s="32"/>
      <c r="BN106" s="32"/>
      <c r="BO106" s="32"/>
      <c r="BP106" s="32"/>
      <c r="BQ106" s="32"/>
      <c r="BR106" s="32"/>
      <c r="BS106" s="32"/>
      <c r="BT106" s="32"/>
      <c r="BU106" s="32"/>
      <c r="BV106" s="32"/>
      <c r="BW106" s="32"/>
      <c r="BX106" s="32"/>
      <c r="BY106" s="32"/>
      <c r="BZ106" s="32"/>
      <c r="CA106" s="32"/>
      <c r="CB106" s="32"/>
      <c r="CC106" s="32"/>
      <c r="CD106" s="383"/>
      <c r="CE106" s="32"/>
      <c r="CF106" s="32"/>
      <c r="CG106" s="32"/>
      <c r="CH106" s="32"/>
      <c r="CI106" s="32"/>
      <c r="CJ106" s="32"/>
      <c r="CK106" s="32"/>
      <c r="CL106" s="32"/>
      <c r="CM106" s="32"/>
      <c r="CN106" s="32"/>
      <c r="CO106" s="32"/>
      <c r="CP106" s="32"/>
      <c r="CQ106" s="32"/>
      <c r="CR106" s="32"/>
      <c r="CS106" s="32"/>
      <c r="CT106" s="32"/>
      <c r="CU106" s="32"/>
      <c r="CV106" s="32"/>
      <c r="CW106" s="383"/>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row>
    <row r="107" spans="1:131">
      <c r="A107" s="11"/>
      <c r="B107" s="11" t="s">
        <v>639</v>
      </c>
      <c r="C107" s="32">
        <v>8533.1478908354511</v>
      </c>
      <c r="D107" s="32">
        <v>1422.9782890795336</v>
      </c>
      <c r="E107" s="32">
        <v>284.59565781590675</v>
      </c>
      <c r="F107" s="32">
        <v>1707.5739468954403</v>
      </c>
      <c r="G107" s="32">
        <v>-1526.5696147145131</v>
      </c>
      <c r="H107" s="32">
        <v>5626.8839342075898</v>
      </c>
      <c r="I107" s="32">
        <v>1752.9694745908753</v>
      </c>
      <c r="J107" s="32">
        <v>-2.6970729704866407</v>
      </c>
      <c r="K107" s="32">
        <v>-26.416099854662907</v>
      </c>
      <c r="L107" s="382">
        <v>417.0570403114196</v>
      </c>
      <c r="M107" s="32">
        <v>81.065119738066613</v>
      </c>
      <c r="N107" s="166">
        <v>349.49611556230019</v>
      </c>
      <c r="O107" s="166">
        <v>258.36936778239834</v>
      </c>
      <c r="P107" s="166">
        <v>240.68298278342411</v>
      </c>
      <c r="Q107" s="166">
        <v>138.16974622449709</v>
      </c>
      <c r="R107" s="166">
        <v>110.99022663928332</v>
      </c>
      <c r="S107" s="166">
        <v>86.095950563978946</v>
      </c>
      <c r="T107" s="166">
        <v>89.840452255903585</v>
      </c>
      <c r="U107" s="166">
        <v>130.7657445301229</v>
      </c>
      <c r="V107" s="166">
        <v>165.21225387608365</v>
      </c>
      <c r="W107" s="166">
        <v>269.52513979818963</v>
      </c>
      <c r="X107" s="166">
        <v>312.1173558492095</v>
      </c>
      <c r="Y107" s="166">
        <v>367.66795142774754</v>
      </c>
      <c r="Z107" s="166"/>
      <c r="AA107" s="166">
        <v>579.23485795335841</v>
      </c>
      <c r="AB107" s="166">
        <v>502.4377032143787</v>
      </c>
      <c r="AC107" s="166">
        <v>506.51156864326435</v>
      </c>
      <c r="AD107" s="166">
        <v>482.32563382878004</v>
      </c>
      <c r="AE107" s="166">
        <v>444.24646055316759</v>
      </c>
      <c r="AF107" s="166">
        <v>403.6391699240441</v>
      </c>
      <c r="AG107" s="166">
        <v>440.76355918183367</v>
      </c>
      <c r="AH107" s="166">
        <v>475.93804656178025</v>
      </c>
      <c r="AI107" s="166">
        <v>513.01214675615381</v>
      </c>
      <c r="AJ107" s="166">
        <v>529.45759823479875</v>
      </c>
      <c r="AK107" s="166">
        <v>555.01942539325466</v>
      </c>
      <c r="AL107" s="166">
        <v>581.62843329750035</v>
      </c>
      <c r="AM107" s="32"/>
      <c r="AN107" s="32"/>
      <c r="AO107" s="32"/>
      <c r="AP107" s="32"/>
      <c r="AQ107" s="32"/>
      <c r="AR107" s="32"/>
      <c r="AS107" s="383"/>
      <c r="AT107" s="32"/>
      <c r="AU107" s="32"/>
      <c r="AV107" s="32"/>
      <c r="AW107" s="32"/>
      <c r="AX107" s="32"/>
      <c r="AY107" s="32"/>
      <c r="AZ107" s="383"/>
      <c r="BA107" s="32"/>
      <c r="BB107" s="32"/>
      <c r="BC107" s="32"/>
      <c r="BD107" s="32"/>
      <c r="BE107" s="32"/>
      <c r="BF107" s="32"/>
      <c r="BG107" s="32"/>
      <c r="BH107" s="383"/>
      <c r="BI107" s="32"/>
      <c r="BJ107" s="32"/>
      <c r="BK107" s="32"/>
      <c r="BL107" s="32"/>
      <c r="BM107" s="32"/>
      <c r="BN107" s="32"/>
      <c r="BO107" s="32"/>
      <c r="BP107" s="32"/>
      <c r="BQ107" s="32"/>
      <c r="BR107" s="32"/>
      <c r="BS107" s="32"/>
      <c r="BT107" s="32"/>
      <c r="BU107" s="32"/>
      <c r="BV107" s="32"/>
      <c r="BW107" s="32"/>
      <c r="BX107" s="32"/>
      <c r="BY107" s="32"/>
      <c r="BZ107" s="32"/>
      <c r="CA107" s="32"/>
      <c r="CB107" s="32"/>
      <c r="CC107" s="32"/>
      <c r="CD107" s="383"/>
      <c r="CE107" s="32"/>
      <c r="CF107" s="32"/>
      <c r="CG107" s="32"/>
      <c r="CH107" s="32"/>
      <c r="CI107" s="32"/>
      <c r="CJ107" s="32"/>
      <c r="CK107" s="32"/>
      <c r="CL107" s="32"/>
      <c r="CM107" s="32"/>
      <c r="CN107" s="32"/>
      <c r="CO107" s="32"/>
      <c r="CP107" s="32"/>
      <c r="CQ107" s="32"/>
      <c r="CR107" s="32"/>
      <c r="CS107" s="32"/>
      <c r="CT107" s="32"/>
      <c r="CU107" s="32"/>
      <c r="CV107" s="32"/>
      <c r="CW107" s="383"/>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row>
    <row r="108" spans="1:131">
      <c r="A108" s="11"/>
      <c r="B108" s="11" t="s">
        <v>640</v>
      </c>
      <c r="C108" s="393">
        <v>0</v>
      </c>
      <c r="D108" s="393">
        <v>0</v>
      </c>
      <c r="E108" s="393">
        <v>0</v>
      </c>
      <c r="F108" s="393">
        <v>0</v>
      </c>
      <c r="G108" s="393">
        <v>0</v>
      </c>
      <c r="H108" s="393">
        <v>0</v>
      </c>
      <c r="I108" s="393">
        <v>0</v>
      </c>
      <c r="J108" s="393">
        <v>0</v>
      </c>
      <c r="K108" s="393">
        <v>0</v>
      </c>
      <c r="L108" s="394">
        <v>0</v>
      </c>
      <c r="M108" s="393">
        <v>0</v>
      </c>
      <c r="N108" s="393">
        <v>0</v>
      </c>
      <c r="O108" s="393">
        <v>0</v>
      </c>
      <c r="P108" s="393">
        <v>0</v>
      </c>
      <c r="Q108" s="393">
        <v>0</v>
      </c>
      <c r="R108" s="393">
        <v>0</v>
      </c>
      <c r="S108" s="393">
        <v>0</v>
      </c>
      <c r="T108" s="393">
        <v>0</v>
      </c>
      <c r="U108" s="393">
        <v>0</v>
      </c>
      <c r="V108" s="393">
        <v>0</v>
      </c>
      <c r="W108" s="393">
        <v>0</v>
      </c>
      <c r="X108" s="393">
        <v>0</v>
      </c>
      <c r="Y108" s="393">
        <v>0</v>
      </c>
      <c r="Z108" s="393"/>
      <c r="AA108" s="393">
        <v>0</v>
      </c>
      <c r="AB108" s="393">
        <v>0</v>
      </c>
      <c r="AC108" s="393">
        <v>0</v>
      </c>
      <c r="AD108" s="393">
        <v>0</v>
      </c>
      <c r="AE108" s="393">
        <v>0</v>
      </c>
      <c r="AF108" s="393">
        <v>0</v>
      </c>
      <c r="AG108" s="393">
        <v>0</v>
      </c>
      <c r="AH108" s="393">
        <v>0</v>
      </c>
      <c r="AI108" s="393">
        <v>0</v>
      </c>
      <c r="AJ108" s="393">
        <v>0</v>
      </c>
      <c r="AK108" s="393">
        <v>0</v>
      </c>
      <c r="AL108" s="393">
        <v>0</v>
      </c>
      <c r="AM108" s="32"/>
      <c r="AN108" s="32"/>
      <c r="AO108" s="32"/>
      <c r="AP108" s="32"/>
      <c r="AQ108" s="32"/>
      <c r="AR108" s="32"/>
      <c r="AS108" s="383"/>
      <c r="AT108" s="32"/>
      <c r="AU108" s="32"/>
      <c r="AV108" s="32"/>
      <c r="AW108" s="32"/>
      <c r="AX108" s="32"/>
      <c r="AY108" s="32"/>
      <c r="AZ108" s="383"/>
      <c r="BA108" s="32"/>
      <c r="BB108" s="32"/>
      <c r="BC108" s="32"/>
      <c r="BD108" s="32"/>
      <c r="BE108" s="32"/>
      <c r="BF108" s="32"/>
      <c r="BG108" s="32"/>
      <c r="BH108" s="383"/>
      <c r="BI108" s="32"/>
      <c r="BJ108" s="32"/>
      <c r="BK108" s="32"/>
      <c r="BL108" s="32"/>
      <c r="BM108" s="32"/>
      <c r="BN108" s="32"/>
      <c r="BO108" s="32"/>
      <c r="BP108" s="32"/>
      <c r="BQ108" s="32"/>
      <c r="BR108" s="32"/>
      <c r="BS108" s="32"/>
      <c r="BT108" s="32"/>
      <c r="BU108" s="32"/>
      <c r="BV108" s="32"/>
      <c r="BW108" s="32"/>
      <c r="BX108" s="32"/>
      <c r="BY108" s="32"/>
      <c r="BZ108" s="32"/>
      <c r="CA108" s="32"/>
      <c r="CB108" s="32"/>
      <c r="CC108" s="32"/>
      <c r="CD108" s="383"/>
      <c r="CE108" s="32"/>
      <c r="CF108" s="32"/>
      <c r="CG108" s="32"/>
      <c r="CH108" s="32"/>
      <c r="CI108" s="32"/>
      <c r="CJ108" s="32"/>
      <c r="CK108" s="32"/>
      <c r="CL108" s="32"/>
      <c r="CM108" s="32"/>
      <c r="CN108" s="32"/>
      <c r="CO108" s="32"/>
      <c r="CP108" s="32"/>
      <c r="CQ108" s="32"/>
      <c r="CR108" s="32"/>
      <c r="CS108" s="32"/>
      <c r="CT108" s="32"/>
      <c r="CU108" s="32"/>
      <c r="CV108" s="32"/>
      <c r="CW108" s="383"/>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row>
    <row r="109" spans="1:131">
      <c r="A109" s="11"/>
      <c r="B109" s="11" t="s">
        <v>641</v>
      </c>
      <c r="C109" s="32">
        <v>3130.2038994474719</v>
      </c>
      <c r="D109" s="32">
        <v>972.0694632777404</v>
      </c>
      <c r="E109" s="32">
        <v>194.4138926555481</v>
      </c>
      <c r="F109" s="32">
        <v>1166.4833559332885</v>
      </c>
      <c r="G109" s="32">
        <v>1317.3099542513103</v>
      </c>
      <c r="H109" s="32">
        <v>2064.1027505818233</v>
      </c>
      <c r="I109" s="32">
        <v>3264.4500250540573</v>
      </c>
      <c r="J109" s="32">
        <v>6.4041665944702748</v>
      </c>
      <c r="K109" s="32">
        <v>17.713609351930028</v>
      </c>
      <c r="L109" s="382">
        <v>1.418500429905009</v>
      </c>
      <c r="M109" s="32">
        <v>29.73701583044155</v>
      </c>
      <c r="N109" s="166">
        <v>128.20522013333431</v>
      </c>
      <c r="O109" s="166">
        <v>94.777309953672855</v>
      </c>
      <c r="P109" s="166">
        <v>88.289435607749851</v>
      </c>
      <c r="Q109" s="166">
        <v>50.684634082351991</v>
      </c>
      <c r="R109" s="166">
        <v>40.714405125917544</v>
      </c>
      <c r="S109" s="166">
        <v>31.582469169606536</v>
      </c>
      <c r="T109" s="166">
        <v>32.956060011755014</v>
      </c>
      <c r="U109" s="166">
        <v>47.968633460806828</v>
      </c>
      <c r="V109" s="166">
        <v>60.604603123641709</v>
      </c>
      <c r="W109" s="166">
        <v>98.869567759573613</v>
      </c>
      <c r="X109" s="166">
        <v>114.49361675938046</v>
      </c>
      <c r="Y109" s="166">
        <v>134.8711718095303</v>
      </c>
      <c r="Z109" s="166"/>
      <c r="AA109" s="166">
        <v>212.479993814333</v>
      </c>
      <c r="AB109" s="166">
        <v>184.30859021208164</v>
      </c>
      <c r="AC109" s="166">
        <v>185.80300113926339</v>
      </c>
      <c r="AD109" s="166">
        <v>176.93090511601383</v>
      </c>
      <c r="AE109" s="166">
        <v>162.96236991658603</v>
      </c>
      <c r="AF109" s="166">
        <v>148.06644861071092</v>
      </c>
      <c r="AG109" s="166">
        <v>161.68474159074287</v>
      </c>
      <c r="AH109" s="166">
        <v>174.58775451942125</v>
      </c>
      <c r="AI109" s="166">
        <v>188.18760002562308</v>
      </c>
      <c r="AJ109" s="166">
        <v>194.22026429034486</v>
      </c>
      <c r="AK109" s="166">
        <v>203.59707717018901</v>
      </c>
      <c r="AL109" s="166">
        <v>213.35802604484209</v>
      </c>
      <c r="AM109" s="32"/>
      <c r="AN109" s="32"/>
      <c r="AO109" s="32"/>
      <c r="AP109" s="32"/>
      <c r="AQ109" s="32"/>
      <c r="AR109" s="32"/>
      <c r="AS109" s="383"/>
      <c r="AT109" s="32"/>
      <c r="AU109" s="32"/>
      <c r="AV109" s="32"/>
      <c r="AW109" s="32"/>
      <c r="AX109" s="32"/>
      <c r="AY109" s="32"/>
      <c r="AZ109" s="383"/>
      <c r="BA109" s="32"/>
      <c r="BB109" s="32"/>
      <c r="BC109" s="32"/>
      <c r="BD109" s="32"/>
      <c r="BE109" s="32"/>
      <c r="BF109" s="32"/>
      <c r="BG109" s="32"/>
      <c r="BH109" s="383"/>
      <c r="BI109" s="32"/>
      <c r="BJ109" s="32"/>
      <c r="BK109" s="32"/>
      <c r="BL109" s="32"/>
      <c r="BM109" s="32"/>
      <c r="BN109" s="32"/>
      <c r="BO109" s="32"/>
      <c r="BP109" s="32"/>
      <c r="BQ109" s="32"/>
      <c r="BR109" s="32"/>
      <c r="BS109" s="32"/>
      <c r="BT109" s="32"/>
      <c r="BU109" s="32"/>
      <c r="BV109" s="32"/>
      <c r="BW109" s="32"/>
      <c r="BX109" s="32"/>
      <c r="BY109" s="32"/>
      <c r="BZ109" s="32"/>
      <c r="CA109" s="32"/>
      <c r="CB109" s="32"/>
      <c r="CC109" s="32"/>
      <c r="CD109" s="383"/>
      <c r="CE109" s="32"/>
      <c r="CF109" s="32"/>
      <c r="CG109" s="32"/>
      <c r="CH109" s="32"/>
      <c r="CI109" s="32"/>
      <c r="CJ109" s="32"/>
      <c r="CK109" s="32"/>
      <c r="CL109" s="32"/>
      <c r="CM109" s="32"/>
      <c r="CN109" s="32"/>
      <c r="CO109" s="32"/>
      <c r="CP109" s="32"/>
      <c r="CQ109" s="32"/>
      <c r="CR109" s="32"/>
      <c r="CS109" s="32"/>
      <c r="CT109" s="32"/>
      <c r="CU109" s="32"/>
      <c r="CV109" s="32"/>
      <c r="CW109" s="383"/>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row>
    <row r="110" spans="1:131">
      <c r="A110" s="11"/>
      <c r="B110" s="11" t="s">
        <v>642</v>
      </c>
      <c r="C110" s="393">
        <v>0</v>
      </c>
      <c r="D110" s="393">
        <v>0</v>
      </c>
      <c r="E110" s="393">
        <v>0</v>
      </c>
      <c r="F110" s="393">
        <v>0</v>
      </c>
      <c r="G110" s="393">
        <v>0</v>
      </c>
      <c r="H110" s="393">
        <v>0</v>
      </c>
      <c r="I110" s="393">
        <v>0</v>
      </c>
      <c r="J110" s="393">
        <v>0</v>
      </c>
      <c r="K110" s="393">
        <v>0</v>
      </c>
      <c r="L110" s="394">
        <v>0</v>
      </c>
      <c r="M110" s="393">
        <v>0</v>
      </c>
      <c r="N110" s="393">
        <v>0</v>
      </c>
      <c r="O110" s="393">
        <v>0</v>
      </c>
      <c r="P110" s="393">
        <v>0</v>
      </c>
      <c r="Q110" s="393">
        <v>0</v>
      </c>
      <c r="R110" s="393">
        <v>0</v>
      </c>
      <c r="S110" s="393">
        <v>0</v>
      </c>
      <c r="T110" s="393">
        <v>0</v>
      </c>
      <c r="U110" s="393">
        <v>0</v>
      </c>
      <c r="V110" s="393">
        <v>0</v>
      </c>
      <c r="W110" s="393">
        <v>0</v>
      </c>
      <c r="X110" s="393">
        <v>0</v>
      </c>
      <c r="Y110" s="393">
        <v>0</v>
      </c>
      <c r="Z110" s="393"/>
      <c r="AA110" s="393">
        <v>0</v>
      </c>
      <c r="AB110" s="393">
        <v>0</v>
      </c>
      <c r="AC110" s="393">
        <v>0</v>
      </c>
      <c r="AD110" s="393">
        <v>0</v>
      </c>
      <c r="AE110" s="393">
        <v>0</v>
      </c>
      <c r="AF110" s="393">
        <v>0</v>
      </c>
      <c r="AG110" s="393">
        <v>0</v>
      </c>
      <c r="AH110" s="393">
        <v>0</v>
      </c>
      <c r="AI110" s="393">
        <v>0</v>
      </c>
      <c r="AJ110" s="393">
        <v>0</v>
      </c>
      <c r="AK110" s="393">
        <v>0</v>
      </c>
      <c r="AL110" s="393">
        <v>0</v>
      </c>
      <c r="AM110" s="32"/>
      <c r="AN110" s="32"/>
      <c r="AO110" s="32"/>
      <c r="AP110" s="32"/>
      <c r="AQ110" s="32"/>
      <c r="AR110" s="32"/>
      <c r="AS110" s="383"/>
      <c r="AT110" s="32"/>
      <c r="AU110" s="32"/>
      <c r="AV110" s="32"/>
      <c r="AW110" s="32"/>
      <c r="AX110" s="32"/>
      <c r="AY110" s="32"/>
      <c r="AZ110" s="383"/>
      <c r="BA110" s="32"/>
      <c r="BB110" s="32"/>
      <c r="BC110" s="32"/>
      <c r="BD110" s="32"/>
      <c r="BE110" s="32"/>
      <c r="BF110" s="32"/>
      <c r="BG110" s="32"/>
      <c r="BH110" s="383"/>
      <c r="BI110" s="32"/>
      <c r="BJ110" s="32"/>
      <c r="BK110" s="32"/>
      <c r="BL110" s="32"/>
      <c r="BM110" s="32"/>
      <c r="BN110" s="32"/>
      <c r="BO110" s="32"/>
      <c r="BP110" s="32"/>
      <c r="BQ110" s="32"/>
      <c r="BR110" s="32"/>
      <c r="BS110" s="32"/>
      <c r="BT110" s="32"/>
      <c r="BU110" s="32"/>
      <c r="BV110" s="32"/>
      <c r="BW110" s="32"/>
      <c r="BX110" s="32"/>
      <c r="BY110" s="32"/>
      <c r="BZ110" s="32"/>
      <c r="CA110" s="32"/>
      <c r="CB110" s="32"/>
      <c r="CC110" s="32"/>
      <c r="CD110" s="383"/>
      <c r="CE110" s="32"/>
      <c r="CF110" s="32"/>
      <c r="CG110" s="32"/>
      <c r="CH110" s="32"/>
      <c r="CI110" s="32"/>
      <c r="CJ110" s="32"/>
      <c r="CK110" s="32"/>
      <c r="CL110" s="32"/>
      <c r="CM110" s="32"/>
      <c r="CN110" s="32"/>
      <c r="CO110" s="32"/>
      <c r="CP110" s="32"/>
      <c r="CQ110" s="32"/>
      <c r="CR110" s="32"/>
      <c r="CS110" s="32"/>
      <c r="CT110" s="32"/>
      <c r="CU110" s="32"/>
      <c r="CV110" s="32"/>
      <c r="CW110" s="383"/>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row>
    <row r="111" spans="1:131">
      <c r="A111" s="11"/>
      <c r="B111" s="11" t="s">
        <v>643</v>
      </c>
      <c r="C111" s="393">
        <v>0</v>
      </c>
      <c r="D111" s="393">
        <v>0</v>
      </c>
      <c r="E111" s="393">
        <v>0</v>
      </c>
      <c r="F111" s="393">
        <v>0</v>
      </c>
      <c r="G111" s="393">
        <v>0</v>
      </c>
      <c r="H111" s="393">
        <v>0</v>
      </c>
      <c r="I111" s="393">
        <v>0</v>
      </c>
      <c r="J111" s="393">
        <v>0</v>
      </c>
      <c r="K111" s="393">
        <v>0</v>
      </c>
      <c r="L111" s="394">
        <v>0</v>
      </c>
      <c r="M111" s="393">
        <v>0</v>
      </c>
      <c r="N111" s="393">
        <v>0</v>
      </c>
      <c r="O111" s="393">
        <v>0</v>
      </c>
      <c r="P111" s="393">
        <v>0</v>
      </c>
      <c r="Q111" s="393">
        <v>0</v>
      </c>
      <c r="R111" s="393">
        <v>0</v>
      </c>
      <c r="S111" s="393">
        <v>0</v>
      </c>
      <c r="T111" s="393">
        <v>0</v>
      </c>
      <c r="U111" s="393">
        <v>0</v>
      </c>
      <c r="V111" s="393">
        <v>0</v>
      </c>
      <c r="W111" s="393">
        <v>0</v>
      </c>
      <c r="X111" s="393">
        <v>0</v>
      </c>
      <c r="Y111" s="393">
        <v>0</v>
      </c>
      <c r="Z111" s="393"/>
      <c r="AA111" s="393">
        <v>0</v>
      </c>
      <c r="AB111" s="393">
        <v>0</v>
      </c>
      <c r="AC111" s="393">
        <v>0</v>
      </c>
      <c r="AD111" s="393">
        <v>0</v>
      </c>
      <c r="AE111" s="393">
        <v>0</v>
      </c>
      <c r="AF111" s="393">
        <v>0</v>
      </c>
      <c r="AG111" s="393">
        <v>0</v>
      </c>
      <c r="AH111" s="393">
        <v>0</v>
      </c>
      <c r="AI111" s="393">
        <v>0</v>
      </c>
      <c r="AJ111" s="393">
        <v>0</v>
      </c>
      <c r="AK111" s="393">
        <v>0</v>
      </c>
      <c r="AL111" s="393">
        <v>0</v>
      </c>
      <c r="AM111" s="32"/>
      <c r="AN111" s="32"/>
      <c r="AO111" s="32"/>
      <c r="AP111" s="32"/>
      <c r="AQ111" s="32"/>
      <c r="AR111" s="32"/>
      <c r="AS111" s="383"/>
      <c r="AT111" s="32"/>
      <c r="AU111" s="32"/>
      <c r="AV111" s="32"/>
      <c r="AW111" s="32"/>
      <c r="AX111" s="32"/>
      <c r="AY111" s="32"/>
      <c r="AZ111" s="383"/>
      <c r="BA111" s="32"/>
      <c r="BB111" s="32"/>
      <c r="BC111" s="32"/>
      <c r="BD111" s="32"/>
      <c r="BE111" s="32"/>
      <c r="BF111" s="32"/>
      <c r="BG111" s="32"/>
      <c r="BH111" s="383"/>
      <c r="BI111" s="32"/>
      <c r="BJ111" s="32"/>
      <c r="BK111" s="32"/>
      <c r="BL111" s="32"/>
      <c r="BM111" s="32"/>
      <c r="BN111" s="32"/>
      <c r="BO111" s="32"/>
      <c r="BP111" s="32"/>
      <c r="BQ111" s="32"/>
      <c r="BR111" s="32"/>
      <c r="BS111" s="32"/>
      <c r="BT111" s="32"/>
      <c r="BU111" s="32"/>
      <c r="BV111" s="32"/>
      <c r="BW111" s="32"/>
      <c r="BX111" s="32"/>
      <c r="BY111" s="32"/>
      <c r="BZ111" s="32"/>
      <c r="CA111" s="32"/>
      <c r="CB111" s="32"/>
      <c r="CC111" s="32"/>
      <c r="CD111" s="383"/>
      <c r="CE111" s="32"/>
      <c r="CF111" s="32"/>
      <c r="CG111" s="32"/>
      <c r="CH111" s="32"/>
      <c r="CI111" s="32"/>
      <c r="CJ111" s="32"/>
      <c r="CK111" s="32"/>
      <c r="CL111" s="32"/>
      <c r="CM111" s="32"/>
      <c r="CN111" s="32"/>
      <c r="CO111" s="32"/>
      <c r="CP111" s="32"/>
      <c r="CQ111" s="32"/>
      <c r="CR111" s="32"/>
      <c r="CS111" s="32"/>
      <c r="CT111" s="32"/>
      <c r="CU111" s="32"/>
      <c r="CV111" s="32"/>
      <c r="CW111" s="383"/>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row>
    <row r="112" spans="1:131">
      <c r="A112" s="11"/>
      <c r="B112" s="11" t="s">
        <v>644</v>
      </c>
      <c r="C112" s="393">
        <v>0</v>
      </c>
      <c r="D112" s="393">
        <v>0</v>
      </c>
      <c r="E112" s="393">
        <v>0</v>
      </c>
      <c r="F112" s="393">
        <v>0</v>
      </c>
      <c r="G112" s="393">
        <v>0</v>
      </c>
      <c r="H112" s="393">
        <v>0</v>
      </c>
      <c r="I112" s="393">
        <v>0</v>
      </c>
      <c r="J112" s="393">
        <v>0</v>
      </c>
      <c r="K112" s="393">
        <v>0</v>
      </c>
      <c r="L112" s="394">
        <v>0</v>
      </c>
      <c r="M112" s="393">
        <v>0</v>
      </c>
      <c r="N112" s="393">
        <v>0</v>
      </c>
      <c r="O112" s="393">
        <v>0</v>
      </c>
      <c r="P112" s="393">
        <v>0</v>
      </c>
      <c r="Q112" s="393">
        <v>0</v>
      </c>
      <c r="R112" s="393">
        <v>0</v>
      </c>
      <c r="S112" s="393">
        <v>0</v>
      </c>
      <c r="T112" s="393">
        <v>0</v>
      </c>
      <c r="U112" s="393">
        <v>0</v>
      </c>
      <c r="V112" s="393">
        <v>0</v>
      </c>
      <c r="W112" s="393">
        <v>0</v>
      </c>
      <c r="X112" s="393">
        <v>0</v>
      </c>
      <c r="Y112" s="393">
        <v>0</v>
      </c>
      <c r="Z112" s="393"/>
      <c r="AA112" s="393">
        <v>0</v>
      </c>
      <c r="AB112" s="393">
        <v>0</v>
      </c>
      <c r="AC112" s="393">
        <v>0</v>
      </c>
      <c r="AD112" s="393">
        <v>0</v>
      </c>
      <c r="AE112" s="393">
        <v>0</v>
      </c>
      <c r="AF112" s="393">
        <v>0</v>
      </c>
      <c r="AG112" s="393">
        <v>0</v>
      </c>
      <c r="AH112" s="393">
        <v>0</v>
      </c>
      <c r="AI112" s="393">
        <v>0</v>
      </c>
      <c r="AJ112" s="393">
        <v>0</v>
      </c>
      <c r="AK112" s="393">
        <v>0</v>
      </c>
      <c r="AL112" s="393">
        <v>0</v>
      </c>
      <c r="AM112" s="32"/>
      <c r="AN112" s="32"/>
      <c r="AO112" s="32"/>
      <c r="AP112" s="32"/>
      <c r="AQ112" s="32"/>
      <c r="AR112" s="32"/>
      <c r="AS112" s="383"/>
      <c r="AT112" s="32"/>
      <c r="AU112" s="32"/>
      <c r="AV112" s="32"/>
      <c r="AW112" s="32"/>
      <c r="AX112" s="32"/>
      <c r="AY112" s="32"/>
      <c r="AZ112" s="383"/>
      <c r="BA112" s="32"/>
      <c r="BB112" s="32"/>
      <c r="BC112" s="32"/>
      <c r="BD112" s="32"/>
      <c r="BE112" s="32"/>
      <c r="BF112" s="32"/>
      <c r="BG112" s="32"/>
      <c r="BH112" s="383"/>
      <c r="BI112" s="32"/>
      <c r="BJ112" s="32"/>
      <c r="BK112" s="32"/>
      <c r="BL112" s="32"/>
      <c r="BM112" s="32"/>
      <c r="BN112" s="32"/>
      <c r="BO112" s="32"/>
      <c r="BP112" s="32"/>
      <c r="BQ112" s="32"/>
      <c r="BR112" s="32"/>
      <c r="BS112" s="32"/>
      <c r="BT112" s="32"/>
      <c r="BU112" s="32"/>
      <c r="BV112" s="32"/>
      <c r="BW112" s="32"/>
      <c r="BX112" s="32"/>
      <c r="BY112" s="32"/>
      <c r="BZ112" s="32"/>
      <c r="CA112" s="32"/>
      <c r="CB112" s="32"/>
      <c r="CC112" s="32"/>
      <c r="CD112" s="383"/>
      <c r="CE112" s="32"/>
      <c r="CF112" s="32"/>
      <c r="CG112" s="32"/>
      <c r="CH112" s="32"/>
      <c r="CI112" s="32"/>
      <c r="CJ112" s="32"/>
      <c r="CK112" s="32"/>
      <c r="CL112" s="32"/>
      <c r="CM112" s="32"/>
      <c r="CN112" s="32"/>
      <c r="CO112" s="32"/>
      <c r="CP112" s="32"/>
      <c r="CQ112" s="32"/>
      <c r="CR112" s="32"/>
      <c r="CS112" s="32"/>
      <c r="CT112" s="32"/>
      <c r="CU112" s="32"/>
      <c r="CV112" s="32"/>
      <c r="CW112" s="383"/>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row>
    <row r="113" spans="1:131">
      <c r="A113" s="11"/>
      <c r="B113" s="11" t="s">
        <v>645</v>
      </c>
      <c r="C113" s="393">
        <v>0</v>
      </c>
      <c r="D113" s="393">
        <v>0</v>
      </c>
      <c r="E113" s="393">
        <v>0</v>
      </c>
      <c r="F113" s="393">
        <v>0</v>
      </c>
      <c r="G113" s="393">
        <v>0</v>
      </c>
      <c r="H113" s="393">
        <v>0</v>
      </c>
      <c r="I113" s="393">
        <v>0</v>
      </c>
      <c r="J113" s="393">
        <v>0</v>
      </c>
      <c r="K113" s="393">
        <v>0</v>
      </c>
      <c r="L113" s="394">
        <v>0</v>
      </c>
      <c r="M113" s="393">
        <v>0</v>
      </c>
      <c r="N113" s="393">
        <v>0</v>
      </c>
      <c r="O113" s="393">
        <v>0</v>
      </c>
      <c r="P113" s="393">
        <v>0</v>
      </c>
      <c r="Q113" s="393">
        <v>0</v>
      </c>
      <c r="R113" s="393">
        <v>0</v>
      </c>
      <c r="S113" s="393">
        <v>0</v>
      </c>
      <c r="T113" s="393">
        <v>0</v>
      </c>
      <c r="U113" s="393">
        <v>0</v>
      </c>
      <c r="V113" s="393">
        <v>0</v>
      </c>
      <c r="W113" s="393">
        <v>0</v>
      </c>
      <c r="X113" s="393">
        <v>0</v>
      </c>
      <c r="Y113" s="393">
        <v>0</v>
      </c>
      <c r="Z113" s="393"/>
      <c r="AA113" s="393">
        <v>0</v>
      </c>
      <c r="AB113" s="393">
        <v>0</v>
      </c>
      <c r="AC113" s="393">
        <v>0</v>
      </c>
      <c r="AD113" s="393">
        <v>0</v>
      </c>
      <c r="AE113" s="393">
        <v>0</v>
      </c>
      <c r="AF113" s="393">
        <v>0</v>
      </c>
      <c r="AG113" s="393">
        <v>0</v>
      </c>
      <c r="AH113" s="393">
        <v>0</v>
      </c>
      <c r="AI113" s="393">
        <v>0</v>
      </c>
      <c r="AJ113" s="393">
        <v>0</v>
      </c>
      <c r="AK113" s="393">
        <v>0</v>
      </c>
      <c r="AL113" s="393">
        <v>0</v>
      </c>
      <c r="AM113" s="32"/>
      <c r="AN113" s="32"/>
      <c r="AO113" s="32"/>
      <c r="AP113" s="32"/>
      <c r="AQ113" s="32"/>
      <c r="AR113" s="32"/>
      <c r="AS113" s="32"/>
      <c r="AT113" s="32"/>
      <c r="AU113" s="32"/>
      <c r="AV113" s="32"/>
      <c r="AW113" s="32"/>
      <c r="AX113" s="32"/>
      <c r="AY113" s="32"/>
      <c r="AZ113" s="32"/>
      <c r="BA113" s="32"/>
      <c r="BB113" s="32"/>
      <c r="BC113" s="32"/>
      <c r="BD113" s="32"/>
      <c r="BE113" s="32"/>
      <c r="BF113" s="32"/>
      <c r="BG113" s="32"/>
      <c r="BH113" s="32"/>
      <c r="BI113" s="32"/>
      <c r="BJ113" s="32"/>
      <c r="BK113" s="32"/>
      <c r="BL113" s="32"/>
      <c r="BM113" s="32"/>
      <c r="BN113" s="32"/>
      <c r="BO113" s="32"/>
      <c r="BP113" s="32"/>
      <c r="BQ113" s="32"/>
      <c r="BR113" s="32"/>
      <c r="BS113" s="32"/>
      <c r="BT113" s="32"/>
      <c r="BU113" s="32"/>
      <c r="BV113" s="32"/>
      <c r="BW113" s="32"/>
      <c r="BX113" s="32"/>
      <c r="BY113" s="32"/>
      <c r="BZ113" s="32"/>
      <c r="CA113" s="32"/>
      <c r="CB113" s="32"/>
      <c r="CC113" s="32"/>
      <c r="CD113" s="32"/>
      <c r="CE113" s="32"/>
      <c r="CF113" s="32"/>
      <c r="CG113" s="32"/>
      <c r="CH113" s="32"/>
      <c r="CI113" s="32"/>
      <c r="CJ113" s="32"/>
      <c r="CK113" s="32"/>
      <c r="CL113" s="32"/>
      <c r="CM113" s="32"/>
      <c r="CN113" s="32"/>
      <c r="CO113" s="32"/>
      <c r="CP113" s="32"/>
      <c r="CQ113" s="32"/>
      <c r="CR113" s="32"/>
      <c r="CS113" s="32"/>
      <c r="CT113" s="32"/>
      <c r="CU113" s="32"/>
      <c r="CV113" s="32"/>
      <c r="CW113" s="32"/>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row>
    <row r="114" spans="1:131">
      <c r="A114" s="11"/>
      <c r="B114" s="11" t="s">
        <v>646</v>
      </c>
      <c r="C114" s="393">
        <v>0</v>
      </c>
      <c r="D114" s="393">
        <v>0</v>
      </c>
      <c r="E114" s="393">
        <v>0</v>
      </c>
      <c r="F114" s="393">
        <v>0</v>
      </c>
      <c r="G114" s="393">
        <v>0</v>
      </c>
      <c r="H114" s="393">
        <v>0</v>
      </c>
      <c r="I114" s="393">
        <v>0</v>
      </c>
      <c r="J114" s="393">
        <v>0</v>
      </c>
      <c r="K114" s="393">
        <v>0</v>
      </c>
      <c r="L114" s="394">
        <v>0</v>
      </c>
      <c r="M114" s="393">
        <v>0</v>
      </c>
      <c r="N114" s="393">
        <v>0</v>
      </c>
      <c r="O114" s="393">
        <v>0</v>
      </c>
      <c r="P114" s="393">
        <v>0</v>
      </c>
      <c r="Q114" s="393">
        <v>0</v>
      </c>
      <c r="R114" s="393">
        <v>0</v>
      </c>
      <c r="S114" s="393">
        <v>0</v>
      </c>
      <c r="T114" s="393">
        <v>0</v>
      </c>
      <c r="U114" s="393">
        <v>0</v>
      </c>
      <c r="V114" s="393">
        <v>0</v>
      </c>
      <c r="W114" s="393">
        <v>0</v>
      </c>
      <c r="X114" s="393">
        <v>0</v>
      </c>
      <c r="Y114" s="393">
        <v>0</v>
      </c>
      <c r="Z114" s="393"/>
      <c r="AA114" s="393">
        <v>0</v>
      </c>
      <c r="AB114" s="393">
        <v>0</v>
      </c>
      <c r="AC114" s="393">
        <v>0</v>
      </c>
      <c r="AD114" s="393">
        <v>0</v>
      </c>
      <c r="AE114" s="393">
        <v>0</v>
      </c>
      <c r="AF114" s="393">
        <v>0</v>
      </c>
      <c r="AG114" s="393">
        <v>0</v>
      </c>
      <c r="AH114" s="393">
        <v>0</v>
      </c>
      <c r="AI114" s="393">
        <v>0</v>
      </c>
      <c r="AJ114" s="393">
        <v>0</v>
      </c>
      <c r="AK114" s="393">
        <v>0</v>
      </c>
      <c r="AL114" s="393">
        <v>0</v>
      </c>
      <c r="AM114" s="32"/>
      <c r="AN114" s="32"/>
      <c r="AO114" s="32"/>
      <c r="AP114" s="32"/>
      <c r="AQ114" s="32"/>
      <c r="AR114" s="32"/>
      <c r="AS114" s="32"/>
      <c r="AT114" s="32"/>
      <c r="AU114" s="32"/>
      <c r="AV114" s="32"/>
      <c r="AW114" s="32"/>
      <c r="AX114" s="32"/>
      <c r="AY114" s="32"/>
      <c r="AZ114" s="32"/>
      <c r="BA114" s="32"/>
      <c r="BB114" s="32"/>
      <c r="BC114" s="32"/>
      <c r="BD114" s="32"/>
      <c r="BE114" s="32"/>
      <c r="BF114" s="32"/>
      <c r="BG114" s="32"/>
      <c r="BH114" s="32"/>
      <c r="BI114" s="32"/>
      <c r="BJ114" s="32"/>
      <c r="BK114" s="32"/>
      <c r="BL114" s="32"/>
      <c r="BM114" s="32"/>
      <c r="BN114" s="32"/>
      <c r="BO114" s="32"/>
      <c r="BP114" s="32"/>
      <c r="BQ114" s="32"/>
      <c r="BR114" s="32"/>
      <c r="BS114" s="32"/>
      <c r="BT114" s="32"/>
      <c r="BU114" s="32"/>
      <c r="BV114" s="32"/>
      <c r="BW114" s="32"/>
      <c r="BX114" s="32"/>
      <c r="BY114" s="32"/>
      <c r="BZ114" s="32"/>
      <c r="CA114" s="32"/>
      <c r="CB114" s="32"/>
      <c r="CC114" s="32"/>
      <c r="CD114" s="32"/>
      <c r="CE114" s="32"/>
      <c r="CF114" s="32"/>
      <c r="CG114" s="32"/>
      <c r="CH114" s="32"/>
      <c r="CI114" s="32"/>
      <c r="CJ114" s="32"/>
      <c r="CK114" s="32"/>
      <c r="CL114" s="32"/>
      <c r="CM114" s="32"/>
      <c r="CN114" s="32"/>
      <c r="CO114" s="32"/>
      <c r="CP114" s="32"/>
      <c r="CQ114" s="32"/>
      <c r="CR114" s="32"/>
      <c r="CS114" s="32"/>
      <c r="CT114" s="32"/>
      <c r="CU114" s="32"/>
      <c r="CV114" s="32"/>
      <c r="CW114" s="32"/>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row>
    <row r="115" spans="1:131">
      <c r="A115" s="11"/>
      <c r="B115" s="11" t="s">
        <v>647</v>
      </c>
      <c r="C115" s="393">
        <v>0</v>
      </c>
      <c r="D115" s="393">
        <v>0</v>
      </c>
      <c r="E115" s="393">
        <v>0</v>
      </c>
      <c r="F115" s="393">
        <v>0</v>
      </c>
      <c r="G115" s="393">
        <v>0</v>
      </c>
      <c r="H115" s="393">
        <v>0</v>
      </c>
      <c r="I115" s="393">
        <v>0</v>
      </c>
      <c r="J115" s="393">
        <v>0</v>
      </c>
      <c r="K115" s="393">
        <v>0</v>
      </c>
      <c r="L115" s="394">
        <v>0</v>
      </c>
      <c r="M115" s="393">
        <v>0</v>
      </c>
      <c r="N115" s="393">
        <v>0</v>
      </c>
      <c r="O115" s="393">
        <v>0</v>
      </c>
      <c r="P115" s="393">
        <v>0</v>
      </c>
      <c r="Q115" s="393">
        <v>0</v>
      </c>
      <c r="R115" s="393">
        <v>0</v>
      </c>
      <c r="S115" s="393">
        <v>0</v>
      </c>
      <c r="T115" s="393">
        <v>0</v>
      </c>
      <c r="U115" s="393">
        <v>0</v>
      </c>
      <c r="V115" s="393">
        <v>0</v>
      </c>
      <c r="W115" s="393">
        <v>0</v>
      </c>
      <c r="X115" s="393">
        <v>0</v>
      </c>
      <c r="Y115" s="393">
        <v>0</v>
      </c>
      <c r="Z115" s="393"/>
      <c r="AA115" s="393">
        <v>0</v>
      </c>
      <c r="AB115" s="393">
        <v>0</v>
      </c>
      <c r="AC115" s="393">
        <v>0</v>
      </c>
      <c r="AD115" s="393">
        <v>0</v>
      </c>
      <c r="AE115" s="393">
        <v>0</v>
      </c>
      <c r="AF115" s="393">
        <v>0</v>
      </c>
      <c r="AG115" s="393">
        <v>0</v>
      </c>
      <c r="AH115" s="393">
        <v>0</v>
      </c>
      <c r="AI115" s="393">
        <v>0</v>
      </c>
      <c r="AJ115" s="393">
        <v>0</v>
      </c>
      <c r="AK115" s="393">
        <v>0</v>
      </c>
      <c r="AL115" s="393">
        <v>0</v>
      </c>
      <c r="AM115" s="32"/>
      <c r="AN115" s="32"/>
      <c r="AO115" s="32"/>
      <c r="AP115" s="32"/>
      <c r="AQ115" s="32"/>
      <c r="AR115" s="32"/>
      <c r="AS115" s="32"/>
      <c r="AT115" s="32"/>
      <c r="AU115" s="32"/>
      <c r="AV115" s="32"/>
      <c r="AW115" s="32"/>
      <c r="AX115" s="32"/>
      <c r="AY115" s="32"/>
      <c r="AZ115" s="32"/>
      <c r="BA115" s="32"/>
      <c r="BB115" s="32"/>
      <c r="BC115" s="32"/>
      <c r="BD115" s="32"/>
      <c r="BE115" s="32"/>
      <c r="BF115" s="32"/>
      <c r="BG115" s="32"/>
      <c r="BH115" s="32"/>
      <c r="BI115" s="32"/>
      <c r="BJ115" s="32"/>
      <c r="BK115" s="32"/>
      <c r="BL115" s="32"/>
      <c r="BM115" s="32"/>
      <c r="BN115" s="32"/>
      <c r="BO115" s="32"/>
      <c r="BP115" s="32"/>
      <c r="BQ115" s="32"/>
      <c r="BR115" s="32"/>
      <c r="BS115" s="32"/>
      <c r="BT115" s="32"/>
      <c r="BU115" s="32"/>
      <c r="BV115" s="32"/>
      <c r="BW115" s="32"/>
      <c r="BX115" s="32"/>
      <c r="BY115" s="32"/>
      <c r="BZ115" s="32"/>
      <c r="CA115" s="32"/>
      <c r="CB115" s="32"/>
      <c r="CC115" s="32"/>
      <c r="CD115" s="32"/>
      <c r="CE115" s="32"/>
      <c r="CF115" s="32"/>
      <c r="CG115" s="32"/>
      <c r="CH115" s="32"/>
      <c r="CI115" s="32"/>
      <c r="CJ115" s="32"/>
      <c r="CK115" s="32"/>
      <c r="CL115" s="32"/>
      <c r="CM115" s="32"/>
      <c r="CN115" s="32"/>
      <c r="CO115" s="32"/>
      <c r="CP115" s="32"/>
      <c r="CQ115" s="32"/>
      <c r="CR115" s="32"/>
      <c r="CS115" s="32"/>
      <c r="CT115" s="32"/>
      <c r="CU115" s="32"/>
      <c r="CV115" s="32"/>
      <c r="CW115" s="32"/>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row>
    <row r="116" spans="1:131">
      <c r="A116" s="11"/>
      <c r="B116" s="11" t="s">
        <v>648</v>
      </c>
      <c r="C116" s="393">
        <v>0</v>
      </c>
      <c r="D116" s="393">
        <v>0</v>
      </c>
      <c r="E116" s="393">
        <v>0</v>
      </c>
      <c r="F116" s="393">
        <v>0</v>
      </c>
      <c r="G116" s="393">
        <v>0</v>
      </c>
      <c r="H116" s="393">
        <v>0</v>
      </c>
      <c r="I116" s="393">
        <v>0</v>
      </c>
      <c r="J116" s="393">
        <v>0</v>
      </c>
      <c r="K116" s="393">
        <v>0</v>
      </c>
      <c r="L116" s="394">
        <v>0</v>
      </c>
      <c r="M116" s="393">
        <v>0</v>
      </c>
      <c r="N116" s="393">
        <v>0</v>
      </c>
      <c r="O116" s="393">
        <v>0</v>
      </c>
      <c r="P116" s="393">
        <v>0</v>
      </c>
      <c r="Q116" s="393">
        <v>0</v>
      </c>
      <c r="R116" s="393">
        <v>0</v>
      </c>
      <c r="S116" s="393">
        <v>0</v>
      </c>
      <c r="T116" s="393">
        <v>0</v>
      </c>
      <c r="U116" s="393">
        <v>0</v>
      </c>
      <c r="V116" s="393">
        <v>0</v>
      </c>
      <c r="W116" s="393">
        <v>0</v>
      </c>
      <c r="X116" s="393">
        <v>0</v>
      </c>
      <c r="Y116" s="393">
        <v>0</v>
      </c>
      <c r="Z116" s="393"/>
      <c r="AA116" s="393">
        <v>0</v>
      </c>
      <c r="AB116" s="393">
        <v>0</v>
      </c>
      <c r="AC116" s="393">
        <v>0</v>
      </c>
      <c r="AD116" s="393">
        <v>0</v>
      </c>
      <c r="AE116" s="393">
        <v>0</v>
      </c>
      <c r="AF116" s="393">
        <v>0</v>
      </c>
      <c r="AG116" s="393">
        <v>0</v>
      </c>
      <c r="AH116" s="393">
        <v>0</v>
      </c>
      <c r="AI116" s="393">
        <v>0</v>
      </c>
      <c r="AJ116" s="393">
        <v>0</v>
      </c>
      <c r="AK116" s="393">
        <v>0</v>
      </c>
      <c r="AL116" s="393">
        <v>0</v>
      </c>
      <c r="AM116" s="32"/>
      <c r="AN116" s="32"/>
      <c r="AO116" s="32"/>
      <c r="AP116" s="32"/>
      <c r="AQ116" s="32"/>
      <c r="AR116" s="32"/>
      <c r="AS116" s="32"/>
      <c r="AT116" s="32"/>
      <c r="AU116" s="32"/>
      <c r="AV116" s="32"/>
      <c r="AW116" s="32"/>
      <c r="AX116" s="32"/>
      <c r="AY116" s="32"/>
      <c r="AZ116" s="32"/>
      <c r="BA116" s="32"/>
      <c r="BB116" s="32"/>
      <c r="BC116" s="32"/>
      <c r="BD116" s="32"/>
      <c r="BE116" s="32"/>
      <c r="BF116" s="32"/>
      <c r="BG116" s="32"/>
      <c r="BH116" s="32"/>
      <c r="BI116" s="32"/>
      <c r="BJ116" s="32"/>
      <c r="BK116" s="32"/>
      <c r="BL116" s="32"/>
      <c r="BM116" s="32"/>
      <c r="BN116" s="32"/>
      <c r="BO116" s="32"/>
      <c r="BP116" s="32"/>
      <c r="BQ116" s="32"/>
      <c r="BR116" s="32"/>
      <c r="BS116" s="32"/>
      <c r="BT116" s="32"/>
      <c r="BU116" s="32"/>
      <c r="BV116" s="32"/>
      <c r="BW116" s="32"/>
      <c r="BX116" s="32"/>
      <c r="BY116" s="32"/>
      <c r="BZ116" s="32"/>
      <c r="CA116" s="32"/>
      <c r="CB116" s="32"/>
      <c r="CC116" s="32"/>
      <c r="CD116" s="32"/>
      <c r="CE116" s="32"/>
      <c r="CF116" s="32"/>
      <c r="CG116" s="32"/>
      <c r="CH116" s="32"/>
      <c r="CI116" s="32"/>
      <c r="CJ116" s="32"/>
      <c r="CK116" s="32"/>
      <c r="CL116" s="32"/>
      <c r="CM116" s="32"/>
      <c r="CN116" s="32"/>
      <c r="CO116" s="32"/>
      <c r="CP116" s="32"/>
      <c r="CQ116" s="32"/>
      <c r="CR116" s="32"/>
      <c r="CS116" s="32"/>
      <c r="CT116" s="32"/>
      <c r="CU116" s="32"/>
      <c r="CV116" s="32"/>
      <c r="CW116" s="32"/>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row>
    <row r="117" spans="1:131">
      <c r="A117" s="11"/>
      <c r="B117" s="11" t="s">
        <v>649</v>
      </c>
      <c r="C117" s="393">
        <v>0</v>
      </c>
      <c r="D117" s="393">
        <v>0</v>
      </c>
      <c r="E117" s="393">
        <v>0</v>
      </c>
      <c r="F117" s="393">
        <v>0</v>
      </c>
      <c r="G117" s="393">
        <v>0</v>
      </c>
      <c r="H117" s="393">
        <v>0</v>
      </c>
      <c r="I117" s="393">
        <v>0</v>
      </c>
      <c r="J117" s="393">
        <v>0</v>
      </c>
      <c r="K117" s="393">
        <v>0</v>
      </c>
      <c r="L117" s="394">
        <v>0</v>
      </c>
      <c r="M117" s="393">
        <v>0</v>
      </c>
      <c r="N117" s="393">
        <v>0</v>
      </c>
      <c r="O117" s="393">
        <v>0</v>
      </c>
      <c r="P117" s="393">
        <v>0</v>
      </c>
      <c r="Q117" s="393">
        <v>0</v>
      </c>
      <c r="R117" s="393">
        <v>0</v>
      </c>
      <c r="S117" s="393">
        <v>0</v>
      </c>
      <c r="T117" s="393">
        <v>0</v>
      </c>
      <c r="U117" s="393">
        <v>0</v>
      </c>
      <c r="V117" s="393">
        <v>0</v>
      </c>
      <c r="W117" s="393">
        <v>0</v>
      </c>
      <c r="X117" s="393">
        <v>0</v>
      </c>
      <c r="Y117" s="393">
        <v>0</v>
      </c>
      <c r="Z117" s="393"/>
      <c r="AA117" s="393">
        <v>0</v>
      </c>
      <c r="AB117" s="393">
        <v>0</v>
      </c>
      <c r="AC117" s="393">
        <v>0</v>
      </c>
      <c r="AD117" s="393">
        <v>0</v>
      </c>
      <c r="AE117" s="393">
        <v>0</v>
      </c>
      <c r="AF117" s="393">
        <v>0</v>
      </c>
      <c r="AG117" s="393">
        <v>0</v>
      </c>
      <c r="AH117" s="393">
        <v>0</v>
      </c>
      <c r="AI117" s="393">
        <v>0</v>
      </c>
      <c r="AJ117" s="393">
        <v>0</v>
      </c>
      <c r="AK117" s="393">
        <v>0</v>
      </c>
      <c r="AL117" s="393">
        <v>0</v>
      </c>
      <c r="AM117" s="32"/>
      <c r="AN117" s="32"/>
      <c r="AO117" s="32"/>
      <c r="AP117" s="32"/>
      <c r="AQ117" s="32"/>
      <c r="AR117" s="32"/>
      <c r="AS117" s="32"/>
      <c r="AT117" s="32"/>
      <c r="AU117" s="32"/>
      <c r="AV117" s="32"/>
      <c r="AW117" s="32"/>
      <c r="AX117" s="32"/>
      <c r="AY117" s="32"/>
      <c r="AZ117" s="32"/>
      <c r="BA117" s="32"/>
      <c r="BB117" s="32"/>
      <c r="BC117" s="32"/>
      <c r="BD117" s="32"/>
      <c r="BE117" s="32"/>
      <c r="BF117" s="32"/>
      <c r="BG117" s="32"/>
      <c r="BH117" s="32"/>
      <c r="BI117" s="32"/>
      <c r="BJ117" s="32"/>
      <c r="BK117" s="32"/>
      <c r="BL117" s="32"/>
      <c r="BM117" s="32"/>
      <c r="BN117" s="32"/>
      <c r="BO117" s="32"/>
      <c r="BP117" s="32"/>
      <c r="BQ117" s="32"/>
      <c r="BR117" s="32"/>
      <c r="BS117" s="32"/>
      <c r="BT117" s="32"/>
      <c r="BU117" s="32"/>
      <c r="BV117" s="32"/>
      <c r="BW117" s="32"/>
      <c r="BX117" s="32"/>
      <c r="BY117" s="32"/>
      <c r="BZ117" s="32"/>
      <c r="CA117" s="32"/>
      <c r="CB117" s="32"/>
      <c r="CC117" s="32"/>
      <c r="CD117" s="32"/>
      <c r="CE117" s="32"/>
      <c r="CF117" s="32"/>
      <c r="CG117" s="32"/>
      <c r="CH117" s="32"/>
      <c r="CI117" s="32"/>
      <c r="CJ117" s="32"/>
      <c r="CK117" s="32"/>
      <c r="CL117" s="32"/>
      <c r="CM117" s="32"/>
      <c r="CN117" s="32"/>
      <c r="CO117" s="32"/>
      <c r="CP117" s="32"/>
      <c r="CQ117" s="32"/>
      <c r="CR117" s="32"/>
      <c r="CS117" s="32"/>
      <c r="CT117" s="32"/>
      <c r="CU117" s="32"/>
      <c r="CV117" s="32"/>
      <c r="CW117" s="32"/>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row>
    <row r="118" spans="1:131">
      <c r="A118" s="11"/>
      <c r="B118" s="11" t="s">
        <v>650</v>
      </c>
      <c r="C118" s="393">
        <v>0</v>
      </c>
      <c r="D118" s="393">
        <v>0</v>
      </c>
      <c r="E118" s="393">
        <v>0</v>
      </c>
      <c r="F118" s="393">
        <v>0</v>
      </c>
      <c r="G118" s="393">
        <v>0</v>
      </c>
      <c r="H118" s="393">
        <v>0</v>
      </c>
      <c r="I118" s="393">
        <v>0</v>
      </c>
      <c r="J118" s="393">
        <v>0</v>
      </c>
      <c r="K118" s="393">
        <v>0</v>
      </c>
      <c r="L118" s="394">
        <v>0</v>
      </c>
      <c r="M118" s="393">
        <v>0</v>
      </c>
      <c r="N118" s="393">
        <v>0</v>
      </c>
      <c r="O118" s="393">
        <v>0</v>
      </c>
      <c r="P118" s="393">
        <v>0</v>
      </c>
      <c r="Q118" s="393">
        <v>0</v>
      </c>
      <c r="R118" s="393">
        <v>0</v>
      </c>
      <c r="S118" s="393">
        <v>0</v>
      </c>
      <c r="T118" s="393">
        <v>0</v>
      </c>
      <c r="U118" s="393">
        <v>0</v>
      </c>
      <c r="V118" s="393">
        <v>0</v>
      </c>
      <c r="W118" s="393">
        <v>0</v>
      </c>
      <c r="X118" s="393">
        <v>0</v>
      </c>
      <c r="Y118" s="393">
        <v>0</v>
      </c>
      <c r="Z118" s="393"/>
      <c r="AA118" s="393">
        <v>0</v>
      </c>
      <c r="AB118" s="393">
        <v>0</v>
      </c>
      <c r="AC118" s="393">
        <v>0</v>
      </c>
      <c r="AD118" s="393">
        <v>0</v>
      </c>
      <c r="AE118" s="393">
        <v>0</v>
      </c>
      <c r="AF118" s="393">
        <v>0</v>
      </c>
      <c r="AG118" s="393">
        <v>0</v>
      </c>
      <c r="AH118" s="393">
        <v>0</v>
      </c>
      <c r="AI118" s="393">
        <v>0</v>
      </c>
      <c r="AJ118" s="393">
        <v>0</v>
      </c>
      <c r="AK118" s="393">
        <v>0</v>
      </c>
      <c r="AL118" s="393">
        <v>0</v>
      </c>
      <c r="AM118" s="32"/>
      <c r="AN118" s="32"/>
      <c r="AO118" s="32"/>
      <c r="AP118" s="32"/>
      <c r="AQ118" s="32"/>
      <c r="AR118" s="32"/>
      <c r="AS118" s="32"/>
      <c r="AT118" s="32"/>
      <c r="AU118" s="32"/>
      <c r="AV118" s="32"/>
      <c r="AW118" s="32"/>
      <c r="AX118" s="32"/>
      <c r="AY118" s="32"/>
      <c r="AZ118" s="32"/>
      <c r="BA118" s="32"/>
      <c r="BB118" s="32"/>
      <c r="BC118" s="32"/>
      <c r="BD118" s="32"/>
      <c r="BE118" s="32"/>
      <c r="BF118" s="32"/>
      <c r="BG118" s="32"/>
      <c r="BH118" s="32"/>
      <c r="BI118" s="32"/>
      <c r="BJ118" s="32"/>
      <c r="BK118" s="32"/>
      <c r="BL118" s="32"/>
      <c r="BM118" s="32"/>
      <c r="BN118" s="32"/>
      <c r="BO118" s="32"/>
      <c r="BP118" s="32"/>
      <c r="BQ118" s="32"/>
      <c r="BR118" s="32"/>
      <c r="BS118" s="32"/>
      <c r="BT118" s="32"/>
      <c r="BU118" s="32"/>
      <c r="BV118" s="32"/>
      <c r="BW118" s="32"/>
      <c r="BX118" s="32"/>
      <c r="BY118" s="32"/>
      <c r="BZ118" s="32"/>
      <c r="CA118" s="32"/>
      <c r="CB118" s="32"/>
      <c r="CC118" s="32"/>
      <c r="CD118" s="32"/>
      <c r="CE118" s="32"/>
      <c r="CF118" s="32"/>
      <c r="CG118" s="32"/>
      <c r="CH118" s="32"/>
      <c r="CI118" s="32"/>
      <c r="CJ118" s="32"/>
      <c r="CK118" s="32"/>
      <c r="CL118" s="32"/>
      <c r="CM118" s="32"/>
      <c r="CN118" s="32"/>
      <c r="CO118" s="32"/>
      <c r="CP118" s="32"/>
      <c r="CQ118" s="32"/>
      <c r="CR118" s="32"/>
      <c r="CS118" s="32"/>
      <c r="CT118" s="32"/>
      <c r="CU118" s="32"/>
      <c r="CV118" s="32"/>
      <c r="CW118" s="32"/>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row>
    <row r="119" spans="1:131">
      <c r="A119" s="11"/>
      <c r="B119" s="11" t="s">
        <v>651</v>
      </c>
      <c r="C119" s="393">
        <v>0</v>
      </c>
      <c r="D119" s="393">
        <v>0</v>
      </c>
      <c r="E119" s="393">
        <v>0</v>
      </c>
      <c r="F119" s="393">
        <v>0</v>
      </c>
      <c r="G119" s="393">
        <v>0</v>
      </c>
      <c r="H119" s="393">
        <v>0</v>
      </c>
      <c r="I119" s="393">
        <v>0</v>
      </c>
      <c r="J119" s="393">
        <v>0</v>
      </c>
      <c r="K119" s="393">
        <v>0</v>
      </c>
      <c r="L119" s="394">
        <v>0</v>
      </c>
      <c r="M119" s="393">
        <v>0</v>
      </c>
      <c r="N119" s="393">
        <v>0</v>
      </c>
      <c r="O119" s="393">
        <v>0</v>
      </c>
      <c r="P119" s="393">
        <v>0</v>
      </c>
      <c r="Q119" s="393">
        <v>0</v>
      </c>
      <c r="R119" s="393">
        <v>0</v>
      </c>
      <c r="S119" s="393">
        <v>0</v>
      </c>
      <c r="T119" s="393">
        <v>0</v>
      </c>
      <c r="U119" s="393">
        <v>0</v>
      </c>
      <c r="V119" s="393">
        <v>0</v>
      </c>
      <c r="W119" s="393">
        <v>0</v>
      </c>
      <c r="X119" s="393">
        <v>0</v>
      </c>
      <c r="Y119" s="393">
        <v>0</v>
      </c>
      <c r="Z119" s="393"/>
      <c r="AA119" s="393">
        <v>0</v>
      </c>
      <c r="AB119" s="393">
        <v>0</v>
      </c>
      <c r="AC119" s="393">
        <v>0</v>
      </c>
      <c r="AD119" s="393">
        <v>0</v>
      </c>
      <c r="AE119" s="393">
        <v>0</v>
      </c>
      <c r="AF119" s="393">
        <v>0</v>
      </c>
      <c r="AG119" s="393">
        <v>0</v>
      </c>
      <c r="AH119" s="393">
        <v>0</v>
      </c>
      <c r="AI119" s="393">
        <v>0</v>
      </c>
      <c r="AJ119" s="393">
        <v>0</v>
      </c>
      <c r="AK119" s="393">
        <v>0</v>
      </c>
      <c r="AL119" s="393">
        <v>0</v>
      </c>
      <c r="AM119" s="32"/>
      <c r="AN119" s="32"/>
      <c r="AO119" s="32"/>
      <c r="AP119" s="32"/>
      <c r="AQ119" s="32"/>
      <c r="AR119" s="32"/>
      <c r="AS119" s="32"/>
      <c r="AT119" s="32"/>
      <c r="AU119" s="32"/>
      <c r="AV119" s="32"/>
      <c r="AW119" s="32"/>
      <c r="AX119" s="32"/>
      <c r="AY119" s="32"/>
      <c r="AZ119" s="32"/>
      <c r="BA119" s="32"/>
      <c r="BB119" s="32"/>
      <c r="BC119" s="32"/>
      <c r="BD119" s="32"/>
      <c r="BE119" s="32"/>
      <c r="BF119" s="32"/>
      <c r="BG119" s="32"/>
      <c r="BH119" s="32"/>
      <c r="BI119" s="32"/>
      <c r="BJ119" s="32"/>
      <c r="BK119" s="32"/>
      <c r="BL119" s="32"/>
      <c r="BM119" s="32"/>
      <c r="BN119" s="32"/>
      <c r="BO119" s="32"/>
      <c r="BP119" s="32"/>
      <c r="BQ119" s="32"/>
      <c r="BR119" s="32"/>
      <c r="BS119" s="32"/>
      <c r="BT119" s="32"/>
      <c r="BU119" s="32"/>
      <c r="BV119" s="32"/>
      <c r="BW119" s="32"/>
      <c r="BX119" s="32"/>
      <c r="BY119" s="32"/>
      <c r="BZ119" s="32"/>
      <c r="CA119" s="32"/>
      <c r="CB119" s="32"/>
      <c r="CC119" s="32"/>
      <c r="CD119" s="32"/>
      <c r="CE119" s="32"/>
      <c r="CF119" s="32"/>
      <c r="CG119" s="32"/>
      <c r="CH119" s="32"/>
      <c r="CI119" s="32"/>
      <c r="CJ119" s="32"/>
      <c r="CK119" s="32"/>
      <c r="CL119" s="32"/>
      <c r="CM119" s="32"/>
      <c r="CN119" s="32"/>
      <c r="CO119" s="32"/>
      <c r="CP119" s="32"/>
      <c r="CQ119" s="32"/>
      <c r="CR119" s="32"/>
      <c r="CS119" s="32"/>
      <c r="CT119" s="32"/>
      <c r="CU119" s="32"/>
      <c r="CV119" s="32"/>
      <c r="CW119" s="32"/>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row>
    <row r="120" spans="1:131">
      <c r="A120" s="11"/>
      <c r="B120" s="11" t="s">
        <v>652</v>
      </c>
      <c r="C120" s="393">
        <v>0</v>
      </c>
      <c r="D120" s="393">
        <v>0</v>
      </c>
      <c r="E120" s="393">
        <v>0</v>
      </c>
      <c r="F120" s="393">
        <v>0</v>
      </c>
      <c r="G120" s="393">
        <v>0</v>
      </c>
      <c r="H120" s="393">
        <v>0</v>
      </c>
      <c r="I120" s="393">
        <v>0</v>
      </c>
      <c r="J120" s="393">
        <v>0</v>
      </c>
      <c r="K120" s="393">
        <v>0</v>
      </c>
      <c r="L120" s="394">
        <v>0</v>
      </c>
      <c r="M120" s="393">
        <v>0</v>
      </c>
      <c r="N120" s="393">
        <v>0</v>
      </c>
      <c r="O120" s="393">
        <v>0</v>
      </c>
      <c r="P120" s="393">
        <v>0</v>
      </c>
      <c r="Q120" s="393">
        <v>0</v>
      </c>
      <c r="R120" s="393">
        <v>0</v>
      </c>
      <c r="S120" s="393">
        <v>0</v>
      </c>
      <c r="T120" s="393">
        <v>0</v>
      </c>
      <c r="U120" s="393">
        <v>0</v>
      </c>
      <c r="V120" s="393">
        <v>0</v>
      </c>
      <c r="W120" s="393">
        <v>0</v>
      </c>
      <c r="X120" s="393">
        <v>0</v>
      </c>
      <c r="Y120" s="393">
        <v>0</v>
      </c>
      <c r="Z120" s="393"/>
      <c r="AA120" s="393">
        <v>0</v>
      </c>
      <c r="AB120" s="393">
        <v>0</v>
      </c>
      <c r="AC120" s="393">
        <v>0</v>
      </c>
      <c r="AD120" s="393">
        <v>0</v>
      </c>
      <c r="AE120" s="393">
        <v>0</v>
      </c>
      <c r="AF120" s="393">
        <v>0</v>
      </c>
      <c r="AG120" s="393">
        <v>0</v>
      </c>
      <c r="AH120" s="393">
        <v>0</v>
      </c>
      <c r="AI120" s="393">
        <v>0</v>
      </c>
      <c r="AJ120" s="393">
        <v>0</v>
      </c>
      <c r="AK120" s="393">
        <v>0</v>
      </c>
      <c r="AL120" s="393">
        <v>0</v>
      </c>
      <c r="AM120" s="32"/>
      <c r="AN120" s="32"/>
      <c r="AO120" s="32"/>
      <c r="AP120" s="32"/>
      <c r="AQ120" s="32"/>
      <c r="AR120" s="32"/>
      <c r="AS120" s="32"/>
      <c r="AT120" s="32"/>
      <c r="AU120" s="32"/>
      <c r="AV120" s="32"/>
      <c r="AW120" s="32"/>
      <c r="AX120" s="32"/>
      <c r="AY120" s="32"/>
      <c r="AZ120" s="32"/>
      <c r="BA120" s="32"/>
      <c r="BB120" s="32"/>
      <c r="BC120" s="32"/>
      <c r="BD120" s="32"/>
      <c r="BE120" s="32"/>
      <c r="BF120" s="32"/>
      <c r="BG120" s="32"/>
      <c r="BH120" s="32"/>
      <c r="BI120" s="32"/>
      <c r="BJ120" s="32"/>
      <c r="BK120" s="32"/>
      <c r="BL120" s="32"/>
      <c r="BM120" s="32"/>
      <c r="BN120" s="32"/>
      <c r="BO120" s="32"/>
      <c r="BP120" s="32"/>
      <c r="BQ120" s="32"/>
      <c r="BR120" s="32"/>
      <c r="BS120" s="32"/>
      <c r="BT120" s="32"/>
      <c r="BU120" s="32"/>
      <c r="BV120" s="32"/>
      <c r="BW120" s="32"/>
      <c r="BX120" s="32"/>
      <c r="BY120" s="32"/>
      <c r="BZ120" s="32"/>
      <c r="CA120" s="32"/>
      <c r="CB120" s="32"/>
      <c r="CC120" s="32"/>
      <c r="CD120" s="32"/>
      <c r="CE120" s="32"/>
      <c r="CF120" s="32"/>
      <c r="CG120" s="32"/>
      <c r="CH120" s="32"/>
      <c r="CI120" s="32"/>
      <c r="CJ120" s="32"/>
      <c r="CK120" s="32"/>
      <c r="CL120" s="32"/>
      <c r="CM120" s="32"/>
      <c r="CN120" s="32"/>
      <c r="CO120" s="32"/>
      <c r="CP120" s="32"/>
      <c r="CQ120" s="32"/>
      <c r="CR120" s="32"/>
      <c r="CS120" s="32"/>
      <c r="CT120" s="32"/>
      <c r="CU120" s="32"/>
      <c r="CV120" s="32"/>
      <c r="CW120" s="32"/>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row>
    <row r="121" spans="1:131">
      <c r="A121" s="11"/>
      <c r="B121" s="11" t="s">
        <v>653</v>
      </c>
      <c r="C121" s="393">
        <v>0</v>
      </c>
      <c r="D121" s="393">
        <v>0</v>
      </c>
      <c r="E121" s="393">
        <v>0</v>
      </c>
      <c r="F121" s="393">
        <v>0</v>
      </c>
      <c r="G121" s="393">
        <v>0</v>
      </c>
      <c r="H121" s="393">
        <v>0</v>
      </c>
      <c r="I121" s="393">
        <v>0</v>
      </c>
      <c r="J121" s="393">
        <v>0</v>
      </c>
      <c r="K121" s="393">
        <v>0</v>
      </c>
      <c r="L121" s="394">
        <v>0</v>
      </c>
      <c r="M121" s="393">
        <v>0</v>
      </c>
      <c r="N121" s="393">
        <v>0</v>
      </c>
      <c r="O121" s="393">
        <v>0</v>
      </c>
      <c r="P121" s="393">
        <v>0</v>
      </c>
      <c r="Q121" s="393">
        <v>0</v>
      </c>
      <c r="R121" s="393">
        <v>0</v>
      </c>
      <c r="S121" s="393">
        <v>0</v>
      </c>
      <c r="T121" s="393">
        <v>0</v>
      </c>
      <c r="U121" s="393">
        <v>0</v>
      </c>
      <c r="V121" s="393">
        <v>0</v>
      </c>
      <c r="W121" s="393">
        <v>0</v>
      </c>
      <c r="X121" s="393">
        <v>0</v>
      </c>
      <c r="Y121" s="393">
        <v>0</v>
      </c>
      <c r="Z121" s="393"/>
      <c r="AA121" s="393">
        <v>0</v>
      </c>
      <c r="AB121" s="393">
        <v>0</v>
      </c>
      <c r="AC121" s="393">
        <v>0</v>
      </c>
      <c r="AD121" s="393">
        <v>0</v>
      </c>
      <c r="AE121" s="393">
        <v>0</v>
      </c>
      <c r="AF121" s="393">
        <v>0</v>
      </c>
      <c r="AG121" s="393">
        <v>0</v>
      </c>
      <c r="AH121" s="393">
        <v>0</v>
      </c>
      <c r="AI121" s="393">
        <v>0</v>
      </c>
      <c r="AJ121" s="393">
        <v>0</v>
      </c>
      <c r="AK121" s="393">
        <v>0</v>
      </c>
      <c r="AL121" s="393">
        <v>0</v>
      </c>
      <c r="AM121" s="32"/>
      <c r="AN121" s="32"/>
      <c r="AO121" s="32"/>
      <c r="AP121" s="32"/>
      <c r="AQ121" s="32"/>
      <c r="AR121" s="32"/>
      <c r="AS121" s="32"/>
      <c r="AT121" s="32"/>
      <c r="AU121" s="32"/>
      <c r="AV121" s="32"/>
      <c r="AW121" s="32"/>
      <c r="AX121" s="32"/>
      <c r="AY121" s="32"/>
      <c r="AZ121" s="32"/>
      <c r="BA121" s="32"/>
      <c r="BB121" s="32"/>
      <c r="BC121" s="32"/>
      <c r="BD121" s="32"/>
      <c r="BE121" s="32"/>
      <c r="BF121" s="32"/>
      <c r="BG121" s="32"/>
      <c r="BH121" s="32"/>
      <c r="BI121" s="32"/>
      <c r="BJ121" s="32"/>
      <c r="BK121" s="32"/>
      <c r="BL121" s="32"/>
      <c r="BM121" s="32"/>
      <c r="BN121" s="32"/>
      <c r="BO121" s="32"/>
      <c r="BP121" s="32"/>
      <c r="BQ121" s="32"/>
      <c r="BR121" s="32"/>
      <c r="BS121" s="32"/>
      <c r="BT121" s="32"/>
      <c r="BU121" s="32"/>
      <c r="BV121" s="32"/>
      <c r="BW121" s="32"/>
      <c r="BX121" s="32"/>
      <c r="BY121" s="32"/>
      <c r="BZ121" s="32"/>
      <c r="CA121" s="32"/>
      <c r="CB121" s="32"/>
      <c r="CC121" s="32"/>
      <c r="CD121" s="32"/>
      <c r="CE121" s="32"/>
      <c r="CF121" s="32"/>
      <c r="CG121" s="32"/>
      <c r="CH121" s="32"/>
      <c r="CI121" s="32"/>
      <c r="CJ121" s="32"/>
      <c r="CK121" s="32"/>
      <c r="CL121" s="32"/>
      <c r="CM121" s="32"/>
      <c r="CN121" s="32"/>
      <c r="CO121" s="32"/>
      <c r="CP121" s="32"/>
      <c r="CQ121" s="32"/>
      <c r="CR121" s="32"/>
      <c r="CS121" s="32"/>
      <c r="CT121" s="32"/>
      <c r="CU121" s="32"/>
      <c r="CV121" s="32"/>
      <c r="CW121" s="32"/>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row>
    <row r="122" spans="1:131">
      <c r="A122" s="11"/>
      <c r="B122" s="11" t="s">
        <v>654</v>
      </c>
      <c r="C122" s="393">
        <v>0</v>
      </c>
      <c r="D122" s="393">
        <v>0</v>
      </c>
      <c r="E122" s="393">
        <v>0</v>
      </c>
      <c r="F122" s="393">
        <v>0</v>
      </c>
      <c r="G122" s="393">
        <v>0</v>
      </c>
      <c r="H122" s="393">
        <v>0</v>
      </c>
      <c r="I122" s="393">
        <v>0</v>
      </c>
      <c r="J122" s="393">
        <v>0</v>
      </c>
      <c r="K122" s="393">
        <v>0</v>
      </c>
      <c r="L122" s="394">
        <v>0</v>
      </c>
      <c r="M122" s="393">
        <v>0</v>
      </c>
      <c r="N122" s="393">
        <v>0</v>
      </c>
      <c r="O122" s="393">
        <v>0</v>
      </c>
      <c r="P122" s="393">
        <v>0</v>
      </c>
      <c r="Q122" s="393">
        <v>0</v>
      </c>
      <c r="R122" s="393">
        <v>0</v>
      </c>
      <c r="S122" s="393">
        <v>0</v>
      </c>
      <c r="T122" s="393">
        <v>0</v>
      </c>
      <c r="U122" s="393">
        <v>0</v>
      </c>
      <c r="V122" s="393">
        <v>0</v>
      </c>
      <c r="W122" s="393">
        <v>0</v>
      </c>
      <c r="X122" s="393">
        <v>0</v>
      </c>
      <c r="Y122" s="393">
        <v>0</v>
      </c>
      <c r="Z122" s="393"/>
      <c r="AA122" s="393">
        <v>0</v>
      </c>
      <c r="AB122" s="393">
        <v>0</v>
      </c>
      <c r="AC122" s="393">
        <v>0</v>
      </c>
      <c r="AD122" s="393">
        <v>0</v>
      </c>
      <c r="AE122" s="393">
        <v>0</v>
      </c>
      <c r="AF122" s="393">
        <v>0</v>
      </c>
      <c r="AG122" s="393">
        <v>0</v>
      </c>
      <c r="AH122" s="393">
        <v>0</v>
      </c>
      <c r="AI122" s="393">
        <v>0</v>
      </c>
      <c r="AJ122" s="393">
        <v>0</v>
      </c>
      <c r="AK122" s="393">
        <v>0</v>
      </c>
      <c r="AL122" s="393">
        <v>0</v>
      </c>
      <c r="AM122" s="32"/>
      <c r="AN122" s="32"/>
      <c r="AO122" s="32"/>
      <c r="AP122" s="32"/>
      <c r="AQ122" s="32"/>
      <c r="AR122" s="32"/>
      <c r="AS122" s="32"/>
      <c r="AT122" s="32"/>
      <c r="AU122" s="32"/>
      <c r="AV122" s="32"/>
      <c r="AW122" s="32"/>
      <c r="AX122" s="32"/>
      <c r="AY122" s="32"/>
      <c r="AZ122" s="32"/>
      <c r="BA122" s="32"/>
      <c r="BB122" s="32"/>
      <c r="BC122" s="32"/>
      <c r="BD122" s="32"/>
      <c r="BE122" s="32"/>
      <c r="BF122" s="32"/>
      <c r="BG122" s="32"/>
      <c r="BH122" s="32"/>
      <c r="BI122" s="32"/>
      <c r="BJ122" s="32"/>
      <c r="BK122" s="32"/>
      <c r="BL122" s="32"/>
      <c r="BM122" s="32"/>
      <c r="BN122" s="32"/>
      <c r="BO122" s="32"/>
      <c r="BP122" s="32"/>
      <c r="BQ122" s="32"/>
      <c r="BR122" s="32"/>
      <c r="BS122" s="32"/>
      <c r="BT122" s="32"/>
      <c r="BU122" s="32"/>
      <c r="BV122" s="32"/>
      <c r="BW122" s="32"/>
      <c r="BX122" s="32"/>
      <c r="BY122" s="32"/>
      <c r="BZ122" s="32"/>
      <c r="CA122" s="32"/>
      <c r="CB122" s="32"/>
      <c r="CC122" s="32"/>
      <c r="CD122" s="32"/>
      <c r="CE122" s="32"/>
      <c r="CF122" s="32"/>
      <c r="CG122" s="32"/>
      <c r="CH122" s="32"/>
      <c r="CI122" s="32"/>
      <c r="CJ122" s="32"/>
      <c r="CK122" s="32"/>
      <c r="CL122" s="32"/>
      <c r="CM122" s="32"/>
      <c r="CN122" s="32"/>
      <c r="CO122" s="32"/>
      <c r="CP122" s="32"/>
      <c r="CQ122" s="32"/>
      <c r="CR122" s="32"/>
      <c r="CS122" s="32"/>
      <c r="CT122" s="32"/>
      <c r="CU122" s="32"/>
      <c r="CV122" s="32"/>
      <c r="CW122" s="32"/>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row>
    <row r="123" spans="1:131">
      <c r="A123" s="11"/>
      <c r="B123" s="11" t="s">
        <v>655</v>
      </c>
      <c r="C123" s="393">
        <v>0</v>
      </c>
      <c r="D123" s="393">
        <v>0</v>
      </c>
      <c r="E123" s="393">
        <v>0</v>
      </c>
      <c r="F123" s="393">
        <v>0</v>
      </c>
      <c r="G123" s="393">
        <v>0</v>
      </c>
      <c r="H123" s="393">
        <v>0</v>
      </c>
      <c r="I123" s="393">
        <v>0</v>
      </c>
      <c r="J123" s="393">
        <v>0</v>
      </c>
      <c r="K123" s="393">
        <v>0</v>
      </c>
      <c r="L123" s="394">
        <v>0</v>
      </c>
      <c r="M123" s="393">
        <v>0</v>
      </c>
      <c r="N123" s="393">
        <v>0</v>
      </c>
      <c r="O123" s="393">
        <v>0</v>
      </c>
      <c r="P123" s="393">
        <v>0</v>
      </c>
      <c r="Q123" s="393">
        <v>0</v>
      </c>
      <c r="R123" s="393">
        <v>0</v>
      </c>
      <c r="S123" s="393">
        <v>0</v>
      </c>
      <c r="T123" s="393">
        <v>0</v>
      </c>
      <c r="U123" s="393">
        <v>0</v>
      </c>
      <c r="V123" s="393">
        <v>0</v>
      </c>
      <c r="W123" s="393">
        <v>0</v>
      </c>
      <c r="X123" s="393">
        <v>0</v>
      </c>
      <c r="Y123" s="393">
        <v>0</v>
      </c>
      <c r="Z123" s="393"/>
      <c r="AA123" s="393">
        <v>0</v>
      </c>
      <c r="AB123" s="393">
        <v>0</v>
      </c>
      <c r="AC123" s="393">
        <v>0</v>
      </c>
      <c r="AD123" s="393">
        <v>0</v>
      </c>
      <c r="AE123" s="393">
        <v>0</v>
      </c>
      <c r="AF123" s="393">
        <v>0</v>
      </c>
      <c r="AG123" s="393">
        <v>0</v>
      </c>
      <c r="AH123" s="393">
        <v>0</v>
      </c>
      <c r="AI123" s="393">
        <v>0</v>
      </c>
      <c r="AJ123" s="393">
        <v>0</v>
      </c>
      <c r="AK123" s="393">
        <v>0</v>
      </c>
      <c r="AL123" s="393">
        <v>0</v>
      </c>
      <c r="AM123" s="32"/>
      <c r="AN123" s="32"/>
      <c r="AO123" s="32"/>
      <c r="AP123" s="32"/>
      <c r="AQ123" s="32"/>
      <c r="AR123" s="32"/>
      <c r="AS123" s="32"/>
      <c r="AT123" s="32"/>
      <c r="AU123" s="32"/>
      <c r="AV123" s="32"/>
      <c r="AW123" s="32"/>
      <c r="AX123" s="32"/>
      <c r="AY123" s="32"/>
      <c r="AZ123" s="32"/>
      <c r="BA123" s="32"/>
      <c r="BB123" s="32"/>
      <c r="BC123" s="32"/>
      <c r="BD123" s="32"/>
      <c r="BE123" s="32"/>
      <c r="BF123" s="32"/>
      <c r="BG123" s="32"/>
      <c r="BH123" s="32"/>
      <c r="BI123" s="32"/>
      <c r="BJ123" s="32"/>
      <c r="BK123" s="32"/>
      <c r="BL123" s="32"/>
      <c r="BM123" s="32"/>
      <c r="BN123" s="32"/>
      <c r="BO123" s="32"/>
      <c r="BP123" s="32"/>
      <c r="BQ123" s="32"/>
      <c r="BR123" s="32"/>
      <c r="BS123" s="32"/>
      <c r="BT123" s="32"/>
      <c r="BU123" s="32"/>
      <c r="BV123" s="32"/>
      <c r="BW123" s="32"/>
      <c r="BX123" s="32"/>
      <c r="BY123" s="32"/>
      <c r="BZ123" s="32"/>
      <c r="CA123" s="32"/>
      <c r="CB123" s="32"/>
      <c r="CC123" s="32"/>
      <c r="CD123" s="32"/>
      <c r="CE123" s="32"/>
      <c r="CF123" s="32"/>
      <c r="CG123" s="32"/>
      <c r="CH123" s="32"/>
      <c r="CI123" s="32"/>
      <c r="CJ123" s="32"/>
      <c r="CK123" s="32"/>
      <c r="CL123" s="32"/>
      <c r="CM123" s="32"/>
      <c r="CN123" s="32"/>
      <c r="CO123" s="32"/>
      <c r="CP123" s="32"/>
      <c r="CQ123" s="32"/>
      <c r="CR123" s="32"/>
      <c r="CS123" s="32"/>
      <c r="CT123" s="32"/>
      <c r="CU123" s="32"/>
      <c r="CV123" s="32"/>
      <c r="CW123" s="32"/>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row>
    <row r="124" spans="1:131">
      <c r="A124" s="11"/>
      <c r="B124" s="11" t="s">
        <v>656</v>
      </c>
      <c r="C124" s="393">
        <v>0</v>
      </c>
      <c r="D124" s="393">
        <v>0</v>
      </c>
      <c r="E124" s="393">
        <v>0</v>
      </c>
      <c r="F124" s="393">
        <v>0</v>
      </c>
      <c r="G124" s="393">
        <v>0</v>
      </c>
      <c r="H124" s="393">
        <v>0</v>
      </c>
      <c r="I124" s="393">
        <v>0</v>
      </c>
      <c r="J124" s="393">
        <v>0</v>
      </c>
      <c r="K124" s="393">
        <v>0</v>
      </c>
      <c r="L124" s="394">
        <v>0</v>
      </c>
      <c r="M124" s="393">
        <v>0</v>
      </c>
      <c r="N124" s="393">
        <v>0</v>
      </c>
      <c r="O124" s="393">
        <v>0</v>
      </c>
      <c r="P124" s="393">
        <v>0</v>
      </c>
      <c r="Q124" s="393">
        <v>0</v>
      </c>
      <c r="R124" s="393">
        <v>0</v>
      </c>
      <c r="S124" s="393">
        <v>0</v>
      </c>
      <c r="T124" s="393">
        <v>0</v>
      </c>
      <c r="U124" s="393">
        <v>0</v>
      </c>
      <c r="V124" s="393">
        <v>0</v>
      </c>
      <c r="W124" s="393">
        <v>0</v>
      </c>
      <c r="X124" s="393">
        <v>0</v>
      </c>
      <c r="Y124" s="393">
        <v>0</v>
      </c>
      <c r="Z124" s="393"/>
      <c r="AA124" s="393">
        <v>0</v>
      </c>
      <c r="AB124" s="393">
        <v>0</v>
      </c>
      <c r="AC124" s="393">
        <v>0</v>
      </c>
      <c r="AD124" s="393">
        <v>0</v>
      </c>
      <c r="AE124" s="393">
        <v>0</v>
      </c>
      <c r="AF124" s="393">
        <v>0</v>
      </c>
      <c r="AG124" s="393">
        <v>0</v>
      </c>
      <c r="AH124" s="393">
        <v>0</v>
      </c>
      <c r="AI124" s="393">
        <v>0</v>
      </c>
      <c r="AJ124" s="393">
        <v>0</v>
      </c>
      <c r="AK124" s="393">
        <v>0</v>
      </c>
      <c r="AL124" s="393">
        <v>0</v>
      </c>
      <c r="AM124" s="32"/>
      <c r="AN124" s="32"/>
      <c r="AO124" s="32"/>
      <c r="AP124" s="32"/>
      <c r="AQ124" s="32"/>
      <c r="AR124" s="32"/>
      <c r="AS124" s="32"/>
      <c r="AT124" s="32"/>
      <c r="AU124" s="32"/>
      <c r="AV124" s="32"/>
      <c r="AW124" s="32"/>
      <c r="AX124" s="32"/>
      <c r="AY124" s="32"/>
      <c r="AZ124" s="32"/>
      <c r="BA124" s="32"/>
      <c r="BB124" s="32"/>
      <c r="BC124" s="32"/>
      <c r="BD124" s="32"/>
      <c r="BE124" s="32"/>
      <c r="BF124" s="32"/>
      <c r="BG124" s="32"/>
      <c r="BH124" s="32"/>
      <c r="BI124" s="32"/>
      <c r="BJ124" s="32"/>
      <c r="BK124" s="32"/>
      <c r="BL124" s="32"/>
      <c r="BM124" s="32"/>
      <c r="BN124" s="32"/>
      <c r="BO124" s="32"/>
      <c r="BP124" s="32"/>
      <c r="BQ124" s="32"/>
      <c r="BR124" s="32"/>
      <c r="BS124" s="32"/>
      <c r="BT124" s="32"/>
      <c r="BU124" s="32"/>
      <c r="BV124" s="32"/>
      <c r="BW124" s="32"/>
      <c r="BX124" s="32"/>
      <c r="BY124" s="32"/>
      <c r="BZ124" s="32"/>
      <c r="CA124" s="32"/>
      <c r="CB124" s="32"/>
      <c r="CC124" s="32"/>
      <c r="CD124" s="32"/>
      <c r="CE124" s="32"/>
      <c r="CF124" s="32"/>
      <c r="CG124" s="32"/>
      <c r="CH124" s="32"/>
      <c r="CI124" s="32"/>
      <c r="CJ124" s="32"/>
      <c r="CK124" s="32"/>
      <c r="CL124" s="32"/>
      <c r="CM124" s="32"/>
      <c r="CN124" s="32"/>
      <c r="CO124" s="32"/>
      <c r="CP124" s="32"/>
      <c r="CQ124" s="32"/>
      <c r="CR124" s="32"/>
      <c r="CS124" s="32"/>
      <c r="CT124" s="32"/>
      <c r="CU124" s="32"/>
      <c r="CV124" s="32"/>
      <c r="CW124" s="32"/>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row>
    <row r="125" spans="1:131">
      <c r="A125" s="11"/>
      <c r="B125" s="11" t="s">
        <v>657</v>
      </c>
      <c r="C125" s="393">
        <v>0</v>
      </c>
      <c r="D125" s="393">
        <v>0</v>
      </c>
      <c r="E125" s="393">
        <v>0</v>
      </c>
      <c r="F125" s="393">
        <v>0</v>
      </c>
      <c r="G125" s="393">
        <v>0</v>
      </c>
      <c r="H125" s="393">
        <v>0</v>
      </c>
      <c r="I125" s="393">
        <v>0</v>
      </c>
      <c r="J125" s="393">
        <v>0</v>
      </c>
      <c r="K125" s="393">
        <v>0</v>
      </c>
      <c r="L125" s="394">
        <v>0</v>
      </c>
      <c r="M125" s="393">
        <v>0</v>
      </c>
      <c r="N125" s="393">
        <v>0</v>
      </c>
      <c r="O125" s="393">
        <v>0</v>
      </c>
      <c r="P125" s="393">
        <v>0</v>
      </c>
      <c r="Q125" s="393">
        <v>0</v>
      </c>
      <c r="R125" s="393">
        <v>0</v>
      </c>
      <c r="S125" s="393">
        <v>0</v>
      </c>
      <c r="T125" s="393">
        <v>0</v>
      </c>
      <c r="U125" s="393">
        <v>0</v>
      </c>
      <c r="V125" s="393">
        <v>0</v>
      </c>
      <c r="W125" s="393">
        <v>0</v>
      </c>
      <c r="X125" s="393">
        <v>0</v>
      </c>
      <c r="Y125" s="393">
        <v>0</v>
      </c>
      <c r="Z125" s="393"/>
      <c r="AA125" s="393">
        <v>0</v>
      </c>
      <c r="AB125" s="393">
        <v>0</v>
      </c>
      <c r="AC125" s="393">
        <v>0</v>
      </c>
      <c r="AD125" s="393">
        <v>0</v>
      </c>
      <c r="AE125" s="393">
        <v>0</v>
      </c>
      <c r="AF125" s="393">
        <v>0</v>
      </c>
      <c r="AG125" s="393">
        <v>0</v>
      </c>
      <c r="AH125" s="393">
        <v>0</v>
      </c>
      <c r="AI125" s="393">
        <v>0</v>
      </c>
      <c r="AJ125" s="393">
        <v>0</v>
      </c>
      <c r="AK125" s="393">
        <v>0</v>
      </c>
      <c r="AL125" s="393">
        <v>0</v>
      </c>
      <c r="AM125" s="32"/>
      <c r="AN125" s="32"/>
      <c r="AO125" s="32"/>
      <c r="AP125" s="32"/>
      <c r="AQ125" s="32"/>
      <c r="AR125" s="32"/>
      <c r="AS125" s="32"/>
      <c r="AT125" s="32"/>
      <c r="AU125" s="32"/>
      <c r="AV125" s="32"/>
      <c r="AW125" s="32"/>
      <c r="AX125" s="32"/>
      <c r="AY125" s="32"/>
      <c r="AZ125" s="32"/>
      <c r="BA125" s="32"/>
      <c r="BB125" s="32"/>
      <c r="BC125" s="32"/>
      <c r="BD125" s="32"/>
      <c r="BE125" s="32"/>
      <c r="BF125" s="32"/>
      <c r="BG125" s="32"/>
      <c r="BH125" s="32"/>
      <c r="BI125" s="32"/>
      <c r="BJ125" s="32"/>
      <c r="BK125" s="32"/>
      <c r="BL125" s="32"/>
      <c r="BM125" s="32"/>
      <c r="BN125" s="32"/>
      <c r="BO125" s="32"/>
      <c r="BP125" s="32"/>
      <c r="BQ125" s="32"/>
      <c r="BR125" s="32"/>
      <c r="BS125" s="32"/>
      <c r="BT125" s="32"/>
      <c r="BU125" s="32"/>
      <c r="BV125" s="32"/>
      <c r="BW125" s="32"/>
      <c r="BX125" s="32"/>
      <c r="BY125" s="32"/>
      <c r="BZ125" s="32"/>
      <c r="CA125" s="32"/>
      <c r="CB125" s="32"/>
      <c r="CC125" s="32"/>
      <c r="CD125" s="32"/>
      <c r="CE125" s="32"/>
      <c r="CF125" s="32"/>
      <c r="CG125" s="32"/>
      <c r="CH125" s="32"/>
      <c r="CI125" s="32"/>
      <c r="CJ125" s="32"/>
      <c r="CK125" s="32"/>
      <c r="CL125" s="32"/>
      <c r="CM125" s="32"/>
      <c r="CN125" s="32"/>
      <c r="CO125" s="32"/>
      <c r="CP125" s="32"/>
      <c r="CQ125" s="32"/>
      <c r="CR125" s="32"/>
      <c r="CS125" s="32"/>
      <c r="CT125" s="32"/>
      <c r="CU125" s="32"/>
      <c r="CV125" s="32"/>
      <c r="CW125" s="32"/>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row>
    <row r="126" spans="1:131">
      <c r="A126" s="11"/>
      <c r="B126" s="11" t="s">
        <v>658</v>
      </c>
      <c r="C126" s="393">
        <v>0</v>
      </c>
      <c r="D126" s="393">
        <v>0</v>
      </c>
      <c r="E126" s="393">
        <v>0</v>
      </c>
      <c r="F126" s="393">
        <v>0</v>
      </c>
      <c r="G126" s="393">
        <v>0</v>
      </c>
      <c r="H126" s="393">
        <v>0</v>
      </c>
      <c r="I126" s="393">
        <v>0</v>
      </c>
      <c r="J126" s="393">
        <v>0</v>
      </c>
      <c r="K126" s="393">
        <v>0</v>
      </c>
      <c r="L126" s="394">
        <v>0</v>
      </c>
      <c r="M126" s="393">
        <v>0</v>
      </c>
      <c r="N126" s="393">
        <v>0</v>
      </c>
      <c r="O126" s="393">
        <v>0</v>
      </c>
      <c r="P126" s="393">
        <v>0</v>
      </c>
      <c r="Q126" s="393">
        <v>0</v>
      </c>
      <c r="R126" s="393">
        <v>0</v>
      </c>
      <c r="S126" s="393">
        <v>0</v>
      </c>
      <c r="T126" s="393">
        <v>0</v>
      </c>
      <c r="U126" s="393">
        <v>0</v>
      </c>
      <c r="V126" s="393">
        <v>0</v>
      </c>
      <c r="W126" s="393">
        <v>0</v>
      </c>
      <c r="X126" s="393">
        <v>0</v>
      </c>
      <c r="Y126" s="393">
        <v>0</v>
      </c>
      <c r="Z126" s="393"/>
      <c r="AA126" s="393">
        <v>0</v>
      </c>
      <c r="AB126" s="393">
        <v>0</v>
      </c>
      <c r="AC126" s="393">
        <v>0</v>
      </c>
      <c r="AD126" s="393">
        <v>0</v>
      </c>
      <c r="AE126" s="393">
        <v>0</v>
      </c>
      <c r="AF126" s="393">
        <v>0</v>
      </c>
      <c r="AG126" s="393">
        <v>0</v>
      </c>
      <c r="AH126" s="393">
        <v>0</v>
      </c>
      <c r="AI126" s="393">
        <v>0</v>
      </c>
      <c r="AJ126" s="393">
        <v>0</v>
      </c>
      <c r="AK126" s="393">
        <v>0</v>
      </c>
      <c r="AL126" s="393">
        <v>0</v>
      </c>
      <c r="AM126" s="32"/>
      <c r="AN126" s="32"/>
      <c r="AO126" s="32"/>
      <c r="AP126" s="32"/>
      <c r="AQ126" s="32"/>
      <c r="AR126" s="32"/>
      <c r="AS126" s="32"/>
      <c r="AT126" s="32"/>
      <c r="AU126" s="32"/>
      <c r="AV126" s="32"/>
      <c r="AW126" s="32"/>
      <c r="AX126" s="32"/>
      <c r="AY126" s="32"/>
      <c r="AZ126" s="32"/>
      <c r="BA126" s="32"/>
      <c r="BB126" s="32"/>
      <c r="BC126" s="32"/>
      <c r="BD126" s="32"/>
      <c r="BE126" s="32"/>
      <c r="BF126" s="32"/>
      <c r="BG126" s="32"/>
      <c r="BH126" s="32"/>
      <c r="BI126" s="32"/>
      <c r="BJ126" s="32"/>
      <c r="BK126" s="32"/>
      <c r="BL126" s="32"/>
      <c r="BM126" s="32"/>
      <c r="BN126" s="32"/>
      <c r="BO126" s="32"/>
      <c r="BP126" s="32"/>
      <c r="BQ126" s="32"/>
      <c r="BR126" s="32"/>
      <c r="BS126" s="32"/>
      <c r="BT126" s="32"/>
      <c r="BU126" s="32"/>
      <c r="BV126" s="32"/>
      <c r="BW126" s="32"/>
      <c r="BX126" s="32"/>
      <c r="BY126" s="32"/>
      <c r="BZ126" s="32"/>
      <c r="CA126" s="32"/>
      <c r="CB126" s="32"/>
      <c r="CC126" s="32"/>
      <c r="CD126" s="32"/>
      <c r="CE126" s="32"/>
      <c r="CF126" s="32"/>
      <c r="CG126" s="32"/>
      <c r="CH126" s="32"/>
      <c r="CI126" s="32"/>
      <c r="CJ126" s="32"/>
      <c r="CK126" s="32"/>
      <c r="CL126" s="32"/>
      <c r="CM126" s="32"/>
      <c r="CN126" s="32"/>
      <c r="CO126" s="32"/>
      <c r="CP126" s="32"/>
      <c r="CQ126" s="32"/>
      <c r="CR126" s="32"/>
      <c r="CS126" s="32"/>
      <c r="CT126" s="32"/>
      <c r="CU126" s="32"/>
      <c r="CV126" s="32"/>
      <c r="CW126" s="32"/>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row>
    <row r="127" spans="1:131">
      <c r="A127" s="11"/>
      <c r="B127" s="11" t="s">
        <v>659</v>
      </c>
      <c r="C127" s="393">
        <v>0</v>
      </c>
      <c r="D127" s="393">
        <v>0</v>
      </c>
      <c r="E127" s="393">
        <v>0</v>
      </c>
      <c r="F127" s="393">
        <v>0</v>
      </c>
      <c r="G127" s="393">
        <v>0</v>
      </c>
      <c r="H127" s="393">
        <v>0</v>
      </c>
      <c r="I127" s="393">
        <v>0</v>
      </c>
      <c r="J127" s="393">
        <v>0</v>
      </c>
      <c r="K127" s="393">
        <v>0</v>
      </c>
      <c r="L127" s="394">
        <v>0</v>
      </c>
      <c r="M127" s="393">
        <v>0</v>
      </c>
      <c r="N127" s="393">
        <v>0</v>
      </c>
      <c r="O127" s="393">
        <v>0</v>
      </c>
      <c r="P127" s="393">
        <v>0</v>
      </c>
      <c r="Q127" s="393">
        <v>0</v>
      </c>
      <c r="R127" s="393">
        <v>0</v>
      </c>
      <c r="S127" s="393">
        <v>0</v>
      </c>
      <c r="T127" s="393">
        <v>0</v>
      </c>
      <c r="U127" s="393">
        <v>0</v>
      </c>
      <c r="V127" s="393">
        <v>0</v>
      </c>
      <c r="W127" s="393">
        <v>0</v>
      </c>
      <c r="X127" s="393">
        <v>0</v>
      </c>
      <c r="Y127" s="393">
        <v>0</v>
      </c>
      <c r="Z127" s="393"/>
      <c r="AA127" s="393">
        <v>0</v>
      </c>
      <c r="AB127" s="393">
        <v>0</v>
      </c>
      <c r="AC127" s="393">
        <v>0</v>
      </c>
      <c r="AD127" s="393">
        <v>0</v>
      </c>
      <c r="AE127" s="393">
        <v>0</v>
      </c>
      <c r="AF127" s="393">
        <v>0</v>
      </c>
      <c r="AG127" s="393">
        <v>0</v>
      </c>
      <c r="AH127" s="393">
        <v>0</v>
      </c>
      <c r="AI127" s="393">
        <v>0</v>
      </c>
      <c r="AJ127" s="393">
        <v>0</v>
      </c>
      <c r="AK127" s="393">
        <v>0</v>
      </c>
      <c r="AL127" s="393">
        <v>0</v>
      </c>
      <c r="AM127" s="32"/>
      <c r="AN127" s="32"/>
      <c r="AO127" s="32"/>
      <c r="AP127" s="32"/>
      <c r="AQ127" s="32"/>
      <c r="AR127" s="32"/>
      <c r="AS127" s="32"/>
      <c r="AT127" s="32"/>
      <c r="AU127" s="32"/>
      <c r="AV127" s="32"/>
      <c r="AW127" s="32"/>
      <c r="AX127" s="32"/>
      <c r="AY127" s="32"/>
      <c r="AZ127" s="32"/>
      <c r="BA127" s="32"/>
      <c r="BB127" s="32"/>
      <c r="BC127" s="32"/>
      <c r="BD127" s="32"/>
      <c r="BE127" s="32"/>
      <c r="BF127" s="32"/>
      <c r="BG127" s="32"/>
      <c r="BH127" s="32"/>
      <c r="BI127" s="32"/>
      <c r="BJ127" s="32"/>
      <c r="BK127" s="32"/>
      <c r="BL127" s="32"/>
      <c r="BM127" s="32"/>
      <c r="BN127" s="32"/>
      <c r="BO127" s="32"/>
      <c r="BP127" s="32"/>
      <c r="BQ127" s="32"/>
      <c r="BR127" s="32"/>
      <c r="BS127" s="32"/>
      <c r="BT127" s="32"/>
      <c r="BU127" s="32"/>
      <c r="BV127" s="32"/>
      <c r="BW127" s="32"/>
      <c r="BX127" s="32"/>
      <c r="BY127" s="32"/>
      <c r="BZ127" s="32"/>
      <c r="CA127" s="32"/>
      <c r="CB127" s="32"/>
      <c r="CC127" s="32"/>
      <c r="CD127" s="32"/>
      <c r="CE127" s="32"/>
      <c r="CF127" s="32"/>
      <c r="CG127" s="32"/>
      <c r="CH127" s="32"/>
      <c r="CI127" s="32"/>
      <c r="CJ127" s="32"/>
      <c r="CK127" s="32"/>
      <c r="CL127" s="32"/>
      <c r="CM127" s="32"/>
      <c r="CN127" s="32"/>
      <c r="CO127" s="32"/>
      <c r="CP127" s="32"/>
      <c r="CQ127" s="32"/>
      <c r="CR127" s="32"/>
      <c r="CS127" s="32"/>
      <c r="CT127" s="32"/>
      <c r="CU127" s="32"/>
      <c r="CV127" s="32"/>
      <c r="CW127" s="32"/>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row>
    <row r="128" spans="1:131">
      <c r="A128" s="11"/>
      <c r="B128" s="11" t="s">
        <v>660</v>
      </c>
      <c r="C128" s="393">
        <v>0</v>
      </c>
      <c r="D128" s="393">
        <v>0</v>
      </c>
      <c r="E128" s="393">
        <v>0</v>
      </c>
      <c r="F128" s="393">
        <v>0</v>
      </c>
      <c r="G128" s="393">
        <v>0</v>
      </c>
      <c r="H128" s="393">
        <v>0</v>
      </c>
      <c r="I128" s="393">
        <v>0</v>
      </c>
      <c r="J128" s="393">
        <v>0</v>
      </c>
      <c r="K128" s="393">
        <v>0</v>
      </c>
      <c r="L128" s="394">
        <v>0</v>
      </c>
      <c r="M128" s="393">
        <v>0</v>
      </c>
      <c r="N128" s="393">
        <v>0</v>
      </c>
      <c r="O128" s="393">
        <v>0</v>
      </c>
      <c r="P128" s="393">
        <v>0</v>
      </c>
      <c r="Q128" s="393">
        <v>0</v>
      </c>
      <c r="R128" s="393">
        <v>0</v>
      </c>
      <c r="S128" s="393">
        <v>0</v>
      </c>
      <c r="T128" s="393">
        <v>0</v>
      </c>
      <c r="U128" s="393">
        <v>0</v>
      </c>
      <c r="V128" s="393">
        <v>0</v>
      </c>
      <c r="W128" s="393">
        <v>0</v>
      </c>
      <c r="X128" s="393">
        <v>0</v>
      </c>
      <c r="Y128" s="393">
        <v>0</v>
      </c>
      <c r="Z128" s="393"/>
      <c r="AA128" s="393">
        <v>0</v>
      </c>
      <c r="AB128" s="393">
        <v>0</v>
      </c>
      <c r="AC128" s="393">
        <v>0</v>
      </c>
      <c r="AD128" s="393">
        <v>0</v>
      </c>
      <c r="AE128" s="393">
        <v>0</v>
      </c>
      <c r="AF128" s="393">
        <v>0</v>
      </c>
      <c r="AG128" s="393">
        <v>0</v>
      </c>
      <c r="AH128" s="393">
        <v>0</v>
      </c>
      <c r="AI128" s="393">
        <v>0</v>
      </c>
      <c r="AJ128" s="393">
        <v>0</v>
      </c>
      <c r="AK128" s="393">
        <v>0</v>
      </c>
      <c r="AL128" s="393">
        <v>0</v>
      </c>
      <c r="AM128" s="32"/>
      <c r="AN128" s="32"/>
      <c r="AO128" s="32"/>
      <c r="AP128" s="32"/>
      <c r="AQ128" s="32"/>
      <c r="AR128" s="32"/>
      <c r="AS128" s="32"/>
      <c r="AT128" s="32"/>
      <c r="AU128" s="32"/>
      <c r="AV128" s="32"/>
      <c r="AW128" s="32"/>
      <c r="AX128" s="32"/>
      <c r="AY128" s="32"/>
      <c r="AZ128" s="32"/>
      <c r="BA128" s="32"/>
      <c r="BB128" s="32"/>
      <c r="BC128" s="32"/>
      <c r="BD128" s="32"/>
      <c r="BE128" s="32"/>
      <c r="BF128" s="32"/>
      <c r="BG128" s="32"/>
      <c r="BH128" s="32"/>
      <c r="BI128" s="32"/>
      <c r="BJ128" s="32"/>
      <c r="BK128" s="32"/>
      <c r="BL128" s="32"/>
      <c r="BM128" s="32"/>
      <c r="BN128" s="32"/>
      <c r="BO128" s="32"/>
      <c r="BP128" s="32"/>
      <c r="BQ128" s="32"/>
      <c r="BR128" s="32"/>
      <c r="BS128" s="32"/>
      <c r="BT128" s="32"/>
      <c r="BU128" s="32"/>
      <c r="BV128" s="32"/>
      <c r="BW128" s="32"/>
      <c r="BX128" s="32"/>
      <c r="BY128" s="32"/>
      <c r="BZ128" s="32"/>
      <c r="CA128" s="32"/>
      <c r="CB128" s="32"/>
      <c r="CC128" s="32"/>
      <c r="CD128" s="32"/>
      <c r="CE128" s="32"/>
      <c r="CF128" s="32"/>
      <c r="CG128" s="32"/>
      <c r="CH128" s="32"/>
      <c r="CI128" s="32"/>
      <c r="CJ128" s="32"/>
      <c r="CK128" s="32"/>
      <c r="CL128" s="32"/>
      <c r="CM128" s="32"/>
      <c r="CN128" s="32"/>
      <c r="CO128" s="32"/>
      <c r="CP128" s="32"/>
      <c r="CQ128" s="32"/>
      <c r="CR128" s="32"/>
      <c r="CS128" s="32"/>
      <c r="CT128" s="32"/>
      <c r="CU128" s="32"/>
      <c r="CV128" s="32"/>
      <c r="CW128" s="32"/>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row>
    <row r="129" spans="1:131">
      <c r="A129" s="11"/>
      <c r="B129" s="11"/>
      <c r="C129" s="32"/>
      <c r="D129" s="32"/>
      <c r="E129" s="32"/>
      <c r="F129" s="32"/>
      <c r="G129" s="32"/>
      <c r="H129" s="32"/>
      <c r="I129" s="32"/>
      <c r="J129" s="32"/>
      <c r="K129" s="32"/>
      <c r="L129" s="32"/>
      <c r="M129" s="32"/>
      <c r="N129" s="32"/>
      <c r="O129" s="32"/>
      <c r="P129" s="32"/>
      <c r="Q129" s="32"/>
      <c r="R129" s="32"/>
      <c r="S129" s="32"/>
      <c r="T129" s="32"/>
      <c r="U129" s="32"/>
      <c r="V129" s="32"/>
      <c r="W129" s="32"/>
      <c r="X129" s="32"/>
      <c r="Y129" s="32"/>
      <c r="Z129" s="32"/>
      <c r="AA129" s="32"/>
      <c r="AB129" s="32"/>
      <c r="AC129" s="32"/>
      <c r="AD129" s="32"/>
      <c r="AE129" s="32"/>
      <c r="AF129" s="32"/>
      <c r="AG129" s="32"/>
      <c r="AH129" s="32"/>
      <c r="AI129" s="32"/>
      <c r="AJ129" s="32"/>
      <c r="AK129" s="32"/>
      <c r="AL129" s="32"/>
      <c r="AM129" s="32"/>
      <c r="AN129" s="32"/>
      <c r="AO129" s="32"/>
      <c r="AP129" s="32"/>
      <c r="AQ129" s="32"/>
      <c r="AR129" s="32"/>
      <c r="AS129" s="32"/>
      <c r="AT129" s="32"/>
      <c r="AU129" s="32"/>
      <c r="AV129" s="32"/>
      <c r="AW129" s="32"/>
      <c r="AX129" s="32"/>
      <c r="AY129" s="32"/>
      <c r="AZ129" s="32"/>
      <c r="BA129" s="32"/>
      <c r="BB129" s="32"/>
      <c r="BC129" s="32"/>
      <c r="BD129" s="32"/>
      <c r="BE129" s="32"/>
      <c r="BF129" s="32"/>
      <c r="BG129" s="32"/>
      <c r="BH129" s="32"/>
      <c r="BI129" s="32"/>
      <c r="BJ129" s="32"/>
      <c r="BK129" s="32"/>
      <c r="BL129" s="32"/>
      <c r="BM129" s="32"/>
      <c r="BN129" s="32"/>
      <c r="BO129" s="32"/>
      <c r="BP129" s="32"/>
      <c r="BQ129" s="32"/>
      <c r="BR129" s="32"/>
      <c r="BS129" s="32"/>
      <c r="BT129" s="32"/>
      <c r="BU129" s="32"/>
      <c r="BV129" s="32"/>
      <c r="BW129" s="32"/>
      <c r="BX129" s="32"/>
      <c r="BY129" s="32"/>
      <c r="BZ129" s="32"/>
      <c r="CA129" s="32"/>
      <c r="CB129" s="32"/>
      <c r="CC129" s="32"/>
      <c r="CD129" s="32"/>
      <c r="CE129" s="32"/>
      <c r="CF129" s="32"/>
      <c r="CG129" s="32"/>
      <c r="CH129" s="32"/>
      <c r="CI129" s="32"/>
      <c r="CJ129" s="32"/>
      <c r="CK129" s="32"/>
      <c r="CL129" s="32"/>
      <c r="CM129" s="32"/>
      <c r="CN129" s="32"/>
      <c r="CO129" s="32"/>
      <c r="CP129" s="32"/>
      <c r="CQ129" s="32"/>
      <c r="CR129" s="32"/>
      <c r="CS129" s="32"/>
      <c r="CT129" s="32"/>
      <c r="CU129" s="32"/>
      <c r="CV129" s="32"/>
      <c r="CW129" s="32"/>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row>
    <row r="130" spans="1:131">
      <c r="A130" s="11"/>
      <c r="B130" s="11"/>
      <c r="C130" s="32"/>
      <c r="D130" s="32"/>
      <c r="E130" s="32"/>
      <c r="F130" s="32"/>
      <c r="G130" s="32"/>
      <c r="H130" s="32"/>
      <c r="I130" s="32"/>
      <c r="J130" s="32"/>
      <c r="K130" s="32"/>
      <c r="L130" s="32"/>
      <c r="M130" s="32"/>
      <c r="N130" s="32"/>
      <c r="O130" s="32"/>
      <c r="P130" s="32"/>
      <c r="Q130" s="32"/>
      <c r="R130" s="32"/>
      <c r="S130" s="32"/>
      <c r="T130" s="32"/>
      <c r="U130" s="32"/>
      <c r="V130" s="32"/>
      <c r="W130" s="32"/>
      <c r="X130" s="32"/>
      <c r="Y130" s="32"/>
      <c r="Z130" s="32"/>
      <c r="AA130" s="32"/>
      <c r="AB130" s="32"/>
      <c r="AC130" s="32"/>
      <c r="AD130" s="32"/>
      <c r="AE130" s="32"/>
      <c r="AF130" s="32"/>
      <c r="AG130" s="32"/>
      <c r="AH130" s="32"/>
      <c r="AI130" s="32"/>
      <c r="AJ130" s="32"/>
      <c r="AK130" s="32"/>
      <c r="AL130" s="32"/>
      <c r="AM130" s="32"/>
      <c r="AN130" s="32"/>
      <c r="AO130" s="32"/>
      <c r="AP130" s="32"/>
      <c r="AQ130" s="32"/>
      <c r="AR130" s="32"/>
      <c r="AS130" s="32"/>
      <c r="AT130" s="32"/>
      <c r="AU130" s="32"/>
      <c r="AV130" s="32"/>
      <c r="AW130" s="32"/>
      <c r="AX130" s="32"/>
      <c r="AY130" s="32"/>
      <c r="AZ130" s="32"/>
      <c r="BA130" s="32"/>
      <c r="BB130" s="32"/>
      <c r="BC130" s="32"/>
      <c r="BD130" s="32"/>
      <c r="BE130" s="32"/>
      <c r="BF130" s="32"/>
      <c r="BG130" s="32"/>
      <c r="BH130" s="32"/>
      <c r="BI130" s="32"/>
      <c r="BJ130" s="32"/>
      <c r="BK130" s="32"/>
      <c r="BL130" s="32"/>
      <c r="BM130" s="32"/>
      <c r="BN130" s="32"/>
      <c r="BO130" s="32"/>
      <c r="BP130" s="32"/>
      <c r="BQ130" s="32"/>
      <c r="BR130" s="32"/>
      <c r="BS130" s="32"/>
      <c r="BT130" s="32"/>
      <c r="BU130" s="32"/>
      <c r="BV130" s="32"/>
      <c r="BW130" s="32"/>
      <c r="BX130" s="32"/>
      <c r="BY130" s="32"/>
      <c r="BZ130" s="32"/>
      <c r="CA130" s="32"/>
      <c r="CB130" s="32"/>
      <c r="CC130" s="32"/>
      <c r="CD130" s="32"/>
      <c r="CE130" s="32"/>
      <c r="CF130" s="32"/>
      <c r="CG130" s="32"/>
      <c r="CH130" s="32"/>
      <c r="CI130" s="32"/>
      <c r="CJ130" s="32"/>
      <c r="CK130" s="32"/>
      <c r="CL130" s="32"/>
      <c r="CM130" s="32"/>
      <c r="CN130" s="32"/>
      <c r="CO130" s="32"/>
      <c r="CP130" s="32"/>
      <c r="CQ130" s="32"/>
      <c r="CR130" s="32"/>
      <c r="CS130" s="32"/>
      <c r="CT130" s="32"/>
      <c r="CU130" s="32"/>
      <c r="CV130" s="32"/>
      <c r="CW130" s="32"/>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row>
    <row r="131" spans="1:131" ht="13.5" thickBot="1">
      <c r="A131" s="367" t="s">
        <v>661</v>
      </c>
      <c r="B131" s="369"/>
      <c r="C131" s="32"/>
      <c r="D131" s="32"/>
      <c r="E131" s="32"/>
      <c r="F131" s="32"/>
      <c r="G131" s="32"/>
      <c r="H131" s="32"/>
      <c r="I131" s="32"/>
      <c r="J131" s="32"/>
      <c r="K131" s="32"/>
      <c r="L131" s="32"/>
      <c r="M131" s="32"/>
      <c r="N131" s="32"/>
      <c r="O131" s="32"/>
      <c r="P131" s="32"/>
      <c r="Q131" s="32"/>
      <c r="R131" s="32"/>
      <c r="S131" s="32"/>
      <c r="T131" s="32"/>
      <c r="U131" s="32"/>
      <c r="V131" s="32"/>
      <c r="W131" s="32"/>
      <c r="X131" s="32"/>
      <c r="Y131" s="32"/>
      <c r="Z131" s="32"/>
      <c r="AA131" s="32"/>
      <c r="AB131" s="32"/>
      <c r="AC131" s="32"/>
      <c r="AD131" s="32"/>
      <c r="AE131" s="32"/>
      <c r="AF131" s="32"/>
      <c r="AG131" s="32"/>
      <c r="AH131" s="32"/>
      <c r="AI131" s="32"/>
      <c r="AJ131" s="32"/>
      <c r="AK131" s="32"/>
      <c r="AL131" s="32"/>
      <c r="AM131" s="32"/>
      <c r="AN131" s="32"/>
      <c r="AO131" s="32"/>
      <c r="AP131" s="32"/>
      <c r="AQ131" s="32"/>
      <c r="AR131" s="32"/>
      <c r="AS131" s="32"/>
      <c r="AT131" s="32"/>
      <c r="AU131" s="32"/>
      <c r="AV131" s="32"/>
      <c r="AW131" s="32"/>
      <c r="AX131" s="32"/>
      <c r="AY131" s="32"/>
      <c r="AZ131" s="32"/>
      <c r="BA131" s="32"/>
      <c r="BB131" s="32"/>
      <c r="BC131" s="32"/>
      <c r="BD131" s="32"/>
      <c r="BE131" s="32"/>
      <c r="BF131" s="32"/>
      <c r="BG131" s="32"/>
      <c r="BH131" s="32"/>
      <c r="BI131" s="32"/>
      <c r="BJ131" s="32"/>
      <c r="BK131" s="32"/>
      <c r="BL131" s="32"/>
      <c r="BM131" s="32"/>
      <c r="BN131" s="32"/>
      <c r="BO131" s="32"/>
      <c r="BP131" s="32"/>
      <c r="BQ131" s="32"/>
      <c r="BR131" s="32"/>
      <c r="BS131" s="32"/>
      <c r="BT131" s="32"/>
      <c r="BU131" s="32"/>
      <c r="BV131" s="32"/>
      <c r="BW131" s="32"/>
      <c r="BX131" s="32"/>
      <c r="BY131" s="32"/>
      <c r="BZ131" s="32"/>
      <c r="CA131" s="32"/>
      <c r="CB131" s="32"/>
      <c r="CC131" s="32"/>
      <c r="CD131" s="32"/>
      <c r="CE131" s="32"/>
      <c r="CF131" s="32"/>
      <c r="CG131" s="32"/>
      <c r="CH131" s="32"/>
      <c r="CI131" s="32"/>
      <c r="CJ131" s="32"/>
      <c r="CK131" s="32"/>
      <c r="CL131" s="32"/>
      <c r="CM131" s="32"/>
      <c r="CN131" s="32"/>
      <c r="CO131" s="32"/>
      <c r="CP131" s="32"/>
      <c r="CQ131" s="32"/>
      <c r="CR131" s="32"/>
      <c r="CS131" s="32"/>
      <c r="CT131" s="32"/>
      <c r="CU131" s="32"/>
      <c r="CV131" s="32"/>
      <c r="CW131" s="32"/>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row>
    <row r="132" spans="1:131" ht="13.5" thickBot="1">
      <c r="A132" s="395"/>
      <c r="B132" s="396"/>
      <c r="C132" s="397"/>
      <c r="D132" s="397"/>
      <c r="E132" s="397"/>
      <c r="F132" s="397"/>
      <c r="G132" s="397"/>
      <c r="H132" s="397"/>
      <c r="I132" s="397"/>
      <c r="J132" s="397"/>
      <c r="K132" s="397"/>
      <c r="L132" s="397"/>
      <c r="M132" s="397"/>
      <c r="N132" s="397"/>
      <c r="O132" s="398" t="s">
        <v>956</v>
      </c>
      <c r="P132" s="399"/>
      <c r="Q132" s="399"/>
      <c r="R132" s="399"/>
      <c r="S132" s="399"/>
      <c r="T132" s="399"/>
      <c r="U132" s="399"/>
      <c r="V132" s="399"/>
      <c r="W132" s="399"/>
      <c r="X132" s="399"/>
      <c r="Y132" s="399"/>
      <c r="Z132" s="387"/>
      <c r="AA132" s="397"/>
      <c r="AB132" s="398" t="s">
        <v>957</v>
      </c>
      <c r="AC132" s="399"/>
      <c r="AD132" s="399"/>
      <c r="AE132" s="399"/>
      <c r="AF132" s="399"/>
      <c r="AG132" s="399"/>
      <c r="AH132" s="399"/>
      <c r="AI132" s="399"/>
      <c r="AJ132" s="399"/>
      <c r="AK132" s="399"/>
      <c r="AL132" s="399"/>
      <c r="AM132" s="387"/>
      <c r="AN132" s="32"/>
      <c r="AO132" s="32"/>
      <c r="AP132" s="32"/>
      <c r="AQ132" s="32"/>
      <c r="AR132" s="32"/>
      <c r="AS132" s="32"/>
      <c r="AT132" s="32"/>
      <c r="AU132" s="32"/>
      <c r="AV132" s="32"/>
      <c r="AW132" s="32"/>
      <c r="AX132" s="32"/>
      <c r="AY132" s="32"/>
      <c r="AZ132" s="32"/>
      <c r="BA132" s="32"/>
      <c r="BB132" s="32"/>
      <c r="BC132" s="32"/>
      <c r="BD132" s="32"/>
      <c r="BE132" s="32"/>
      <c r="BF132" s="32"/>
      <c r="BG132" s="32"/>
      <c r="BH132" s="32"/>
      <c r="BI132" s="32"/>
      <c r="BJ132" s="32"/>
      <c r="BK132" s="32"/>
      <c r="BL132" s="32"/>
      <c r="BM132" s="32"/>
      <c r="BN132" s="32"/>
      <c r="BO132" s="32"/>
      <c r="BP132" s="32"/>
      <c r="BQ132" s="32"/>
      <c r="BR132" s="32"/>
      <c r="BS132" s="32"/>
      <c r="BT132" s="32"/>
      <c r="BU132" s="32"/>
      <c r="BV132" s="32"/>
      <c r="BW132" s="32"/>
      <c r="BX132" s="32"/>
      <c r="BY132" s="32"/>
      <c r="BZ132" s="32"/>
      <c r="CA132" s="32"/>
      <c r="CB132" s="32"/>
      <c r="CC132" s="32"/>
      <c r="CD132" s="32"/>
      <c r="CE132" s="32"/>
      <c r="CF132" s="32"/>
      <c r="CG132" s="32"/>
      <c r="CH132" s="32"/>
      <c r="CI132" s="32"/>
      <c r="CJ132" s="32"/>
      <c r="CK132" s="32"/>
      <c r="CL132" s="32"/>
      <c r="CM132" s="32"/>
      <c r="CN132" s="32"/>
      <c r="CO132" s="32"/>
      <c r="CP132" s="32"/>
      <c r="CQ132" s="32"/>
      <c r="CR132" s="32"/>
      <c r="CS132" s="32"/>
      <c r="CT132" s="32"/>
      <c r="CU132" s="32"/>
      <c r="CV132" s="32"/>
      <c r="CW132" s="32"/>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row>
    <row r="133" spans="1:131" ht="102">
      <c r="A133" s="378" t="s">
        <v>308</v>
      </c>
      <c r="B133" s="379" t="s">
        <v>309</v>
      </c>
      <c r="C133" s="380" t="s">
        <v>662</v>
      </c>
      <c r="D133" s="380" t="s">
        <v>616</v>
      </c>
      <c r="E133" s="380" t="s">
        <v>617</v>
      </c>
      <c r="F133" s="380" t="s">
        <v>618</v>
      </c>
      <c r="G133" s="380" t="s">
        <v>619</v>
      </c>
      <c r="H133" s="380" t="s">
        <v>620</v>
      </c>
      <c r="I133" s="380" t="s">
        <v>621</v>
      </c>
      <c r="J133" s="380" t="s">
        <v>622</v>
      </c>
      <c r="K133" s="380" t="s">
        <v>372</v>
      </c>
      <c r="L133" s="380" t="s">
        <v>371</v>
      </c>
      <c r="M133" s="380" t="s">
        <v>623</v>
      </c>
      <c r="N133" s="380" t="s">
        <v>958</v>
      </c>
      <c r="O133" s="380" t="s">
        <v>624</v>
      </c>
      <c r="P133" s="380" t="s">
        <v>625</v>
      </c>
      <c r="Q133" s="380" t="s">
        <v>626</v>
      </c>
      <c r="R133" s="380" t="s">
        <v>627</v>
      </c>
      <c r="S133" s="380" t="s">
        <v>628</v>
      </c>
      <c r="T133" s="380" t="s">
        <v>629</v>
      </c>
      <c r="U133" s="380" t="s">
        <v>630</v>
      </c>
      <c r="V133" s="380" t="s">
        <v>631</v>
      </c>
      <c r="W133" s="380" t="s">
        <v>632</v>
      </c>
      <c r="X133" s="380" t="s">
        <v>633</v>
      </c>
      <c r="Y133" s="380" t="s">
        <v>634</v>
      </c>
      <c r="Z133" s="380" t="s">
        <v>635</v>
      </c>
      <c r="AA133" s="380"/>
      <c r="AB133" s="380" t="s">
        <v>624</v>
      </c>
      <c r="AC133" s="380" t="s">
        <v>625</v>
      </c>
      <c r="AD133" s="380" t="s">
        <v>626</v>
      </c>
      <c r="AE133" s="380" t="s">
        <v>627</v>
      </c>
      <c r="AF133" s="380" t="s">
        <v>628</v>
      </c>
      <c r="AG133" s="380" t="s">
        <v>629</v>
      </c>
      <c r="AH133" s="380" t="s">
        <v>630</v>
      </c>
      <c r="AI133" s="380" t="s">
        <v>631</v>
      </c>
      <c r="AJ133" s="380" t="s">
        <v>632</v>
      </c>
      <c r="AK133" s="380" t="s">
        <v>633</v>
      </c>
      <c r="AL133" s="380" t="s">
        <v>634</v>
      </c>
      <c r="AM133" s="380" t="s">
        <v>635</v>
      </c>
      <c r="AN133" s="32"/>
      <c r="AO133" s="32"/>
      <c r="AP133" s="32"/>
      <c r="AQ133" s="32"/>
      <c r="AR133" s="32"/>
      <c r="AS133" s="32"/>
      <c r="AT133" s="32"/>
      <c r="AU133" s="32"/>
      <c r="AV133" s="32"/>
      <c r="AW133" s="32"/>
      <c r="AX133" s="32"/>
      <c r="AY133" s="32"/>
      <c r="AZ133" s="32"/>
      <c r="BA133" s="32"/>
      <c r="BB133" s="32"/>
      <c r="BC133" s="32"/>
      <c r="BD133" s="32"/>
      <c r="BE133" s="32"/>
      <c r="BF133" s="32"/>
      <c r="BG133" s="32"/>
      <c r="BH133" s="32"/>
      <c r="BI133" s="32"/>
      <c r="BJ133" s="32"/>
      <c r="BK133" s="32"/>
      <c r="BL133" s="32"/>
      <c r="BM133" s="32"/>
      <c r="BN133" s="32"/>
      <c r="BO133" s="32"/>
      <c r="BP133" s="32"/>
      <c r="BQ133" s="32"/>
      <c r="BR133" s="32"/>
      <c r="BS133" s="32"/>
      <c r="BT133" s="32"/>
      <c r="BU133" s="32"/>
      <c r="BV133" s="32"/>
      <c r="BW133" s="32"/>
      <c r="BX133" s="32"/>
      <c r="BY133" s="32"/>
      <c r="BZ133" s="32"/>
      <c r="CA133" s="32"/>
      <c r="CB133" s="32"/>
      <c r="CC133" s="32"/>
      <c r="CD133" s="32"/>
      <c r="CE133" s="32"/>
      <c r="CF133" s="32"/>
      <c r="CG133" s="32"/>
      <c r="CH133" s="32"/>
      <c r="CI133" s="32"/>
      <c r="CJ133" s="32"/>
      <c r="CK133" s="32"/>
      <c r="CL133" s="32"/>
      <c r="CM133" s="32"/>
      <c r="CN133" s="32"/>
      <c r="CO133" s="32"/>
      <c r="CP133" s="32"/>
      <c r="CQ133" s="32"/>
      <c r="CR133" s="32"/>
      <c r="CS133" s="32"/>
      <c r="CT133" s="32"/>
      <c r="CU133" s="32"/>
      <c r="CV133" s="32"/>
      <c r="CW133" s="32"/>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row>
    <row r="134" spans="1:131">
      <c r="A134" s="11" t="s">
        <v>663</v>
      </c>
      <c r="B134" s="11"/>
      <c r="C134" s="166">
        <v>327.31145340319665</v>
      </c>
      <c r="D134" s="166">
        <v>-8.5918959509302795</v>
      </c>
      <c r="E134" s="166">
        <v>-1.7183791901860559</v>
      </c>
      <c r="F134" s="166">
        <v>-10.310275141116335</v>
      </c>
      <c r="G134" s="166">
        <v>-470.74212778866809</v>
      </c>
      <c r="H134" s="166">
        <v>215.83401368381348</v>
      </c>
      <c r="I134" s="166">
        <v>-275.93904611984783</v>
      </c>
      <c r="J134" s="166">
        <v>-14.913956936814882</v>
      </c>
      <c r="K134" s="166">
        <v>-119.07831740351027</v>
      </c>
      <c r="L134" s="382">
        <v>9999</v>
      </c>
      <c r="M134" s="166">
        <v>3.109467045598445</v>
      </c>
      <c r="N134" s="166">
        <v>7.6399321391375424E-2</v>
      </c>
      <c r="O134" s="166">
        <v>13.405847760628477</v>
      </c>
      <c r="P134" s="166">
        <v>9.9104403633442892</v>
      </c>
      <c r="Q134" s="166">
        <v>9.2320322947720754</v>
      </c>
      <c r="R134" s="166">
        <v>5.2998660086111791</v>
      </c>
      <c r="S134" s="166">
        <v>4.2573236582329095</v>
      </c>
      <c r="T134" s="166">
        <v>3.3024378660413309</v>
      </c>
      <c r="U134" s="166">
        <v>3.4460681308315255</v>
      </c>
      <c r="V134" s="166">
        <v>5.0158659436189756</v>
      </c>
      <c r="W134" s="166">
        <v>6.3371529039448617</v>
      </c>
      <c r="X134" s="166">
        <v>10.338349500632882</v>
      </c>
      <c r="Y134" s="166">
        <v>11.972086583086911</v>
      </c>
      <c r="Z134" s="166">
        <v>14.102876580967084</v>
      </c>
      <c r="AA134" s="166"/>
      <c r="AB134" s="166">
        <v>22.218084772927305</v>
      </c>
      <c r="AC134" s="166">
        <v>19.272326811572601</v>
      </c>
      <c r="AD134" s="166">
        <v>19.428590693501764</v>
      </c>
      <c r="AE134" s="166">
        <v>18.500875203589072</v>
      </c>
      <c r="AF134" s="166">
        <v>17.04024781160178</v>
      </c>
      <c r="AG134" s="166">
        <v>15.482647792872569</v>
      </c>
      <c r="AH134" s="166">
        <v>16.906651918914203</v>
      </c>
      <c r="AI134" s="166">
        <v>18.255862401883515</v>
      </c>
      <c r="AJ134" s="166">
        <v>19.677937557907565</v>
      </c>
      <c r="AK134" s="166">
        <v>20.308746339638414</v>
      </c>
      <c r="AL134" s="166">
        <v>21.289237818974108</v>
      </c>
      <c r="AM134" s="32">
        <v>22.309896685101304</v>
      </c>
      <c r="AN134" s="32"/>
      <c r="AO134" s="32"/>
      <c r="AP134" s="32"/>
      <c r="AQ134" s="32"/>
      <c r="AR134" s="32"/>
      <c r="AS134" s="32"/>
      <c r="AT134" s="32"/>
      <c r="AU134" s="32"/>
      <c r="AV134" s="32"/>
      <c r="AW134" s="32"/>
      <c r="AX134" s="32"/>
      <c r="AY134" s="32"/>
      <c r="AZ134" s="32"/>
      <c r="BA134" s="32"/>
      <c r="BB134" s="32"/>
      <c r="BC134" s="32"/>
      <c r="BD134" s="32"/>
      <c r="BE134" s="32"/>
      <c r="BF134" s="32"/>
      <c r="BG134" s="32"/>
      <c r="BH134" s="32"/>
      <c r="BI134" s="32"/>
      <c r="BJ134" s="32"/>
      <c r="BK134" s="32"/>
      <c r="BL134" s="32"/>
      <c r="BM134" s="32"/>
      <c r="BN134" s="32"/>
      <c r="BO134" s="32"/>
      <c r="BP134" s="32"/>
      <c r="BQ134" s="32"/>
      <c r="BR134" s="32"/>
      <c r="BS134" s="32"/>
      <c r="BT134" s="32"/>
      <c r="BU134" s="32"/>
      <c r="BV134" s="32"/>
      <c r="BW134" s="32"/>
      <c r="BX134" s="32"/>
      <c r="BY134" s="32"/>
      <c r="BZ134" s="32"/>
      <c r="CA134" s="32"/>
      <c r="CB134" s="32"/>
      <c r="CC134" s="32"/>
      <c r="CD134" s="32"/>
      <c r="CE134" s="32"/>
      <c r="CF134" s="32"/>
      <c r="CG134" s="32"/>
      <c r="CH134" s="32"/>
      <c r="CI134" s="32"/>
      <c r="CJ134" s="32"/>
      <c r="CK134" s="32"/>
      <c r="CL134" s="32"/>
      <c r="CM134" s="32"/>
      <c r="CN134" s="32"/>
      <c r="CO134" s="32"/>
      <c r="CP134" s="32"/>
      <c r="CQ134" s="32"/>
      <c r="CR134" s="32"/>
      <c r="CS134" s="32"/>
      <c r="CT134" s="32"/>
      <c r="CU134" s="32"/>
      <c r="CV134" s="32"/>
      <c r="CW134" s="32"/>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row>
    <row r="135" spans="1:131">
      <c r="A135" s="11" t="s">
        <v>665</v>
      </c>
      <c r="B135" s="11"/>
      <c r="C135" s="166">
        <v>714.55317292247162</v>
      </c>
      <c r="D135" s="166">
        <v>2.0115772129567233</v>
      </c>
      <c r="E135" s="166">
        <v>0.40231544259134466</v>
      </c>
      <c r="F135" s="166">
        <v>2.413892655548068</v>
      </c>
      <c r="G135" s="166">
        <v>-454.17738425940229</v>
      </c>
      <c r="H135" s="166">
        <v>471.18693128156463</v>
      </c>
      <c r="I135" s="166">
        <v>29.592898700759623</v>
      </c>
      <c r="J135" s="166">
        <v>-13.074224745945859</v>
      </c>
      <c r="K135" s="166">
        <v>-60.021736881709074</v>
      </c>
      <c r="L135" s="382">
        <v>251.59311198510389</v>
      </c>
      <c r="M135" s="166">
        <v>6.788273127714926</v>
      </c>
      <c r="N135" s="166">
        <v>0.16678725092483371</v>
      </c>
      <c r="O135" s="166">
        <v>29.266287364752312</v>
      </c>
      <c r="P135" s="166">
        <v>21.635468398850211</v>
      </c>
      <c r="Q135" s="166">
        <v>20.154436699854532</v>
      </c>
      <c r="R135" s="166">
        <v>11.570130018799055</v>
      </c>
      <c r="S135" s="166">
        <v>9.2941572820577623</v>
      </c>
      <c r="T135" s="166">
        <v>7.2095474540338929</v>
      </c>
      <c r="U135" s="166">
        <v>7.5231064828012189</v>
      </c>
      <c r="V135" s="166">
        <v>10.950129876914666</v>
      </c>
      <c r="W135" s="166">
        <v>13.834629579034559</v>
      </c>
      <c r="X135" s="166">
        <v>22.569636233776009</v>
      </c>
      <c r="Y135" s="166">
        <v>26.136245357443258</v>
      </c>
      <c r="Z135" s="166">
        <v>30.787970000702796</v>
      </c>
      <c r="AA135" s="166"/>
      <c r="AB135" s="166">
        <v>48.504269574700466</v>
      </c>
      <c r="AC135" s="166">
        <v>42.07338951822188</v>
      </c>
      <c r="AD135" s="166">
        <v>42.414528978771465</v>
      </c>
      <c r="AE135" s="166">
        <v>40.389234599384601</v>
      </c>
      <c r="AF135" s="166">
        <v>37.200540997158818</v>
      </c>
      <c r="AG135" s="166">
        <v>33.800146590073922</v>
      </c>
      <c r="AH135" s="166">
        <v>36.908887991995798</v>
      </c>
      <c r="AI135" s="166">
        <v>39.854347497069654</v>
      </c>
      <c r="AJ135" s="166">
        <v>42.958877767263004</v>
      </c>
      <c r="AK135" s="166">
        <v>44.335995530196548</v>
      </c>
      <c r="AL135" s="166">
        <v>46.476505097760381</v>
      </c>
      <c r="AM135" s="32">
        <v>48.70470403085497</v>
      </c>
      <c r="AN135" s="32"/>
      <c r="AO135" s="32"/>
      <c r="AP135" s="32"/>
      <c r="AQ135" s="32"/>
      <c r="AR135" s="32"/>
      <c r="AS135" s="32"/>
      <c r="AT135" s="32"/>
      <c r="AU135" s="32"/>
      <c r="AV135" s="32"/>
      <c r="AW135" s="32"/>
      <c r="AX135" s="32"/>
      <c r="AY135" s="32"/>
      <c r="AZ135" s="32"/>
      <c r="BA135" s="32"/>
      <c r="BB135" s="32"/>
      <c r="BC135" s="32"/>
      <c r="BD135" s="32"/>
      <c r="BE135" s="32"/>
      <c r="BF135" s="32"/>
      <c r="BG135" s="32"/>
      <c r="BH135" s="32"/>
      <c r="BI135" s="32"/>
      <c r="BJ135" s="32"/>
      <c r="BK135" s="32"/>
      <c r="BL135" s="32"/>
      <c r="BM135" s="32"/>
      <c r="BN135" s="32"/>
      <c r="BO135" s="32"/>
      <c r="BP135" s="32"/>
      <c r="BQ135" s="32"/>
      <c r="BR135" s="32"/>
      <c r="BS135" s="32"/>
      <c r="BT135" s="32"/>
      <c r="BU135" s="32"/>
      <c r="BV135" s="32"/>
      <c r="BW135" s="32"/>
      <c r="BX135" s="32"/>
      <c r="BY135" s="32"/>
      <c r="BZ135" s="32"/>
      <c r="CA135" s="32"/>
      <c r="CB135" s="32"/>
      <c r="CC135" s="32"/>
      <c r="CD135" s="32"/>
      <c r="CE135" s="32"/>
      <c r="CF135" s="32"/>
      <c r="CG135" s="32"/>
      <c r="CH135" s="32"/>
      <c r="CI135" s="32"/>
      <c r="CJ135" s="32"/>
      <c r="CK135" s="32"/>
      <c r="CL135" s="32"/>
      <c r="CM135" s="32"/>
      <c r="CN135" s="32"/>
      <c r="CO135" s="32"/>
      <c r="CP135" s="32"/>
      <c r="CQ135" s="32"/>
      <c r="CR135" s="32"/>
      <c r="CS135" s="32"/>
      <c r="CT135" s="32"/>
      <c r="CU135" s="32"/>
      <c r="CV135" s="32"/>
      <c r="CW135" s="32"/>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row>
    <row r="136" spans="1:131">
      <c r="A136" s="11" t="s">
        <v>664</v>
      </c>
      <c r="B136" s="11"/>
      <c r="C136" s="166">
        <v>424.12188328301545</v>
      </c>
      <c r="D136" s="166">
        <v>2.0115772129567233</v>
      </c>
      <c r="E136" s="166">
        <v>0.40231544259134466</v>
      </c>
      <c r="F136" s="166">
        <v>2.413892655548068</v>
      </c>
      <c r="G136" s="166">
        <v>-454.17738425940229</v>
      </c>
      <c r="H136" s="166">
        <v>279.67224308325115</v>
      </c>
      <c r="I136" s="166">
        <v>49.857601071931967</v>
      </c>
      <c r="J136" s="166">
        <v>-12.952202725261527</v>
      </c>
      <c r="K136" s="166">
        <v>-92.048554693123435</v>
      </c>
      <c r="L136" s="382">
        <v>199.73001233832747</v>
      </c>
      <c r="M136" s="166">
        <v>4.0291685661275602</v>
      </c>
      <c r="N136" s="166">
        <v>9.8996303774740002E-2</v>
      </c>
      <c r="O136" s="166">
        <v>17.370957661659439</v>
      </c>
      <c r="P136" s="166">
        <v>12.841697372220771</v>
      </c>
      <c r="Q136" s="166">
        <v>11.962633396042692</v>
      </c>
      <c r="R136" s="166">
        <v>6.8674320111581491</v>
      </c>
      <c r="S136" s="166">
        <v>5.5165320641891231</v>
      </c>
      <c r="T136" s="166">
        <v>4.2792152630394726</v>
      </c>
      <c r="U136" s="166">
        <v>4.46532771882395</v>
      </c>
      <c r="V136" s="166">
        <v>6.4994319269428988</v>
      </c>
      <c r="W136" s="166">
        <v>8.2115220727172868</v>
      </c>
      <c r="X136" s="166">
        <v>13.396171183918664</v>
      </c>
      <c r="Y136" s="166">
        <v>15.513126276675999</v>
      </c>
      <c r="Z136" s="166">
        <v>18.274149935901015</v>
      </c>
      <c r="AA136" s="166"/>
      <c r="AB136" s="166">
        <v>28.789630973370599</v>
      </c>
      <c r="AC136" s="166">
        <v>24.972592488234923</v>
      </c>
      <c r="AD136" s="166">
        <v>25.175075264819196</v>
      </c>
      <c r="AE136" s="166">
        <v>23.972965052537958</v>
      </c>
      <c r="AF136" s="166">
        <v>22.080321107991043</v>
      </c>
      <c r="AG136" s="166">
        <v>20.062022492172908</v>
      </c>
      <c r="AH136" s="166">
        <v>21.907210937184605</v>
      </c>
      <c r="AI136" s="166">
        <v>23.655483675680056</v>
      </c>
      <c r="AJ136" s="166">
        <v>25.498172610246431</v>
      </c>
      <c r="AK136" s="166">
        <v>26.315558637277952</v>
      </c>
      <c r="AL136" s="166">
        <v>27.586054638670678</v>
      </c>
      <c r="AM136" s="32">
        <v>28.908598521539727</v>
      </c>
      <c r="AN136" s="32"/>
      <c r="AO136" s="32"/>
      <c r="AP136" s="32"/>
      <c r="AQ136" s="32"/>
      <c r="AR136" s="32"/>
      <c r="AS136" s="32"/>
      <c r="AT136" s="32"/>
      <c r="AU136" s="32"/>
      <c r="AV136" s="32"/>
      <c r="AW136" s="32"/>
      <c r="AX136" s="32"/>
      <c r="AY136" s="32"/>
      <c r="AZ136" s="32"/>
      <c r="BA136" s="32"/>
      <c r="BB136" s="32"/>
      <c r="BC136" s="32"/>
      <c r="BD136" s="32"/>
      <c r="BE136" s="32"/>
      <c r="BF136" s="32"/>
      <c r="BG136" s="32"/>
      <c r="BH136" s="32"/>
      <c r="BI136" s="32"/>
      <c r="BJ136" s="32"/>
      <c r="BK136" s="32"/>
      <c r="BL136" s="32"/>
      <c r="BM136" s="32"/>
      <c r="BN136" s="32"/>
      <c r="BO136" s="32"/>
      <c r="BP136" s="32"/>
      <c r="BQ136" s="32"/>
      <c r="BR136" s="32"/>
      <c r="BS136" s="32"/>
      <c r="BT136" s="32"/>
      <c r="BU136" s="32"/>
      <c r="BV136" s="32"/>
      <c r="BW136" s="32"/>
      <c r="BX136" s="32"/>
      <c r="BY136" s="32"/>
      <c r="BZ136" s="32"/>
      <c r="CA136" s="32"/>
      <c r="CB136" s="32"/>
      <c r="CC136" s="32"/>
      <c r="CD136" s="32"/>
      <c r="CE136" s="32"/>
      <c r="CF136" s="32"/>
      <c r="CG136" s="32"/>
      <c r="CH136" s="32"/>
      <c r="CI136" s="32"/>
      <c r="CJ136" s="32"/>
      <c r="CK136" s="32"/>
      <c r="CL136" s="32"/>
      <c r="CM136" s="32"/>
      <c r="CN136" s="32"/>
      <c r="CO136" s="32"/>
      <c r="CP136" s="32"/>
      <c r="CQ136" s="32"/>
      <c r="CR136" s="32"/>
      <c r="CS136" s="32"/>
      <c r="CT136" s="32"/>
      <c r="CU136" s="32"/>
      <c r="CV136" s="32"/>
      <c r="CW136" s="32"/>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row>
    <row r="137" spans="1:131">
      <c r="A137" s="11" t="s">
        <v>666</v>
      </c>
      <c r="B137" s="11"/>
      <c r="C137" s="166">
        <v>1235.4854860853059</v>
      </c>
      <c r="D137" s="166">
        <v>134.02315442591345</v>
      </c>
      <c r="E137" s="166">
        <v>26.804630885182689</v>
      </c>
      <c r="F137" s="166">
        <v>160.82778531109614</v>
      </c>
      <c r="G137" s="166">
        <v>-219.07219957215756</v>
      </c>
      <c r="H137" s="166">
        <v>814.69740376425398</v>
      </c>
      <c r="I137" s="166">
        <v>1140.3220962062569</v>
      </c>
      <c r="J137" s="166">
        <v>-6.38607218242658</v>
      </c>
      <c r="K137" s="166">
        <v>-26.299688202993423</v>
      </c>
      <c r="L137" s="382">
        <v>5.2018158161913037</v>
      </c>
      <c r="M137" s="166">
        <v>11.737143214371596</v>
      </c>
      <c r="N137" s="166">
        <v>0.28838053708293826</v>
      </c>
      <c r="O137" s="166">
        <v>50.602354927442711</v>
      </c>
      <c r="P137" s="166">
        <v>37.408422779947465</v>
      </c>
      <c r="Q137" s="166">
        <v>34.847671197167841</v>
      </c>
      <c r="R137" s="166">
        <v>20.005128032504174</v>
      </c>
      <c r="S137" s="166">
        <v>16.069897752203097</v>
      </c>
      <c r="T137" s="166">
        <v>12.465540114071507</v>
      </c>
      <c r="U137" s="166">
        <v>13.007693789617592</v>
      </c>
      <c r="V137" s="166">
        <v>18.93312778718149</v>
      </c>
      <c r="W137" s="166">
        <v>23.920520820524271</v>
      </c>
      <c r="X137" s="166">
        <v>39.023629100980457</v>
      </c>
      <c r="Y137" s="166">
        <v>45.190411327708347</v>
      </c>
      <c r="Z137" s="166">
        <v>53.233393291537745</v>
      </c>
      <c r="AA137" s="166"/>
      <c r="AB137" s="166">
        <v>83.865446748514358</v>
      </c>
      <c r="AC137" s="166">
        <v>72.746247683119122</v>
      </c>
      <c r="AD137" s="166">
        <v>73.336088814908095</v>
      </c>
      <c r="AE137" s="166">
        <v>69.834289500871449</v>
      </c>
      <c r="AF137" s="166">
        <v>64.320935401539117</v>
      </c>
      <c r="AG137" s="166">
        <v>58.441543781547168</v>
      </c>
      <c r="AH137" s="166">
        <v>63.816657947450807</v>
      </c>
      <c r="AI137" s="166">
        <v>68.909452446546254</v>
      </c>
      <c r="AJ137" s="166">
        <v>74.277285429848305</v>
      </c>
      <c r="AK137" s="166">
        <v>76.658366465114042</v>
      </c>
      <c r="AL137" s="166">
        <v>80.359376556127629</v>
      </c>
      <c r="AM137" s="32">
        <v>84.212004388833122</v>
      </c>
      <c r="AN137" s="32"/>
      <c r="AO137" s="32"/>
      <c r="AP137" s="32"/>
      <c r="AQ137" s="32"/>
      <c r="AR137" s="32"/>
      <c r="AS137" s="32"/>
      <c r="AT137" s="32"/>
      <c r="AU137" s="32"/>
      <c r="AV137" s="32"/>
      <c r="AW137" s="32"/>
      <c r="AX137" s="32"/>
      <c r="AY137" s="32"/>
      <c r="AZ137" s="32"/>
      <c r="BA137" s="32"/>
      <c r="BB137" s="32"/>
      <c r="BC137" s="32"/>
      <c r="BD137" s="32"/>
      <c r="BE137" s="32"/>
      <c r="BF137" s="32"/>
      <c r="BG137" s="32"/>
      <c r="BH137" s="32"/>
      <c r="BI137" s="32"/>
      <c r="BJ137" s="32"/>
      <c r="BK137" s="32"/>
      <c r="BL137" s="32"/>
      <c r="BM137" s="32"/>
      <c r="BN137" s="32"/>
      <c r="BO137" s="32"/>
      <c r="BP137" s="32"/>
      <c r="BQ137" s="32"/>
      <c r="BR137" s="32"/>
      <c r="BS137" s="32"/>
      <c r="BT137" s="32"/>
      <c r="BU137" s="32"/>
      <c r="BV137" s="32"/>
      <c r="BW137" s="32"/>
      <c r="BX137" s="32"/>
      <c r="BY137" s="32"/>
      <c r="BZ137" s="32"/>
      <c r="CA137" s="32"/>
      <c r="CB137" s="32"/>
      <c r="CC137" s="32"/>
      <c r="CD137" s="32"/>
      <c r="CE137" s="32"/>
      <c r="CF137" s="32"/>
      <c r="CG137" s="32"/>
      <c r="CH137" s="32"/>
      <c r="CI137" s="32"/>
      <c r="CJ137" s="32"/>
      <c r="CK137" s="32"/>
      <c r="CL137" s="32"/>
      <c r="CM137" s="32"/>
      <c r="CN137" s="32"/>
      <c r="CO137" s="32"/>
      <c r="CP137" s="32"/>
      <c r="CQ137" s="32"/>
      <c r="CR137" s="32"/>
      <c r="CS137" s="32"/>
      <c r="CT137" s="32"/>
      <c r="CU137" s="32"/>
      <c r="CV137" s="32"/>
      <c r="CW137" s="32"/>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row>
    <row r="138" spans="1:131">
      <c r="A138" s="11" t="s">
        <v>668</v>
      </c>
      <c r="B138" s="11"/>
      <c r="C138" s="166">
        <v>327.31145340319665</v>
      </c>
      <c r="D138" s="166">
        <v>113.40810404906972</v>
      </c>
      <c r="E138" s="166">
        <v>22.681620809813946</v>
      </c>
      <c r="F138" s="166">
        <v>136.08972485888367</v>
      </c>
      <c r="G138" s="166">
        <v>-246.78404455533823</v>
      </c>
      <c r="H138" s="166">
        <v>215.83401368381348</v>
      </c>
      <c r="I138" s="166">
        <v>3642.2373166858997</v>
      </c>
      <c r="J138" s="166">
        <v>8.6789776363219229</v>
      </c>
      <c r="K138" s="166">
        <v>-68.731079037080974</v>
      </c>
      <c r="L138" s="382">
        <v>3.2221408348517913</v>
      </c>
      <c r="M138" s="166">
        <v>3.109467045598445</v>
      </c>
      <c r="N138" s="166">
        <v>7.6399321391375424E-2</v>
      </c>
      <c r="O138" s="166">
        <v>13.405847760628477</v>
      </c>
      <c r="P138" s="166">
        <v>9.9104403633442892</v>
      </c>
      <c r="Q138" s="166">
        <v>9.2320322947720754</v>
      </c>
      <c r="R138" s="166">
        <v>5.2998660086111791</v>
      </c>
      <c r="S138" s="166">
        <v>4.2573236582329095</v>
      </c>
      <c r="T138" s="166">
        <v>3.3024378660413309</v>
      </c>
      <c r="U138" s="166">
        <v>3.4460681308315255</v>
      </c>
      <c r="V138" s="166">
        <v>5.0158659436189756</v>
      </c>
      <c r="W138" s="166">
        <v>6.3371529039448617</v>
      </c>
      <c r="X138" s="166">
        <v>10.338349500632882</v>
      </c>
      <c r="Y138" s="166">
        <v>11.972086583086911</v>
      </c>
      <c r="Z138" s="166">
        <v>14.102876580967084</v>
      </c>
      <c r="AA138" s="166"/>
      <c r="AB138" s="166">
        <v>22.218084772927305</v>
      </c>
      <c r="AC138" s="166">
        <v>19.272326811572601</v>
      </c>
      <c r="AD138" s="166">
        <v>19.428590693501764</v>
      </c>
      <c r="AE138" s="166">
        <v>18.500875203589072</v>
      </c>
      <c r="AF138" s="166">
        <v>17.04024781160178</v>
      </c>
      <c r="AG138" s="166">
        <v>15.482647792872569</v>
      </c>
      <c r="AH138" s="166">
        <v>16.906651918914203</v>
      </c>
      <c r="AI138" s="166">
        <v>18.255862401883515</v>
      </c>
      <c r="AJ138" s="166">
        <v>19.677937557907565</v>
      </c>
      <c r="AK138" s="166">
        <v>20.308746339638414</v>
      </c>
      <c r="AL138" s="166">
        <v>21.289237818974108</v>
      </c>
      <c r="AM138" s="32">
        <v>22.309896685101304</v>
      </c>
      <c r="AN138" s="32"/>
      <c r="AO138" s="32"/>
      <c r="AP138" s="32"/>
      <c r="AQ138" s="32"/>
      <c r="AR138" s="32"/>
      <c r="AS138" s="32"/>
      <c r="AT138" s="32"/>
      <c r="AU138" s="32"/>
      <c r="AV138" s="32"/>
      <c r="AW138" s="32"/>
      <c r="AX138" s="32"/>
      <c r="AY138" s="32"/>
      <c r="AZ138" s="32"/>
      <c r="BA138" s="32"/>
      <c r="BB138" s="32"/>
      <c r="BC138" s="32"/>
      <c r="BD138" s="32"/>
      <c r="BE138" s="32"/>
      <c r="BF138" s="32"/>
      <c r="BG138" s="32"/>
      <c r="BH138" s="32"/>
      <c r="BI138" s="32"/>
      <c r="BJ138" s="32"/>
      <c r="BK138" s="32"/>
      <c r="BL138" s="32"/>
      <c r="BM138" s="32"/>
      <c r="BN138" s="32"/>
      <c r="BO138" s="32"/>
      <c r="BP138" s="32"/>
      <c r="BQ138" s="32"/>
      <c r="BR138" s="32"/>
      <c r="BS138" s="32"/>
      <c r="BT138" s="32"/>
      <c r="BU138" s="32"/>
      <c r="BV138" s="32"/>
      <c r="BW138" s="32"/>
      <c r="BX138" s="32"/>
      <c r="BY138" s="32"/>
      <c r="BZ138" s="32"/>
      <c r="CA138" s="32"/>
      <c r="CB138" s="32"/>
      <c r="CC138" s="32"/>
      <c r="CD138" s="32"/>
      <c r="CE138" s="32"/>
      <c r="CF138" s="32"/>
      <c r="CG138" s="32"/>
      <c r="CH138" s="32"/>
      <c r="CI138" s="32"/>
      <c r="CJ138" s="32"/>
      <c r="CK138" s="32"/>
      <c r="CL138" s="32"/>
      <c r="CM138" s="32"/>
      <c r="CN138" s="32"/>
      <c r="CO138" s="32"/>
      <c r="CP138" s="32"/>
      <c r="CQ138" s="32"/>
      <c r="CR138" s="32"/>
      <c r="CS138" s="32"/>
      <c r="CT138" s="32"/>
      <c r="CU138" s="32"/>
      <c r="CV138" s="32"/>
      <c r="CW138" s="32"/>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row>
    <row r="139" spans="1:131">
      <c r="A139" s="11" t="s">
        <v>670</v>
      </c>
      <c r="B139" s="11"/>
      <c r="C139" s="166">
        <v>714.55317292247162</v>
      </c>
      <c r="D139" s="166">
        <v>162.01157721295672</v>
      </c>
      <c r="E139" s="166">
        <v>32.402315442591345</v>
      </c>
      <c r="F139" s="166">
        <v>194.41389265554807</v>
      </c>
      <c r="G139" s="166">
        <v>-160.46186526487142</v>
      </c>
      <c r="H139" s="166">
        <v>471.18693128156463</v>
      </c>
      <c r="I139" s="166">
        <v>2383.3995344211876</v>
      </c>
      <c r="J139" s="166">
        <v>1.0990030039660381</v>
      </c>
      <c r="K139" s="166">
        <v>-29.77611933318255</v>
      </c>
      <c r="L139" s="382">
        <v>3.1238444789711561</v>
      </c>
      <c r="M139" s="166">
        <v>6.788273127714926</v>
      </c>
      <c r="N139" s="166">
        <v>0.16678725092483371</v>
      </c>
      <c r="O139" s="166">
        <v>29.266287364752312</v>
      </c>
      <c r="P139" s="166">
        <v>21.635468398850211</v>
      </c>
      <c r="Q139" s="166">
        <v>20.154436699854532</v>
      </c>
      <c r="R139" s="166">
        <v>11.570130018799055</v>
      </c>
      <c r="S139" s="166">
        <v>9.2941572820577623</v>
      </c>
      <c r="T139" s="166">
        <v>7.2095474540338929</v>
      </c>
      <c r="U139" s="166">
        <v>7.5231064828012189</v>
      </c>
      <c r="V139" s="166">
        <v>10.950129876914666</v>
      </c>
      <c r="W139" s="166">
        <v>13.834629579034559</v>
      </c>
      <c r="X139" s="166">
        <v>22.569636233776009</v>
      </c>
      <c r="Y139" s="166">
        <v>26.136245357443258</v>
      </c>
      <c r="Z139" s="166">
        <v>30.787970000702796</v>
      </c>
      <c r="AA139" s="166"/>
      <c r="AB139" s="166">
        <v>48.504269574700466</v>
      </c>
      <c r="AC139" s="166">
        <v>42.07338951822188</v>
      </c>
      <c r="AD139" s="166">
        <v>42.414528978771465</v>
      </c>
      <c r="AE139" s="166">
        <v>40.389234599384601</v>
      </c>
      <c r="AF139" s="166">
        <v>37.200540997158818</v>
      </c>
      <c r="AG139" s="166">
        <v>33.800146590073922</v>
      </c>
      <c r="AH139" s="166">
        <v>36.908887991995798</v>
      </c>
      <c r="AI139" s="166">
        <v>39.854347497069654</v>
      </c>
      <c r="AJ139" s="166">
        <v>42.958877767263004</v>
      </c>
      <c r="AK139" s="166">
        <v>44.335995530196548</v>
      </c>
      <c r="AL139" s="166">
        <v>46.476505097760381</v>
      </c>
      <c r="AM139" s="32">
        <v>48.70470403085497</v>
      </c>
      <c r="AN139" s="32"/>
      <c r="AO139" s="32"/>
      <c r="AP139" s="32"/>
      <c r="AQ139" s="32"/>
      <c r="AR139" s="32"/>
      <c r="AS139" s="32"/>
      <c r="AT139" s="32"/>
      <c r="AU139" s="32"/>
      <c r="AV139" s="32"/>
      <c r="AW139" s="32"/>
      <c r="AX139" s="32"/>
      <c r="AY139" s="32"/>
      <c r="AZ139" s="32"/>
      <c r="BA139" s="32"/>
      <c r="BB139" s="32"/>
      <c r="BC139" s="32"/>
      <c r="BD139" s="32"/>
      <c r="BE139" s="32"/>
      <c r="BF139" s="32"/>
      <c r="BG139" s="32"/>
      <c r="BH139" s="32"/>
      <c r="BI139" s="32"/>
      <c r="BJ139" s="32"/>
      <c r="BK139" s="32"/>
      <c r="BL139" s="32"/>
      <c r="BM139" s="32"/>
      <c r="BN139" s="32"/>
      <c r="BO139" s="32"/>
      <c r="BP139" s="32"/>
      <c r="BQ139" s="32"/>
      <c r="BR139" s="32"/>
      <c r="BS139" s="32"/>
      <c r="BT139" s="32"/>
      <c r="BU139" s="32"/>
      <c r="BV139" s="32"/>
      <c r="BW139" s="32"/>
      <c r="BX139" s="32"/>
      <c r="BY139" s="32"/>
      <c r="BZ139" s="32"/>
      <c r="CA139" s="32"/>
      <c r="CB139" s="32"/>
      <c r="CC139" s="32"/>
      <c r="CD139" s="32"/>
      <c r="CE139" s="32"/>
      <c r="CF139" s="32"/>
      <c r="CG139" s="32"/>
      <c r="CH139" s="32"/>
      <c r="CI139" s="32"/>
      <c r="CJ139" s="32"/>
      <c r="CK139" s="32"/>
      <c r="CL139" s="32"/>
      <c r="CM139" s="32"/>
      <c r="CN139" s="32"/>
      <c r="CO139" s="32"/>
      <c r="CP139" s="32"/>
      <c r="CQ139" s="32"/>
      <c r="CR139" s="32"/>
      <c r="CS139" s="32"/>
      <c r="CT139" s="32"/>
      <c r="CU139" s="32"/>
      <c r="CV139" s="32"/>
      <c r="CW139" s="32"/>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row>
    <row r="140" spans="1:131">
      <c r="A140" s="11" t="s">
        <v>667</v>
      </c>
      <c r="B140" s="11"/>
      <c r="C140" s="166">
        <v>3130.2038994474719</v>
      </c>
      <c r="D140" s="166">
        <v>532.0694632777404</v>
      </c>
      <c r="E140" s="166">
        <v>106.41389265554808</v>
      </c>
      <c r="F140" s="166">
        <v>638.48335593328852</v>
      </c>
      <c r="G140" s="166">
        <v>509.59227701635024</v>
      </c>
      <c r="H140" s="166">
        <v>2064.1027505818233</v>
      </c>
      <c r="I140" s="166">
        <v>1786.8210434990756</v>
      </c>
      <c r="J140" s="166">
        <v>-2.4932388965458538</v>
      </c>
      <c r="K140" s="166">
        <v>-1.273422282914503</v>
      </c>
      <c r="L140" s="382">
        <v>2.5915431099214019</v>
      </c>
      <c r="M140" s="166">
        <v>29.73701583044155</v>
      </c>
      <c r="N140" s="166">
        <v>0.73063576372878758</v>
      </c>
      <c r="O140" s="166">
        <v>128.20522013333431</v>
      </c>
      <c r="P140" s="166">
        <v>94.777309953672855</v>
      </c>
      <c r="Q140" s="166">
        <v>88.289435607749851</v>
      </c>
      <c r="R140" s="166">
        <v>50.684634082351991</v>
      </c>
      <c r="S140" s="166">
        <v>40.714405125917544</v>
      </c>
      <c r="T140" s="166">
        <v>31.582469169606536</v>
      </c>
      <c r="U140" s="166">
        <v>32.956060011755014</v>
      </c>
      <c r="V140" s="166">
        <v>47.968633460806828</v>
      </c>
      <c r="W140" s="166">
        <v>60.604603123641709</v>
      </c>
      <c r="X140" s="166">
        <v>98.869567759573613</v>
      </c>
      <c r="Y140" s="166">
        <v>114.49361675938046</v>
      </c>
      <c r="Z140" s="166">
        <v>134.8711718095303</v>
      </c>
      <c r="AA140" s="166"/>
      <c r="AB140" s="166">
        <v>212.479993814333</v>
      </c>
      <c r="AC140" s="166">
        <v>184.30859021208164</v>
      </c>
      <c r="AD140" s="166">
        <v>185.80300113926339</v>
      </c>
      <c r="AE140" s="166">
        <v>176.93090511601383</v>
      </c>
      <c r="AF140" s="166">
        <v>162.96236991658603</v>
      </c>
      <c r="AG140" s="166">
        <v>148.06644861071092</v>
      </c>
      <c r="AH140" s="166">
        <v>161.68474159074287</v>
      </c>
      <c r="AI140" s="166">
        <v>174.58775451942125</v>
      </c>
      <c r="AJ140" s="166">
        <v>188.18760002562308</v>
      </c>
      <c r="AK140" s="166">
        <v>194.22026429034486</v>
      </c>
      <c r="AL140" s="166">
        <v>203.59707717018901</v>
      </c>
      <c r="AM140" s="32">
        <v>213.35802604484209</v>
      </c>
      <c r="AN140" s="32"/>
      <c r="AO140" s="32"/>
      <c r="AP140" s="32"/>
      <c r="AQ140" s="32"/>
      <c r="AR140" s="32"/>
      <c r="AS140" s="32"/>
      <c r="AT140" s="32"/>
      <c r="AU140" s="32"/>
      <c r="AV140" s="32"/>
      <c r="AW140" s="32"/>
      <c r="AX140" s="32"/>
      <c r="AY140" s="32"/>
      <c r="AZ140" s="32"/>
      <c r="BA140" s="32"/>
      <c r="BB140" s="32"/>
      <c r="BC140" s="32"/>
      <c r="BD140" s="32"/>
      <c r="BE140" s="32"/>
      <c r="BF140" s="32"/>
      <c r="BG140" s="32"/>
      <c r="BH140" s="32"/>
      <c r="BI140" s="32"/>
      <c r="BJ140" s="32"/>
      <c r="BK140" s="32"/>
      <c r="BL140" s="32"/>
      <c r="BM140" s="32"/>
      <c r="BN140" s="32"/>
      <c r="BO140" s="32"/>
      <c r="BP140" s="32"/>
      <c r="BQ140" s="32"/>
      <c r="BR140" s="32"/>
      <c r="BS140" s="32"/>
      <c r="BT140" s="32"/>
      <c r="BU140" s="32"/>
      <c r="BV140" s="32"/>
      <c r="BW140" s="32"/>
      <c r="BX140" s="32"/>
      <c r="BY140" s="32"/>
      <c r="BZ140" s="32"/>
      <c r="CA140" s="32"/>
      <c r="CB140" s="32"/>
      <c r="CC140" s="32"/>
      <c r="CD140" s="32"/>
      <c r="CE140" s="32"/>
      <c r="CF140" s="32"/>
      <c r="CG140" s="32"/>
      <c r="CH140" s="32"/>
      <c r="CI140" s="32"/>
      <c r="CJ140" s="32"/>
      <c r="CK140" s="32"/>
      <c r="CL140" s="32"/>
      <c r="CM140" s="32"/>
      <c r="CN140" s="32"/>
      <c r="CO140" s="32"/>
      <c r="CP140" s="32"/>
      <c r="CQ140" s="32"/>
      <c r="CR140" s="32"/>
      <c r="CS140" s="32"/>
      <c r="CT140" s="32"/>
      <c r="CU140" s="32"/>
      <c r="CV140" s="32"/>
      <c r="CW140" s="32"/>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row>
    <row r="141" spans="1:131">
      <c r="A141" s="11" t="s">
        <v>669</v>
      </c>
      <c r="B141" s="11"/>
      <c r="C141" s="166">
        <v>424.12188328301545</v>
      </c>
      <c r="D141" s="166">
        <v>162.01157721295672</v>
      </c>
      <c r="E141" s="166">
        <v>32.402315442591345</v>
      </c>
      <c r="F141" s="166">
        <v>194.41389265554807</v>
      </c>
      <c r="G141" s="166">
        <v>-160.46186526487142</v>
      </c>
      <c r="H141" s="166">
        <v>279.67224308325115</v>
      </c>
      <c r="I141" s="166">
        <v>4015.5100851661305</v>
      </c>
      <c r="J141" s="166">
        <v>10.926604896872652</v>
      </c>
      <c r="K141" s="166">
        <v>-41.091264258105952</v>
      </c>
      <c r="L141" s="382">
        <v>2.4798989583024276</v>
      </c>
      <c r="M141" s="166">
        <v>4.0291685661275602</v>
      </c>
      <c r="N141" s="166">
        <v>9.8996303774740002E-2</v>
      </c>
      <c r="O141" s="166">
        <v>17.370957661659439</v>
      </c>
      <c r="P141" s="166">
        <v>12.841697372220771</v>
      </c>
      <c r="Q141" s="166">
        <v>11.962633396042692</v>
      </c>
      <c r="R141" s="166">
        <v>6.8674320111581491</v>
      </c>
      <c r="S141" s="166">
        <v>5.5165320641891231</v>
      </c>
      <c r="T141" s="166">
        <v>4.2792152630394726</v>
      </c>
      <c r="U141" s="166">
        <v>4.46532771882395</v>
      </c>
      <c r="V141" s="166">
        <v>6.4994319269428988</v>
      </c>
      <c r="W141" s="166">
        <v>8.2115220727172868</v>
      </c>
      <c r="X141" s="166">
        <v>13.396171183918664</v>
      </c>
      <c r="Y141" s="166">
        <v>15.513126276675999</v>
      </c>
      <c r="Z141" s="166">
        <v>18.274149935901015</v>
      </c>
      <c r="AA141" s="166"/>
      <c r="AB141" s="166">
        <v>28.789630973370599</v>
      </c>
      <c r="AC141" s="166">
        <v>24.972592488234923</v>
      </c>
      <c r="AD141" s="166">
        <v>25.175075264819196</v>
      </c>
      <c r="AE141" s="166">
        <v>23.972965052537958</v>
      </c>
      <c r="AF141" s="166">
        <v>22.080321107991043</v>
      </c>
      <c r="AG141" s="166">
        <v>20.062022492172908</v>
      </c>
      <c r="AH141" s="166">
        <v>21.907210937184605</v>
      </c>
      <c r="AI141" s="166">
        <v>23.655483675680056</v>
      </c>
      <c r="AJ141" s="166">
        <v>25.498172610246431</v>
      </c>
      <c r="AK141" s="166">
        <v>26.315558637277952</v>
      </c>
      <c r="AL141" s="166">
        <v>27.586054638670678</v>
      </c>
      <c r="AM141" s="32">
        <v>28.908598521539727</v>
      </c>
      <c r="AN141" s="32"/>
      <c r="AO141" s="32"/>
      <c r="AP141" s="32"/>
      <c r="AQ141" s="32"/>
      <c r="AR141" s="32"/>
      <c r="AS141" s="32"/>
      <c r="AT141" s="32"/>
      <c r="AU141" s="32"/>
      <c r="AV141" s="32"/>
      <c r="AW141" s="32"/>
      <c r="AX141" s="32"/>
      <c r="AY141" s="32"/>
      <c r="AZ141" s="32"/>
      <c r="BA141" s="32"/>
      <c r="BB141" s="32"/>
      <c r="BC141" s="32"/>
      <c r="BD141" s="32"/>
      <c r="BE141" s="32"/>
      <c r="BF141" s="32"/>
      <c r="BG141" s="32"/>
      <c r="BH141" s="32"/>
      <c r="BI141" s="32"/>
      <c r="BJ141" s="32"/>
      <c r="BK141" s="32"/>
      <c r="BL141" s="32"/>
      <c r="BM141" s="32"/>
      <c r="BN141" s="32"/>
      <c r="BO141" s="32"/>
      <c r="BP141" s="32"/>
      <c r="BQ141" s="32"/>
      <c r="BR141" s="32"/>
      <c r="BS141" s="32"/>
      <c r="BT141" s="32"/>
      <c r="BU141" s="32"/>
      <c r="BV141" s="32"/>
      <c r="BW141" s="32"/>
      <c r="BX141" s="32"/>
      <c r="BY141" s="32"/>
      <c r="BZ141" s="32"/>
      <c r="CA141" s="32"/>
      <c r="CB141" s="32"/>
      <c r="CC141" s="32"/>
      <c r="CD141" s="32"/>
      <c r="CE141" s="32"/>
      <c r="CF141" s="32"/>
      <c r="CG141" s="32"/>
      <c r="CH141" s="32"/>
      <c r="CI141" s="32"/>
      <c r="CJ141" s="32"/>
      <c r="CK141" s="32"/>
      <c r="CL141" s="32"/>
      <c r="CM141" s="32"/>
      <c r="CN141" s="32"/>
      <c r="CO141" s="32"/>
      <c r="CP141" s="32"/>
      <c r="CQ141" s="32"/>
      <c r="CR141" s="32"/>
      <c r="CS141" s="32"/>
      <c r="CT141" s="32"/>
      <c r="CU141" s="32"/>
      <c r="CV141" s="32"/>
      <c r="CW141" s="32"/>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row>
    <row r="142" spans="1:131">
      <c r="A142" s="11" t="s">
        <v>671</v>
      </c>
      <c r="B142" s="11"/>
      <c r="C142" s="166">
        <v>1235.4854860853059</v>
      </c>
      <c r="D142" s="166">
        <v>324.02315442591345</v>
      </c>
      <c r="E142" s="166">
        <v>64.804630885182689</v>
      </c>
      <c r="F142" s="166">
        <v>388.82778531109614</v>
      </c>
      <c r="G142" s="166">
        <v>129.71497923384788</v>
      </c>
      <c r="H142" s="166">
        <v>814.69740376425398</v>
      </c>
      <c r="I142" s="166">
        <v>2756.9173719051046</v>
      </c>
      <c r="J142" s="166">
        <v>3.3481059247307288</v>
      </c>
      <c r="K142" s="166">
        <v>-5.5269867849872165</v>
      </c>
      <c r="L142" s="382">
        <v>2.1515862521114051</v>
      </c>
      <c r="M142" s="166">
        <v>11.737143214371596</v>
      </c>
      <c r="N142" s="166">
        <v>0.28838053708293826</v>
      </c>
      <c r="O142" s="166">
        <v>50.602354927442711</v>
      </c>
      <c r="P142" s="166">
        <v>37.408422779947465</v>
      </c>
      <c r="Q142" s="166">
        <v>34.847671197167841</v>
      </c>
      <c r="R142" s="166">
        <v>20.005128032504174</v>
      </c>
      <c r="S142" s="166">
        <v>16.069897752203097</v>
      </c>
      <c r="T142" s="166">
        <v>12.465540114071507</v>
      </c>
      <c r="U142" s="166">
        <v>13.007693789617592</v>
      </c>
      <c r="V142" s="166">
        <v>18.93312778718149</v>
      </c>
      <c r="W142" s="166">
        <v>23.920520820524271</v>
      </c>
      <c r="X142" s="166">
        <v>39.023629100980457</v>
      </c>
      <c r="Y142" s="166">
        <v>45.190411327708347</v>
      </c>
      <c r="Z142" s="166">
        <v>53.233393291537745</v>
      </c>
      <c r="AA142" s="166"/>
      <c r="AB142" s="166">
        <v>83.865446748514358</v>
      </c>
      <c r="AC142" s="166">
        <v>72.746247683119122</v>
      </c>
      <c r="AD142" s="166">
        <v>73.336088814908095</v>
      </c>
      <c r="AE142" s="166">
        <v>69.834289500871449</v>
      </c>
      <c r="AF142" s="166">
        <v>64.320935401539117</v>
      </c>
      <c r="AG142" s="166">
        <v>58.441543781547168</v>
      </c>
      <c r="AH142" s="166">
        <v>63.816657947450807</v>
      </c>
      <c r="AI142" s="166">
        <v>68.909452446546254</v>
      </c>
      <c r="AJ142" s="166">
        <v>74.277285429848305</v>
      </c>
      <c r="AK142" s="166">
        <v>76.658366465114042</v>
      </c>
      <c r="AL142" s="166">
        <v>80.359376556127629</v>
      </c>
      <c r="AM142" s="32">
        <v>84.212004388833122</v>
      </c>
      <c r="AN142" s="32"/>
      <c r="AO142" s="32"/>
      <c r="AP142" s="32"/>
      <c r="AQ142" s="32"/>
      <c r="AR142" s="32"/>
      <c r="AS142" s="32"/>
      <c r="AT142" s="32"/>
      <c r="AU142" s="32"/>
      <c r="AV142" s="32"/>
      <c r="AW142" s="32"/>
      <c r="AX142" s="32"/>
      <c r="AY142" s="32"/>
      <c r="AZ142" s="32"/>
      <c r="BA142" s="32"/>
      <c r="BB142" s="32"/>
      <c r="BC142" s="32"/>
      <c r="BD142" s="32"/>
      <c r="BE142" s="32"/>
      <c r="BF142" s="32"/>
      <c r="BG142" s="32"/>
      <c r="BH142" s="32"/>
      <c r="BI142" s="32"/>
      <c r="BJ142" s="32"/>
      <c r="BK142" s="32"/>
      <c r="BL142" s="32"/>
      <c r="BM142" s="32"/>
      <c r="BN142" s="32"/>
      <c r="BO142" s="32"/>
      <c r="BP142" s="32"/>
      <c r="BQ142" s="32"/>
      <c r="BR142" s="32"/>
      <c r="BS142" s="32"/>
      <c r="BT142" s="32"/>
      <c r="BU142" s="32"/>
      <c r="BV142" s="32"/>
      <c r="BW142" s="32"/>
      <c r="BX142" s="32"/>
      <c r="BY142" s="32"/>
      <c r="BZ142" s="32"/>
      <c r="CA142" s="32"/>
      <c r="CB142" s="32"/>
      <c r="CC142" s="32"/>
      <c r="CD142" s="32"/>
      <c r="CE142" s="32"/>
      <c r="CF142" s="32"/>
      <c r="CG142" s="32"/>
      <c r="CH142" s="32"/>
      <c r="CI142" s="32"/>
      <c r="CJ142" s="32"/>
      <c r="CK142" s="32"/>
      <c r="CL142" s="32"/>
      <c r="CM142" s="32"/>
      <c r="CN142" s="32"/>
      <c r="CO142" s="32"/>
      <c r="CP142" s="32"/>
      <c r="CQ142" s="32"/>
      <c r="CR142" s="32"/>
      <c r="CS142" s="32"/>
      <c r="CT142" s="32"/>
      <c r="CU142" s="32"/>
      <c r="CV142" s="32"/>
      <c r="CW142" s="32"/>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row>
    <row r="143" spans="1:131">
      <c r="A143" s="11" t="s">
        <v>672</v>
      </c>
      <c r="B143" s="11"/>
      <c r="C143" s="166">
        <v>3130.2038994474719</v>
      </c>
      <c r="D143" s="166">
        <v>972.0694632777404</v>
      </c>
      <c r="E143" s="166">
        <v>194.4138926555481</v>
      </c>
      <c r="F143" s="166">
        <v>1166.4833559332885</v>
      </c>
      <c r="G143" s="166">
        <v>1317.3099542513103</v>
      </c>
      <c r="H143" s="166">
        <v>2064.1027505818233</v>
      </c>
      <c r="I143" s="166">
        <v>3264.4500250540573</v>
      </c>
      <c r="J143" s="166">
        <v>6.4041665944702748</v>
      </c>
      <c r="K143" s="166">
        <v>17.713609351930028</v>
      </c>
      <c r="L143" s="382">
        <v>1.418500429905009</v>
      </c>
      <c r="M143" s="166">
        <v>29.73701583044155</v>
      </c>
      <c r="N143" s="166">
        <v>0.73063576372878758</v>
      </c>
      <c r="O143" s="166">
        <v>128.20522013333431</v>
      </c>
      <c r="P143" s="166">
        <v>94.777309953672855</v>
      </c>
      <c r="Q143" s="166">
        <v>88.289435607749851</v>
      </c>
      <c r="R143" s="166">
        <v>50.684634082351991</v>
      </c>
      <c r="S143" s="166">
        <v>40.714405125917544</v>
      </c>
      <c r="T143" s="166">
        <v>31.582469169606536</v>
      </c>
      <c r="U143" s="166">
        <v>32.956060011755014</v>
      </c>
      <c r="V143" s="166">
        <v>47.968633460806828</v>
      </c>
      <c r="W143" s="166">
        <v>60.604603123641709</v>
      </c>
      <c r="X143" s="166">
        <v>98.869567759573613</v>
      </c>
      <c r="Y143" s="166">
        <v>114.49361675938046</v>
      </c>
      <c r="Z143" s="166">
        <v>134.8711718095303</v>
      </c>
      <c r="AA143" s="166"/>
      <c r="AB143" s="166">
        <v>212.479993814333</v>
      </c>
      <c r="AC143" s="166">
        <v>184.30859021208164</v>
      </c>
      <c r="AD143" s="166">
        <v>185.80300113926339</v>
      </c>
      <c r="AE143" s="166">
        <v>176.93090511601383</v>
      </c>
      <c r="AF143" s="166">
        <v>162.96236991658603</v>
      </c>
      <c r="AG143" s="166">
        <v>148.06644861071092</v>
      </c>
      <c r="AH143" s="166">
        <v>161.68474159074287</v>
      </c>
      <c r="AI143" s="166">
        <v>174.58775451942125</v>
      </c>
      <c r="AJ143" s="166">
        <v>188.18760002562308</v>
      </c>
      <c r="AK143" s="166">
        <v>194.22026429034486</v>
      </c>
      <c r="AL143" s="166">
        <v>203.59707717018901</v>
      </c>
      <c r="AM143" s="32">
        <v>213.35802604484209</v>
      </c>
      <c r="AN143" s="32"/>
      <c r="AO143" s="32"/>
      <c r="AP143" s="32"/>
      <c r="AQ143" s="32"/>
      <c r="AR143" s="32"/>
      <c r="AS143" s="32"/>
      <c r="AT143" s="32"/>
      <c r="AU143" s="32"/>
      <c r="AV143" s="32"/>
      <c r="AW143" s="32"/>
      <c r="AX143" s="32"/>
      <c r="AY143" s="32"/>
      <c r="AZ143" s="32"/>
      <c r="BA143" s="32"/>
      <c r="BB143" s="32"/>
      <c r="BC143" s="32"/>
      <c r="BD143" s="32"/>
      <c r="BE143" s="32"/>
      <c r="BF143" s="32"/>
      <c r="BG143" s="32"/>
      <c r="BH143" s="32"/>
      <c r="BI143" s="32"/>
      <c r="BJ143" s="32"/>
      <c r="BK143" s="32"/>
      <c r="BL143" s="32"/>
      <c r="BM143" s="32"/>
      <c r="BN143" s="32"/>
      <c r="BO143" s="32"/>
      <c r="BP143" s="32"/>
      <c r="BQ143" s="32"/>
      <c r="BR143" s="32"/>
      <c r="BS143" s="32"/>
      <c r="BT143" s="32"/>
      <c r="BU143" s="32"/>
      <c r="BV143" s="32"/>
      <c r="BW143" s="32"/>
      <c r="BX143" s="32"/>
      <c r="BY143" s="32"/>
      <c r="BZ143" s="32"/>
      <c r="CA143" s="32"/>
      <c r="CB143" s="32"/>
      <c r="CC143" s="32"/>
      <c r="CD143" s="32"/>
      <c r="CE143" s="32"/>
      <c r="CF143" s="32"/>
      <c r="CG143" s="32"/>
      <c r="CH143" s="32"/>
      <c r="CI143" s="32"/>
      <c r="CJ143" s="32"/>
      <c r="CK143" s="32"/>
      <c r="CL143" s="32"/>
      <c r="CM143" s="32"/>
      <c r="CN143" s="32"/>
      <c r="CO143" s="32"/>
      <c r="CP143" s="32"/>
      <c r="CQ143" s="32"/>
      <c r="CR143" s="32"/>
      <c r="CS143" s="32"/>
      <c r="CT143" s="32"/>
      <c r="CU143" s="32"/>
      <c r="CV143" s="32"/>
      <c r="CW143" s="32"/>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row>
    <row r="144" spans="1:131">
      <c r="A144" s="11"/>
      <c r="B144" s="11"/>
      <c r="C144" s="32"/>
      <c r="D144" s="32"/>
      <c r="E144" s="32"/>
      <c r="F144" s="32"/>
      <c r="G144" s="32"/>
      <c r="H144" s="32"/>
      <c r="I144" s="32"/>
      <c r="J144" s="32"/>
      <c r="K144" s="32"/>
      <c r="L144" s="32"/>
      <c r="M144" s="32"/>
      <c r="N144" s="32"/>
      <c r="O144" s="32"/>
      <c r="P144" s="32"/>
      <c r="Q144" s="32"/>
      <c r="R144" s="32"/>
      <c r="S144" s="32"/>
      <c r="T144" s="32"/>
      <c r="U144" s="32"/>
      <c r="V144" s="32"/>
      <c r="W144" s="32"/>
      <c r="X144" s="32"/>
      <c r="Y144" s="32"/>
      <c r="Z144" s="32"/>
      <c r="AA144" s="32"/>
      <c r="AB144" s="32"/>
      <c r="AC144" s="32"/>
      <c r="AD144" s="32"/>
      <c r="AE144" s="32"/>
      <c r="AF144" s="32"/>
      <c r="AG144" s="32"/>
      <c r="AH144" s="32"/>
      <c r="AI144" s="32"/>
      <c r="AJ144" s="32"/>
      <c r="AK144" s="32"/>
      <c r="AL144" s="32"/>
      <c r="AM144" s="32"/>
      <c r="AN144" s="32"/>
      <c r="AO144" s="32"/>
      <c r="AP144" s="32"/>
      <c r="AQ144" s="32"/>
      <c r="AR144" s="32"/>
      <c r="AS144" s="32"/>
      <c r="AT144" s="32"/>
      <c r="AU144" s="32"/>
      <c r="AV144" s="32"/>
      <c r="AW144" s="32"/>
      <c r="AX144" s="32"/>
      <c r="AY144" s="32"/>
      <c r="AZ144" s="32"/>
      <c r="BA144" s="32"/>
      <c r="BB144" s="32"/>
      <c r="BC144" s="32"/>
      <c r="BD144" s="32"/>
      <c r="BE144" s="32"/>
      <c r="BF144" s="32"/>
      <c r="BG144" s="32"/>
      <c r="BH144" s="32"/>
      <c r="BI144" s="32"/>
      <c r="BJ144" s="32"/>
      <c r="BK144" s="32"/>
      <c r="BL144" s="32"/>
      <c r="BM144" s="32"/>
      <c r="BN144" s="32"/>
      <c r="BO144" s="32"/>
      <c r="BP144" s="32"/>
      <c r="BQ144" s="32"/>
      <c r="BR144" s="32"/>
      <c r="BS144" s="32"/>
      <c r="BT144" s="32"/>
      <c r="BU144" s="32"/>
      <c r="BV144" s="32"/>
      <c r="BW144" s="32"/>
      <c r="BX144" s="32"/>
      <c r="BY144" s="32"/>
      <c r="BZ144" s="32"/>
      <c r="CA144" s="32"/>
      <c r="CB144" s="32"/>
      <c r="CC144" s="32"/>
      <c r="CD144" s="32"/>
      <c r="CE144" s="32"/>
      <c r="CF144" s="32"/>
      <c r="CG144" s="32"/>
      <c r="CH144" s="32"/>
      <c r="CI144" s="32"/>
      <c r="CJ144" s="32"/>
      <c r="CK144" s="32"/>
      <c r="CL144" s="32"/>
      <c r="CM144" s="32"/>
      <c r="CN144" s="32"/>
      <c r="CO144" s="32"/>
      <c r="CP144" s="32"/>
      <c r="CQ144" s="32"/>
      <c r="CR144" s="32"/>
      <c r="CS144" s="32"/>
      <c r="CT144" s="32"/>
      <c r="CU144" s="32"/>
      <c r="CV144" s="32"/>
      <c r="CW144" s="32"/>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row>
  </sheetData>
  <mergeCells count="3">
    <mergeCell ref="I6:N6"/>
    <mergeCell ref="O6:P6"/>
    <mergeCell ref="R6:T6"/>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dimension ref="A1:EA14"/>
  <sheetViews>
    <sheetView workbookViewId="0">
      <selection sqref="A1:EA14"/>
    </sheetView>
  </sheetViews>
  <sheetFormatPr defaultRowHeight="12.75"/>
  <sheetData>
    <row r="1" spans="1:131" ht="13.5" thickBot="1">
      <c r="A1" s="367" t="s">
        <v>661</v>
      </c>
      <c r="B1" s="369"/>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32"/>
      <c r="CU1" s="32"/>
      <c r="CV1" s="32"/>
      <c r="CW1" s="32"/>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row>
    <row r="2" spans="1:131" ht="13.5" thickBot="1">
      <c r="A2" s="395"/>
      <c r="B2" s="396"/>
      <c r="C2" s="397"/>
      <c r="D2" s="397"/>
      <c r="E2" s="397"/>
      <c r="F2" s="397"/>
      <c r="G2" s="397"/>
      <c r="H2" s="397"/>
      <c r="I2" s="397"/>
      <c r="J2" s="397"/>
      <c r="K2" s="397"/>
      <c r="L2" s="397"/>
      <c r="M2" s="397"/>
      <c r="N2" s="397"/>
      <c r="O2" s="398" t="s">
        <v>956</v>
      </c>
      <c r="P2" s="399"/>
      <c r="Q2" s="399"/>
      <c r="R2" s="399"/>
      <c r="S2" s="399"/>
      <c r="T2" s="399"/>
      <c r="U2" s="399"/>
      <c r="V2" s="399"/>
      <c r="W2" s="399"/>
      <c r="X2" s="399"/>
      <c r="Y2" s="399"/>
      <c r="Z2" s="387"/>
      <c r="AA2" s="397"/>
      <c r="AB2" s="398" t="s">
        <v>957</v>
      </c>
      <c r="AC2" s="399"/>
      <c r="AD2" s="399"/>
      <c r="AE2" s="399"/>
      <c r="AF2" s="399"/>
      <c r="AG2" s="399"/>
      <c r="AH2" s="399"/>
      <c r="AI2" s="399"/>
      <c r="AJ2" s="399"/>
      <c r="AK2" s="399"/>
      <c r="AL2" s="399"/>
      <c r="AM2" s="387"/>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row>
    <row r="3" spans="1:131" ht="191.25">
      <c r="A3" s="378" t="s">
        <v>308</v>
      </c>
      <c r="B3" s="379" t="s">
        <v>309</v>
      </c>
      <c r="C3" s="380" t="s">
        <v>662</v>
      </c>
      <c r="D3" s="380" t="s">
        <v>616</v>
      </c>
      <c r="E3" s="380" t="s">
        <v>617</v>
      </c>
      <c r="F3" s="380" t="s">
        <v>618</v>
      </c>
      <c r="G3" s="380" t="s">
        <v>619</v>
      </c>
      <c r="H3" s="380" t="s">
        <v>620</v>
      </c>
      <c r="I3" s="380" t="s">
        <v>621</v>
      </c>
      <c r="J3" s="380" t="s">
        <v>622</v>
      </c>
      <c r="K3" s="380" t="s">
        <v>372</v>
      </c>
      <c r="L3" s="380" t="s">
        <v>371</v>
      </c>
      <c r="M3" s="380" t="s">
        <v>623</v>
      </c>
      <c r="N3" s="380" t="s">
        <v>958</v>
      </c>
      <c r="O3" s="380" t="s">
        <v>624</v>
      </c>
      <c r="P3" s="380" t="s">
        <v>625</v>
      </c>
      <c r="Q3" s="380" t="s">
        <v>626</v>
      </c>
      <c r="R3" s="380" t="s">
        <v>627</v>
      </c>
      <c r="S3" s="380" t="s">
        <v>628</v>
      </c>
      <c r="T3" s="380" t="s">
        <v>629</v>
      </c>
      <c r="U3" s="380" t="s">
        <v>630</v>
      </c>
      <c r="V3" s="380" t="s">
        <v>631</v>
      </c>
      <c r="W3" s="380" t="s">
        <v>632</v>
      </c>
      <c r="X3" s="380" t="s">
        <v>633</v>
      </c>
      <c r="Y3" s="380" t="s">
        <v>634</v>
      </c>
      <c r="Z3" s="380" t="s">
        <v>635</v>
      </c>
      <c r="AA3" s="380"/>
      <c r="AB3" s="380" t="s">
        <v>624</v>
      </c>
      <c r="AC3" s="380" t="s">
        <v>625</v>
      </c>
      <c r="AD3" s="380" t="s">
        <v>626</v>
      </c>
      <c r="AE3" s="380" t="s">
        <v>627</v>
      </c>
      <c r="AF3" s="380" t="s">
        <v>628</v>
      </c>
      <c r="AG3" s="380" t="s">
        <v>629</v>
      </c>
      <c r="AH3" s="380" t="s">
        <v>630</v>
      </c>
      <c r="AI3" s="380" t="s">
        <v>631</v>
      </c>
      <c r="AJ3" s="380" t="s">
        <v>632</v>
      </c>
      <c r="AK3" s="380" t="s">
        <v>633</v>
      </c>
      <c r="AL3" s="380" t="s">
        <v>634</v>
      </c>
      <c r="AM3" s="380" t="s">
        <v>635</v>
      </c>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row>
    <row r="4" spans="1:131">
      <c r="A4" s="11" t="s">
        <v>663</v>
      </c>
      <c r="B4" s="11"/>
      <c r="C4" s="166">
        <v>327.31145340319665</v>
      </c>
      <c r="D4" s="166">
        <v>-8.5918959509302795</v>
      </c>
      <c r="E4" s="166">
        <v>-1.7183791901860559</v>
      </c>
      <c r="F4" s="166">
        <v>-10.310275141116335</v>
      </c>
      <c r="G4" s="166">
        <v>-470.74212778866809</v>
      </c>
      <c r="H4" s="166">
        <v>215.83401368381348</v>
      </c>
      <c r="I4" s="166">
        <v>-275.93904611984783</v>
      </c>
      <c r="J4" s="166">
        <v>-14.913956936814882</v>
      </c>
      <c r="K4" s="166">
        <v>-119.07831740351027</v>
      </c>
      <c r="L4" s="382">
        <v>9999</v>
      </c>
      <c r="M4" s="166">
        <v>3.109467045598445</v>
      </c>
      <c r="N4" s="166">
        <v>7.6399321391375424E-2</v>
      </c>
      <c r="O4" s="166">
        <v>13.405847760628477</v>
      </c>
      <c r="P4" s="166">
        <v>9.9104403633442892</v>
      </c>
      <c r="Q4" s="166">
        <v>9.2320322947720754</v>
      </c>
      <c r="R4" s="166">
        <v>5.2998660086111791</v>
      </c>
      <c r="S4" s="166">
        <v>4.2573236582329095</v>
      </c>
      <c r="T4" s="166">
        <v>3.3024378660413309</v>
      </c>
      <c r="U4" s="166">
        <v>3.4460681308315255</v>
      </c>
      <c r="V4" s="166">
        <v>5.0158659436189756</v>
      </c>
      <c r="W4" s="166">
        <v>6.3371529039448617</v>
      </c>
      <c r="X4" s="166">
        <v>10.338349500632882</v>
      </c>
      <c r="Y4" s="166">
        <v>11.972086583086911</v>
      </c>
      <c r="Z4" s="166">
        <v>14.102876580967084</v>
      </c>
      <c r="AA4" s="166"/>
      <c r="AB4" s="166">
        <v>22.218084772927305</v>
      </c>
      <c r="AC4" s="166">
        <v>19.272326811572601</v>
      </c>
      <c r="AD4" s="166">
        <v>19.428590693501764</v>
      </c>
      <c r="AE4" s="166">
        <v>18.500875203589072</v>
      </c>
      <c r="AF4" s="166">
        <v>17.04024781160178</v>
      </c>
      <c r="AG4" s="166">
        <v>15.482647792872569</v>
      </c>
      <c r="AH4" s="166">
        <v>16.906651918914203</v>
      </c>
      <c r="AI4" s="166">
        <v>18.255862401883515</v>
      </c>
      <c r="AJ4" s="166">
        <v>19.677937557907565</v>
      </c>
      <c r="AK4" s="166">
        <v>20.308746339638414</v>
      </c>
      <c r="AL4" s="166">
        <v>21.289237818974108</v>
      </c>
      <c r="AM4" s="32">
        <v>22.309896685101304</v>
      </c>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c r="EA4" s="11"/>
    </row>
    <row r="5" spans="1:131">
      <c r="A5" s="11" t="s">
        <v>665</v>
      </c>
      <c r="B5" s="11"/>
      <c r="C5" s="166">
        <v>714.55317292247162</v>
      </c>
      <c r="D5" s="166">
        <v>2.0115772129567233</v>
      </c>
      <c r="E5" s="166">
        <v>0.40231544259134466</v>
      </c>
      <c r="F5" s="166">
        <v>2.413892655548068</v>
      </c>
      <c r="G5" s="166">
        <v>-454.17738425940229</v>
      </c>
      <c r="H5" s="166">
        <v>471.18693128156463</v>
      </c>
      <c r="I5" s="166">
        <v>29.592898700759623</v>
      </c>
      <c r="J5" s="166">
        <v>-13.074224745945859</v>
      </c>
      <c r="K5" s="166">
        <v>-60.021736881709074</v>
      </c>
      <c r="L5" s="382">
        <v>251.59311198510389</v>
      </c>
      <c r="M5" s="166">
        <v>6.788273127714926</v>
      </c>
      <c r="N5" s="166">
        <v>0.16678725092483371</v>
      </c>
      <c r="O5" s="166">
        <v>29.266287364752312</v>
      </c>
      <c r="P5" s="166">
        <v>21.635468398850211</v>
      </c>
      <c r="Q5" s="166">
        <v>20.154436699854532</v>
      </c>
      <c r="R5" s="166">
        <v>11.570130018799055</v>
      </c>
      <c r="S5" s="166">
        <v>9.2941572820577623</v>
      </c>
      <c r="T5" s="166">
        <v>7.2095474540338929</v>
      </c>
      <c r="U5" s="166">
        <v>7.5231064828012189</v>
      </c>
      <c r="V5" s="166">
        <v>10.950129876914666</v>
      </c>
      <c r="W5" s="166">
        <v>13.834629579034559</v>
      </c>
      <c r="X5" s="166">
        <v>22.569636233776009</v>
      </c>
      <c r="Y5" s="166">
        <v>26.136245357443258</v>
      </c>
      <c r="Z5" s="166">
        <v>30.787970000702796</v>
      </c>
      <c r="AA5" s="166"/>
      <c r="AB5" s="166">
        <v>48.504269574700466</v>
      </c>
      <c r="AC5" s="166">
        <v>42.07338951822188</v>
      </c>
      <c r="AD5" s="166">
        <v>42.414528978771465</v>
      </c>
      <c r="AE5" s="166">
        <v>40.389234599384601</v>
      </c>
      <c r="AF5" s="166">
        <v>37.200540997158818</v>
      </c>
      <c r="AG5" s="166">
        <v>33.800146590073922</v>
      </c>
      <c r="AH5" s="166">
        <v>36.908887991995798</v>
      </c>
      <c r="AI5" s="166">
        <v>39.854347497069654</v>
      </c>
      <c r="AJ5" s="166">
        <v>42.958877767263004</v>
      </c>
      <c r="AK5" s="166">
        <v>44.335995530196548</v>
      </c>
      <c r="AL5" s="166">
        <v>46.476505097760381</v>
      </c>
      <c r="AM5" s="32">
        <v>48.70470403085497</v>
      </c>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11"/>
      <c r="CY5" s="11"/>
      <c r="CZ5" s="11"/>
      <c r="DA5" s="11"/>
      <c r="DB5" s="11"/>
      <c r="DC5" s="11"/>
      <c r="DD5" s="11"/>
      <c r="DE5" s="11"/>
      <c r="DF5" s="11"/>
      <c r="DG5" s="11"/>
      <c r="DH5" s="11"/>
      <c r="DI5" s="11"/>
      <c r="DJ5" s="11"/>
      <c r="DK5" s="11"/>
      <c r="DL5" s="11"/>
      <c r="DM5" s="11"/>
      <c r="DN5" s="11"/>
      <c r="DO5" s="11"/>
      <c r="DP5" s="11"/>
      <c r="DQ5" s="11"/>
      <c r="DR5" s="11"/>
      <c r="DS5" s="11"/>
      <c r="DT5" s="11"/>
      <c r="DU5" s="11"/>
      <c r="DV5" s="11"/>
      <c r="DW5" s="11"/>
      <c r="DX5" s="11"/>
      <c r="DY5" s="11"/>
      <c r="DZ5" s="11"/>
      <c r="EA5" s="11"/>
    </row>
    <row r="6" spans="1:131">
      <c r="A6" s="11" t="s">
        <v>664</v>
      </c>
      <c r="B6" s="11"/>
      <c r="C6" s="166">
        <v>424.12188328301545</v>
      </c>
      <c r="D6" s="166">
        <v>2.0115772129567233</v>
      </c>
      <c r="E6" s="166">
        <v>0.40231544259134466</v>
      </c>
      <c r="F6" s="166">
        <v>2.413892655548068</v>
      </c>
      <c r="G6" s="166">
        <v>-454.17738425940229</v>
      </c>
      <c r="H6" s="166">
        <v>279.67224308325115</v>
      </c>
      <c r="I6" s="166">
        <v>49.857601071931967</v>
      </c>
      <c r="J6" s="166">
        <v>-12.952202725261527</v>
      </c>
      <c r="K6" s="166">
        <v>-92.048554693123435</v>
      </c>
      <c r="L6" s="382">
        <v>199.73001233832747</v>
      </c>
      <c r="M6" s="166">
        <v>4.0291685661275602</v>
      </c>
      <c r="N6" s="166">
        <v>9.8996303774740002E-2</v>
      </c>
      <c r="O6" s="166">
        <v>17.370957661659439</v>
      </c>
      <c r="P6" s="166">
        <v>12.841697372220771</v>
      </c>
      <c r="Q6" s="166">
        <v>11.962633396042692</v>
      </c>
      <c r="R6" s="166">
        <v>6.8674320111581491</v>
      </c>
      <c r="S6" s="166">
        <v>5.5165320641891231</v>
      </c>
      <c r="T6" s="166">
        <v>4.2792152630394726</v>
      </c>
      <c r="U6" s="166">
        <v>4.46532771882395</v>
      </c>
      <c r="V6" s="166">
        <v>6.4994319269428988</v>
      </c>
      <c r="W6" s="166">
        <v>8.2115220727172868</v>
      </c>
      <c r="X6" s="166">
        <v>13.396171183918664</v>
      </c>
      <c r="Y6" s="166">
        <v>15.513126276675999</v>
      </c>
      <c r="Z6" s="166">
        <v>18.274149935901015</v>
      </c>
      <c r="AA6" s="166"/>
      <c r="AB6" s="166">
        <v>28.789630973370599</v>
      </c>
      <c r="AC6" s="166">
        <v>24.972592488234923</v>
      </c>
      <c r="AD6" s="166">
        <v>25.175075264819196</v>
      </c>
      <c r="AE6" s="166">
        <v>23.972965052537958</v>
      </c>
      <c r="AF6" s="166">
        <v>22.080321107991043</v>
      </c>
      <c r="AG6" s="166">
        <v>20.062022492172908</v>
      </c>
      <c r="AH6" s="166">
        <v>21.907210937184605</v>
      </c>
      <c r="AI6" s="166">
        <v>23.655483675680056</v>
      </c>
      <c r="AJ6" s="166">
        <v>25.498172610246431</v>
      </c>
      <c r="AK6" s="166">
        <v>26.315558637277952</v>
      </c>
      <c r="AL6" s="166">
        <v>27.586054638670678</v>
      </c>
      <c r="AM6" s="32">
        <v>28.908598521539727</v>
      </c>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11"/>
      <c r="CY6" s="11"/>
      <c r="CZ6" s="11"/>
      <c r="DA6" s="11"/>
      <c r="DB6" s="11"/>
      <c r="DC6" s="11"/>
      <c r="DD6" s="11"/>
      <c r="DE6" s="11"/>
      <c r="DF6" s="11"/>
      <c r="DG6" s="11"/>
      <c r="DH6" s="11"/>
      <c r="DI6" s="11"/>
      <c r="DJ6" s="11"/>
      <c r="DK6" s="11"/>
      <c r="DL6" s="11"/>
      <c r="DM6" s="11"/>
      <c r="DN6" s="11"/>
      <c r="DO6" s="11"/>
      <c r="DP6" s="11"/>
      <c r="DQ6" s="11"/>
      <c r="DR6" s="11"/>
      <c r="DS6" s="11"/>
      <c r="DT6" s="11"/>
      <c r="DU6" s="11"/>
      <c r="DV6" s="11"/>
      <c r="DW6" s="11"/>
      <c r="DX6" s="11"/>
      <c r="DY6" s="11"/>
      <c r="DZ6" s="11"/>
      <c r="EA6" s="11"/>
    </row>
    <row r="7" spans="1:131">
      <c r="A7" s="11" t="s">
        <v>666</v>
      </c>
      <c r="B7" s="11"/>
      <c r="C7" s="166">
        <v>1235.4854860853059</v>
      </c>
      <c r="D7" s="166">
        <v>134.02315442591345</v>
      </c>
      <c r="E7" s="166">
        <v>26.804630885182689</v>
      </c>
      <c r="F7" s="166">
        <v>160.82778531109614</v>
      </c>
      <c r="G7" s="166">
        <v>-219.07219957215756</v>
      </c>
      <c r="H7" s="166">
        <v>814.69740376425398</v>
      </c>
      <c r="I7" s="166">
        <v>1140.3220962062569</v>
      </c>
      <c r="J7" s="166">
        <v>-6.38607218242658</v>
      </c>
      <c r="K7" s="166">
        <v>-26.299688202993423</v>
      </c>
      <c r="L7" s="382">
        <v>5.2018158161913037</v>
      </c>
      <c r="M7" s="166">
        <v>11.737143214371596</v>
      </c>
      <c r="N7" s="166">
        <v>0.28838053708293826</v>
      </c>
      <c r="O7" s="166">
        <v>50.602354927442711</v>
      </c>
      <c r="P7" s="166">
        <v>37.408422779947465</v>
      </c>
      <c r="Q7" s="166">
        <v>34.847671197167841</v>
      </c>
      <c r="R7" s="166">
        <v>20.005128032504174</v>
      </c>
      <c r="S7" s="166">
        <v>16.069897752203097</v>
      </c>
      <c r="T7" s="166">
        <v>12.465540114071507</v>
      </c>
      <c r="U7" s="166">
        <v>13.007693789617592</v>
      </c>
      <c r="V7" s="166">
        <v>18.93312778718149</v>
      </c>
      <c r="W7" s="166">
        <v>23.920520820524271</v>
      </c>
      <c r="X7" s="166">
        <v>39.023629100980457</v>
      </c>
      <c r="Y7" s="166">
        <v>45.190411327708347</v>
      </c>
      <c r="Z7" s="166">
        <v>53.233393291537745</v>
      </c>
      <c r="AA7" s="166"/>
      <c r="AB7" s="166">
        <v>83.865446748514358</v>
      </c>
      <c r="AC7" s="166">
        <v>72.746247683119122</v>
      </c>
      <c r="AD7" s="166">
        <v>73.336088814908095</v>
      </c>
      <c r="AE7" s="166">
        <v>69.834289500871449</v>
      </c>
      <c r="AF7" s="166">
        <v>64.320935401539117</v>
      </c>
      <c r="AG7" s="166">
        <v>58.441543781547168</v>
      </c>
      <c r="AH7" s="166">
        <v>63.816657947450807</v>
      </c>
      <c r="AI7" s="166">
        <v>68.909452446546254</v>
      </c>
      <c r="AJ7" s="166">
        <v>74.277285429848305</v>
      </c>
      <c r="AK7" s="166">
        <v>76.658366465114042</v>
      </c>
      <c r="AL7" s="166">
        <v>80.359376556127629</v>
      </c>
      <c r="AM7" s="32">
        <v>84.212004388833122</v>
      </c>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11"/>
      <c r="CY7" s="11"/>
      <c r="CZ7" s="11"/>
      <c r="DA7" s="11"/>
      <c r="DB7" s="11"/>
      <c r="DC7" s="11"/>
      <c r="DD7" s="11"/>
      <c r="DE7" s="11"/>
      <c r="DF7" s="11"/>
      <c r="DG7" s="11"/>
      <c r="DH7" s="11"/>
      <c r="DI7" s="11"/>
      <c r="DJ7" s="11"/>
      <c r="DK7" s="11"/>
      <c r="DL7" s="11"/>
      <c r="DM7" s="11"/>
      <c r="DN7" s="11"/>
      <c r="DO7" s="11"/>
      <c r="DP7" s="11"/>
      <c r="DQ7" s="11"/>
      <c r="DR7" s="11"/>
      <c r="DS7" s="11"/>
      <c r="DT7" s="11"/>
      <c r="DU7" s="11"/>
      <c r="DV7" s="11"/>
      <c r="DW7" s="11"/>
      <c r="DX7" s="11"/>
      <c r="DY7" s="11"/>
      <c r="DZ7" s="11"/>
      <c r="EA7" s="11"/>
    </row>
    <row r="8" spans="1:131">
      <c r="A8" s="11" t="s">
        <v>668</v>
      </c>
      <c r="B8" s="11"/>
      <c r="C8" s="166">
        <v>327.31145340319665</v>
      </c>
      <c r="D8" s="166">
        <v>113.40810404906972</v>
      </c>
      <c r="E8" s="166">
        <v>22.681620809813946</v>
      </c>
      <c r="F8" s="166">
        <v>136.08972485888367</v>
      </c>
      <c r="G8" s="166">
        <v>-246.78404455533823</v>
      </c>
      <c r="H8" s="166">
        <v>215.83401368381348</v>
      </c>
      <c r="I8" s="166">
        <v>3642.2373166858997</v>
      </c>
      <c r="J8" s="166">
        <v>8.6789776363219229</v>
      </c>
      <c r="K8" s="166">
        <v>-68.731079037080974</v>
      </c>
      <c r="L8" s="382">
        <v>3.2221408348517913</v>
      </c>
      <c r="M8" s="166">
        <v>3.109467045598445</v>
      </c>
      <c r="N8" s="166">
        <v>7.6399321391375424E-2</v>
      </c>
      <c r="O8" s="166">
        <v>13.405847760628477</v>
      </c>
      <c r="P8" s="166">
        <v>9.9104403633442892</v>
      </c>
      <c r="Q8" s="166">
        <v>9.2320322947720754</v>
      </c>
      <c r="R8" s="166">
        <v>5.2998660086111791</v>
      </c>
      <c r="S8" s="166">
        <v>4.2573236582329095</v>
      </c>
      <c r="T8" s="166">
        <v>3.3024378660413309</v>
      </c>
      <c r="U8" s="166">
        <v>3.4460681308315255</v>
      </c>
      <c r="V8" s="166">
        <v>5.0158659436189756</v>
      </c>
      <c r="W8" s="166">
        <v>6.3371529039448617</v>
      </c>
      <c r="X8" s="166">
        <v>10.338349500632882</v>
      </c>
      <c r="Y8" s="166">
        <v>11.972086583086911</v>
      </c>
      <c r="Z8" s="166">
        <v>14.102876580967084</v>
      </c>
      <c r="AA8" s="166"/>
      <c r="AB8" s="166">
        <v>22.218084772927305</v>
      </c>
      <c r="AC8" s="166">
        <v>19.272326811572601</v>
      </c>
      <c r="AD8" s="166">
        <v>19.428590693501764</v>
      </c>
      <c r="AE8" s="166">
        <v>18.500875203589072</v>
      </c>
      <c r="AF8" s="166">
        <v>17.04024781160178</v>
      </c>
      <c r="AG8" s="166">
        <v>15.482647792872569</v>
      </c>
      <c r="AH8" s="166">
        <v>16.906651918914203</v>
      </c>
      <c r="AI8" s="166">
        <v>18.255862401883515</v>
      </c>
      <c r="AJ8" s="166">
        <v>19.677937557907565</v>
      </c>
      <c r="AK8" s="166">
        <v>20.308746339638414</v>
      </c>
      <c r="AL8" s="166">
        <v>21.289237818974108</v>
      </c>
      <c r="AM8" s="32">
        <v>22.309896685101304</v>
      </c>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11"/>
      <c r="CY8" s="11"/>
      <c r="CZ8" s="11"/>
      <c r="DA8" s="11"/>
      <c r="DB8" s="11"/>
      <c r="DC8" s="11"/>
      <c r="DD8" s="11"/>
      <c r="DE8" s="11"/>
      <c r="DF8" s="11"/>
      <c r="DG8" s="11"/>
      <c r="DH8" s="11"/>
      <c r="DI8" s="11"/>
      <c r="DJ8" s="11"/>
      <c r="DK8" s="11"/>
      <c r="DL8" s="11"/>
      <c r="DM8" s="11"/>
      <c r="DN8" s="11"/>
      <c r="DO8" s="11"/>
      <c r="DP8" s="11"/>
      <c r="DQ8" s="11"/>
      <c r="DR8" s="11"/>
      <c r="DS8" s="11"/>
      <c r="DT8" s="11"/>
      <c r="DU8" s="11"/>
      <c r="DV8" s="11"/>
      <c r="DW8" s="11"/>
      <c r="DX8" s="11"/>
      <c r="DY8" s="11"/>
      <c r="DZ8" s="11"/>
      <c r="EA8" s="11"/>
    </row>
    <row r="9" spans="1:131">
      <c r="A9" s="11" t="s">
        <v>670</v>
      </c>
      <c r="B9" s="11"/>
      <c r="C9" s="166">
        <v>714.55317292247162</v>
      </c>
      <c r="D9" s="166">
        <v>162.01157721295672</v>
      </c>
      <c r="E9" s="166">
        <v>32.402315442591345</v>
      </c>
      <c r="F9" s="166">
        <v>194.41389265554807</v>
      </c>
      <c r="G9" s="166">
        <v>-160.46186526487142</v>
      </c>
      <c r="H9" s="166">
        <v>471.18693128156463</v>
      </c>
      <c r="I9" s="166">
        <v>2383.3995344211876</v>
      </c>
      <c r="J9" s="166">
        <v>1.0990030039660381</v>
      </c>
      <c r="K9" s="166">
        <v>-29.77611933318255</v>
      </c>
      <c r="L9" s="382">
        <v>3.1238444789711561</v>
      </c>
      <c r="M9" s="166">
        <v>6.788273127714926</v>
      </c>
      <c r="N9" s="166">
        <v>0.16678725092483371</v>
      </c>
      <c r="O9" s="166">
        <v>29.266287364752312</v>
      </c>
      <c r="P9" s="166">
        <v>21.635468398850211</v>
      </c>
      <c r="Q9" s="166">
        <v>20.154436699854532</v>
      </c>
      <c r="R9" s="166">
        <v>11.570130018799055</v>
      </c>
      <c r="S9" s="166">
        <v>9.2941572820577623</v>
      </c>
      <c r="T9" s="166">
        <v>7.2095474540338929</v>
      </c>
      <c r="U9" s="166">
        <v>7.5231064828012189</v>
      </c>
      <c r="V9" s="166">
        <v>10.950129876914666</v>
      </c>
      <c r="W9" s="166">
        <v>13.834629579034559</v>
      </c>
      <c r="X9" s="166">
        <v>22.569636233776009</v>
      </c>
      <c r="Y9" s="166">
        <v>26.136245357443258</v>
      </c>
      <c r="Z9" s="166">
        <v>30.787970000702796</v>
      </c>
      <c r="AA9" s="166"/>
      <c r="AB9" s="166">
        <v>48.504269574700466</v>
      </c>
      <c r="AC9" s="166">
        <v>42.07338951822188</v>
      </c>
      <c r="AD9" s="166">
        <v>42.414528978771465</v>
      </c>
      <c r="AE9" s="166">
        <v>40.389234599384601</v>
      </c>
      <c r="AF9" s="166">
        <v>37.200540997158818</v>
      </c>
      <c r="AG9" s="166">
        <v>33.800146590073922</v>
      </c>
      <c r="AH9" s="166">
        <v>36.908887991995798</v>
      </c>
      <c r="AI9" s="166">
        <v>39.854347497069654</v>
      </c>
      <c r="AJ9" s="166">
        <v>42.958877767263004</v>
      </c>
      <c r="AK9" s="166">
        <v>44.335995530196548</v>
      </c>
      <c r="AL9" s="166">
        <v>46.476505097760381</v>
      </c>
      <c r="AM9" s="32">
        <v>48.70470403085497</v>
      </c>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2"/>
      <c r="CK9" s="32"/>
      <c r="CL9" s="32"/>
      <c r="CM9" s="32"/>
      <c r="CN9" s="32"/>
      <c r="CO9" s="32"/>
      <c r="CP9" s="32"/>
      <c r="CQ9" s="32"/>
      <c r="CR9" s="32"/>
      <c r="CS9" s="32"/>
      <c r="CT9" s="32"/>
      <c r="CU9" s="32"/>
      <c r="CV9" s="32"/>
      <c r="CW9" s="32"/>
      <c r="CX9" s="11"/>
      <c r="CY9" s="11"/>
      <c r="CZ9" s="11"/>
      <c r="DA9" s="11"/>
      <c r="DB9" s="11"/>
      <c r="DC9" s="11"/>
      <c r="DD9" s="11"/>
      <c r="DE9" s="11"/>
      <c r="DF9" s="11"/>
      <c r="DG9" s="11"/>
      <c r="DH9" s="11"/>
      <c r="DI9" s="11"/>
      <c r="DJ9" s="11"/>
      <c r="DK9" s="11"/>
      <c r="DL9" s="11"/>
      <c r="DM9" s="11"/>
      <c r="DN9" s="11"/>
      <c r="DO9" s="11"/>
      <c r="DP9" s="11"/>
      <c r="DQ9" s="11"/>
      <c r="DR9" s="11"/>
      <c r="DS9" s="11"/>
      <c r="DT9" s="11"/>
      <c r="DU9" s="11"/>
      <c r="DV9" s="11"/>
      <c r="DW9" s="11"/>
      <c r="DX9" s="11"/>
      <c r="DY9" s="11"/>
      <c r="DZ9" s="11"/>
      <c r="EA9" s="11"/>
    </row>
    <row r="10" spans="1:131">
      <c r="A10" s="11" t="s">
        <v>667</v>
      </c>
      <c r="B10" s="11"/>
      <c r="C10" s="166">
        <v>3130.2038994474719</v>
      </c>
      <c r="D10" s="166">
        <v>532.0694632777404</v>
      </c>
      <c r="E10" s="166">
        <v>106.41389265554808</v>
      </c>
      <c r="F10" s="166">
        <v>638.48335593328852</v>
      </c>
      <c r="G10" s="166">
        <v>509.59227701635024</v>
      </c>
      <c r="H10" s="166">
        <v>2064.1027505818233</v>
      </c>
      <c r="I10" s="166">
        <v>1786.8210434990756</v>
      </c>
      <c r="J10" s="166">
        <v>-2.4932388965458538</v>
      </c>
      <c r="K10" s="166">
        <v>-1.273422282914503</v>
      </c>
      <c r="L10" s="382">
        <v>2.5915431099214019</v>
      </c>
      <c r="M10" s="166">
        <v>29.73701583044155</v>
      </c>
      <c r="N10" s="166">
        <v>0.73063576372878758</v>
      </c>
      <c r="O10" s="166">
        <v>128.20522013333431</v>
      </c>
      <c r="P10" s="166">
        <v>94.777309953672855</v>
      </c>
      <c r="Q10" s="166">
        <v>88.289435607749851</v>
      </c>
      <c r="R10" s="166">
        <v>50.684634082351991</v>
      </c>
      <c r="S10" s="166">
        <v>40.714405125917544</v>
      </c>
      <c r="T10" s="166">
        <v>31.582469169606536</v>
      </c>
      <c r="U10" s="166">
        <v>32.956060011755014</v>
      </c>
      <c r="V10" s="166">
        <v>47.968633460806828</v>
      </c>
      <c r="W10" s="166">
        <v>60.604603123641709</v>
      </c>
      <c r="X10" s="166">
        <v>98.869567759573613</v>
      </c>
      <c r="Y10" s="166">
        <v>114.49361675938046</v>
      </c>
      <c r="Z10" s="166">
        <v>134.8711718095303</v>
      </c>
      <c r="AA10" s="166"/>
      <c r="AB10" s="166">
        <v>212.479993814333</v>
      </c>
      <c r="AC10" s="166">
        <v>184.30859021208164</v>
      </c>
      <c r="AD10" s="166">
        <v>185.80300113926339</v>
      </c>
      <c r="AE10" s="166">
        <v>176.93090511601383</v>
      </c>
      <c r="AF10" s="166">
        <v>162.96236991658603</v>
      </c>
      <c r="AG10" s="166">
        <v>148.06644861071092</v>
      </c>
      <c r="AH10" s="166">
        <v>161.68474159074287</v>
      </c>
      <c r="AI10" s="166">
        <v>174.58775451942125</v>
      </c>
      <c r="AJ10" s="166">
        <v>188.18760002562308</v>
      </c>
      <c r="AK10" s="166">
        <v>194.22026429034486</v>
      </c>
      <c r="AL10" s="166">
        <v>203.59707717018901</v>
      </c>
      <c r="AM10" s="32">
        <v>213.35802604484209</v>
      </c>
      <c r="AN10" s="32"/>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c r="BT10" s="32"/>
      <c r="BU10" s="32"/>
      <c r="BV10" s="32"/>
      <c r="BW10" s="32"/>
      <c r="BX10" s="32"/>
      <c r="BY10" s="32"/>
      <c r="BZ10" s="32"/>
      <c r="CA10" s="32"/>
      <c r="CB10" s="32"/>
      <c r="CC10" s="32"/>
      <c r="CD10" s="32"/>
      <c r="CE10" s="32"/>
      <c r="CF10" s="32"/>
      <c r="CG10" s="32"/>
      <c r="CH10" s="32"/>
      <c r="CI10" s="32"/>
      <c r="CJ10" s="32"/>
      <c r="CK10" s="32"/>
      <c r="CL10" s="32"/>
      <c r="CM10" s="32"/>
      <c r="CN10" s="32"/>
      <c r="CO10" s="32"/>
      <c r="CP10" s="32"/>
      <c r="CQ10" s="32"/>
      <c r="CR10" s="32"/>
      <c r="CS10" s="32"/>
      <c r="CT10" s="32"/>
      <c r="CU10" s="32"/>
      <c r="CV10" s="32"/>
      <c r="CW10" s="32"/>
      <c r="CX10" s="11"/>
      <c r="CY10" s="11"/>
      <c r="CZ10" s="11"/>
      <c r="DA10" s="11"/>
      <c r="DB10" s="11"/>
      <c r="DC10" s="11"/>
      <c r="DD10" s="11"/>
      <c r="DE10" s="11"/>
      <c r="DF10" s="11"/>
      <c r="DG10" s="11"/>
      <c r="DH10" s="11"/>
      <c r="DI10" s="11"/>
      <c r="DJ10" s="11"/>
      <c r="DK10" s="11"/>
      <c r="DL10" s="11"/>
      <c r="DM10" s="11"/>
      <c r="DN10" s="11"/>
      <c r="DO10" s="11"/>
      <c r="DP10" s="11"/>
      <c r="DQ10" s="11"/>
      <c r="DR10" s="11"/>
      <c r="DS10" s="11"/>
      <c r="DT10" s="11"/>
      <c r="DU10" s="11"/>
      <c r="DV10" s="11"/>
      <c r="DW10" s="11"/>
      <c r="DX10" s="11"/>
      <c r="DY10" s="11"/>
      <c r="DZ10" s="11"/>
      <c r="EA10" s="11"/>
    </row>
    <row r="11" spans="1:131">
      <c r="A11" s="11" t="s">
        <v>669</v>
      </c>
      <c r="B11" s="11"/>
      <c r="C11" s="166">
        <v>424.12188328301545</v>
      </c>
      <c r="D11" s="166">
        <v>162.01157721295672</v>
      </c>
      <c r="E11" s="166">
        <v>32.402315442591345</v>
      </c>
      <c r="F11" s="166">
        <v>194.41389265554807</v>
      </c>
      <c r="G11" s="166">
        <v>-160.46186526487142</v>
      </c>
      <c r="H11" s="166">
        <v>279.67224308325115</v>
      </c>
      <c r="I11" s="166">
        <v>4015.5100851661305</v>
      </c>
      <c r="J11" s="166">
        <v>10.926604896872652</v>
      </c>
      <c r="K11" s="166">
        <v>-41.091264258105952</v>
      </c>
      <c r="L11" s="382">
        <v>2.4798989583024276</v>
      </c>
      <c r="M11" s="166">
        <v>4.0291685661275602</v>
      </c>
      <c r="N11" s="166">
        <v>9.8996303774740002E-2</v>
      </c>
      <c r="O11" s="166">
        <v>17.370957661659439</v>
      </c>
      <c r="P11" s="166">
        <v>12.841697372220771</v>
      </c>
      <c r="Q11" s="166">
        <v>11.962633396042692</v>
      </c>
      <c r="R11" s="166">
        <v>6.8674320111581491</v>
      </c>
      <c r="S11" s="166">
        <v>5.5165320641891231</v>
      </c>
      <c r="T11" s="166">
        <v>4.2792152630394726</v>
      </c>
      <c r="U11" s="166">
        <v>4.46532771882395</v>
      </c>
      <c r="V11" s="166">
        <v>6.4994319269428988</v>
      </c>
      <c r="W11" s="166">
        <v>8.2115220727172868</v>
      </c>
      <c r="X11" s="166">
        <v>13.396171183918664</v>
      </c>
      <c r="Y11" s="166">
        <v>15.513126276675999</v>
      </c>
      <c r="Z11" s="166">
        <v>18.274149935901015</v>
      </c>
      <c r="AA11" s="166"/>
      <c r="AB11" s="166">
        <v>28.789630973370599</v>
      </c>
      <c r="AC11" s="166">
        <v>24.972592488234923</v>
      </c>
      <c r="AD11" s="166">
        <v>25.175075264819196</v>
      </c>
      <c r="AE11" s="166">
        <v>23.972965052537958</v>
      </c>
      <c r="AF11" s="166">
        <v>22.080321107991043</v>
      </c>
      <c r="AG11" s="166">
        <v>20.062022492172908</v>
      </c>
      <c r="AH11" s="166">
        <v>21.907210937184605</v>
      </c>
      <c r="AI11" s="166">
        <v>23.655483675680056</v>
      </c>
      <c r="AJ11" s="166">
        <v>25.498172610246431</v>
      </c>
      <c r="AK11" s="166">
        <v>26.315558637277952</v>
      </c>
      <c r="AL11" s="166">
        <v>27.586054638670678</v>
      </c>
      <c r="AM11" s="32">
        <v>28.908598521539727</v>
      </c>
      <c r="AN11" s="32"/>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c r="BO11" s="32"/>
      <c r="BP11" s="32"/>
      <c r="BQ11" s="32"/>
      <c r="BR11" s="32"/>
      <c r="BS11" s="32"/>
      <c r="BT11" s="32"/>
      <c r="BU11" s="32"/>
      <c r="BV11" s="32"/>
      <c r="BW11" s="32"/>
      <c r="BX11" s="32"/>
      <c r="BY11" s="32"/>
      <c r="BZ11" s="32"/>
      <c r="CA11" s="32"/>
      <c r="CB11" s="32"/>
      <c r="CC11" s="32"/>
      <c r="CD11" s="32"/>
      <c r="CE11" s="32"/>
      <c r="CF11" s="32"/>
      <c r="CG11" s="32"/>
      <c r="CH11" s="32"/>
      <c r="CI11" s="32"/>
      <c r="CJ11" s="32"/>
      <c r="CK11" s="32"/>
      <c r="CL11" s="32"/>
      <c r="CM11" s="32"/>
      <c r="CN11" s="32"/>
      <c r="CO11" s="32"/>
      <c r="CP11" s="32"/>
      <c r="CQ11" s="32"/>
      <c r="CR11" s="32"/>
      <c r="CS11" s="32"/>
      <c r="CT11" s="32"/>
      <c r="CU11" s="32"/>
      <c r="CV11" s="32"/>
      <c r="CW11" s="32"/>
      <c r="CX11" s="11"/>
      <c r="CY11" s="11"/>
      <c r="CZ11" s="11"/>
      <c r="DA11" s="11"/>
      <c r="DB11" s="11"/>
      <c r="DC11" s="11"/>
      <c r="DD11" s="11"/>
      <c r="DE11" s="11"/>
      <c r="DF11" s="11"/>
      <c r="DG11" s="11"/>
      <c r="DH11" s="11"/>
      <c r="DI11" s="11"/>
      <c r="DJ11" s="11"/>
      <c r="DK11" s="11"/>
      <c r="DL11" s="11"/>
      <c r="DM11" s="11"/>
      <c r="DN11" s="11"/>
      <c r="DO11" s="11"/>
      <c r="DP11" s="11"/>
      <c r="DQ11" s="11"/>
      <c r="DR11" s="11"/>
      <c r="DS11" s="11"/>
      <c r="DT11" s="11"/>
      <c r="DU11" s="11"/>
      <c r="DV11" s="11"/>
      <c r="DW11" s="11"/>
      <c r="DX11" s="11"/>
      <c r="DY11" s="11"/>
      <c r="DZ11" s="11"/>
      <c r="EA11" s="11"/>
    </row>
    <row r="12" spans="1:131">
      <c r="A12" s="11" t="s">
        <v>671</v>
      </c>
      <c r="B12" s="11"/>
      <c r="C12" s="166">
        <v>1235.4854860853059</v>
      </c>
      <c r="D12" s="166">
        <v>324.02315442591345</v>
      </c>
      <c r="E12" s="166">
        <v>64.804630885182689</v>
      </c>
      <c r="F12" s="166">
        <v>388.82778531109614</v>
      </c>
      <c r="G12" s="166">
        <v>129.71497923384788</v>
      </c>
      <c r="H12" s="166">
        <v>814.69740376425398</v>
      </c>
      <c r="I12" s="166">
        <v>2756.9173719051046</v>
      </c>
      <c r="J12" s="166">
        <v>3.3481059247307288</v>
      </c>
      <c r="K12" s="166">
        <v>-5.5269867849872165</v>
      </c>
      <c r="L12" s="382">
        <v>2.1515862521114051</v>
      </c>
      <c r="M12" s="166">
        <v>11.737143214371596</v>
      </c>
      <c r="N12" s="166">
        <v>0.28838053708293826</v>
      </c>
      <c r="O12" s="166">
        <v>50.602354927442711</v>
      </c>
      <c r="P12" s="166">
        <v>37.408422779947465</v>
      </c>
      <c r="Q12" s="166">
        <v>34.847671197167841</v>
      </c>
      <c r="R12" s="166">
        <v>20.005128032504174</v>
      </c>
      <c r="S12" s="166">
        <v>16.069897752203097</v>
      </c>
      <c r="T12" s="166">
        <v>12.465540114071507</v>
      </c>
      <c r="U12" s="166">
        <v>13.007693789617592</v>
      </c>
      <c r="V12" s="166">
        <v>18.93312778718149</v>
      </c>
      <c r="W12" s="166">
        <v>23.920520820524271</v>
      </c>
      <c r="X12" s="166">
        <v>39.023629100980457</v>
      </c>
      <c r="Y12" s="166">
        <v>45.190411327708347</v>
      </c>
      <c r="Z12" s="166">
        <v>53.233393291537745</v>
      </c>
      <c r="AA12" s="166"/>
      <c r="AB12" s="166">
        <v>83.865446748514358</v>
      </c>
      <c r="AC12" s="166">
        <v>72.746247683119122</v>
      </c>
      <c r="AD12" s="166">
        <v>73.336088814908095</v>
      </c>
      <c r="AE12" s="166">
        <v>69.834289500871449</v>
      </c>
      <c r="AF12" s="166">
        <v>64.320935401539117</v>
      </c>
      <c r="AG12" s="166">
        <v>58.441543781547168</v>
      </c>
      <c r="AH12" s="166">
        <v>63.816657947450807</v>
      </c>
      <c r="AI12" s="166">
        <v>68.909452446546254</v>
      </c>
      <c r="AJ12" s="166">
        <v>74.277285429848305</v>
      </c>
      <c r="AK12" s="166">
        <v>76.658366465114042</v>
      </c>
      <c r="AL12" s="166">
        <v>80.359376556127629</v>
      </c>
      <c r="AM12" s="32">
        <v>84.212004388833122</v>
      </c>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2"/>
      <c r="CK12" s="32"/>
      <c r="CL12" s="32"/>
      <c r="CM12" s="32"/>
      <c r="CN12" s="32"/>
      <c r="CO12" s="32"/>
      <c r="CP12" s="32"/>
      <c r="CQ12" s="32"/>
      <c r="CR12" s="32"/>
      <c r="CS12" s="32"/>
      <c r="CT12" s="32"/>
      <c r="CU12" s="32"/>
      <c r="CV12" s="32"/>
      <c r="CW12" s="32"/>
      <c r="CX12" s="11"/>
      <c r="CY12" s="11"/>
      <c r="CZ12" s="11"/>
      <c r="DA12" s="11"/>
      <c r="DB12" s="11"/>
      <c r="DC12" s="11"/>
      <c r="DD12" s="11"/>
      <c r="DE12" s="11"/>
      <c r="DF12" s="11"/>
      <c r="DG12" s="11"/>
      <c r="DH12" s="11"/>
      <c r="DI12" s="11"/>
      <c r="DJ12" s="11"/>
      <c r="DK12" s="11"/>
      <c r="DL12" s="11"/>
      <c r="DM12" s="11"/>
      <c r="DN12" s="11"/>
      <c r="DO12" s="11"/>
      <c r="DP12" s="11"/>
      <c r="DQ12" s="11"/>
      <c r="DR12" s="11"/>
      <c r="DS12" s="11"/>
      <c r="DT12" s="11"/>
      <c r="DU12" s="11"/>
      <c r="DV12" s="11"/>
      <c r="DW12" s="11"/>
      <c r="DX12" s="11"/>
      <c r="DY12" s="11"/>
      <c r="DZ12" s="11"/>
      <c r="EA12" s="11"/>
    </row>
    <row r="13" spans="1:131">
      <c r="A13" s="11" t="s">
        <v>672</v>
      </c>
      <c r="B13" s="11"/>
      <c r="C13" s="166">
        <v>3130.2038994474719</v>
      </c>
      <c r="D13" s="166">
        <v>972.0694632777404</v>
      </c>
      <c r="E13" s="166">
        <v>194.4138926555481</v>
      </c>
      <c r="F13" s="166">
        <v>1166.4833559332885</v>
      </c>
      <c r="G13" s="166">
        <v>1317.3099542513103</v>
      </c>
      <c r="H13" s="166">
        <v>2064.1027505818233</v>
      </c>
      <c r="I13" s="166">
        <v>3264.4500250540573</v>
      </c>
      <c r="J13" s="166">
        <v>6.4041665944702748</v>
      </c>
      <c r="K13" s="166">
        <v>17.713609351930028</v>
      </c>
      <c r="L13" s="382">
        <v>1.418500429905009</v>
      </c>
      <c r="M13" s="166">
        <v>29.73701583044155</v>
      </c>
      <c r="N13" s="166">
        <v>0.73063576372878758</v>
      </c>
      <c r="O13" s="166">
        <v>128.20522013333431</v>
      </c>
      <c r="P13" s="166">
        <v>94.777309953672855</v>
      </c>
      <c r="Q13" s="166">
        <v>88.289435607749851</v>
      </c>
      <c r="R13" s="166">
        <v>50.684634082351991</v>
      </c>
      <c r="S13" s="166">
        <v>40.714405125917544</v>
      </c>
      <c r="T13" s="166">
        <v>31.582469169606536</v>
      </c>
      <c r="U13" s="166">
        <v>32.956060011755014</v>
      </c>
      <c r="V13" s="166">
        <v>47.968633460806828</v>
      </c>
      <c r="W13" s="166">
        <v>60.604603123641709</v>
      </c>
      <c r="X13" s="166">
        <v>98.869567759573613</v>
      </c>
      <c r="Y13" s="166">
        <v>114.49361675938046</v>
      </c>
      <c r="Z13" s="166">
        <v>134.8711718095303</v>
      </c>
      <c r="AA13" s="166"/>
      <c r="AB13" s="166">
        <v>212.479993814333</v>
      </c>
      <c r="AC13" s="166">
        <v>184.30859021208164</v>
      </c>
      <c r="AD13" s="166">
        <v>185.80300113926339</v>
      </c>
      <c r="AE13" s="166">
        <v>176.93090511601383</v>
      </c>
      <c r="AF13" s="166">
        <v>162.96236991658603</v>
      </c>
      <c r="AG13" s="166">
        <v>148.06644861071092</v>
      </c>
      <c r="AH13" s="166">
        <v>161.68474159074287</v>
      </c>
      <c r="AI13" s="166">
        <v>174.58775451942125</v>
      </c>
      <c r="AJ13" s="166">
        <v>188.18760002562308</v>
      </c>
      <c r="AK13" s="166">
        <v>194.22026429034486</v>
      </c>
      <c r="AL13" s="166">
        <v>203.59707717018901</v>
      </c>
      <c r="AM13" s="32">
        <v>213.35802604484209</v>
      </c>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c r="BV13" s="32"/>
      <c r="BW13" s="32"/>
      <c r="BX13" s="32"/>
      <c r="BY13" s="32"/>
      <c r="BZ13" s="32"/>
      <c r="CA13" s="32"/>
      <c r="CB13" s="32"/>
      <c r="CC13" s="32"/>
      <c r="CD13" s="32"/>
      <c r="CE13" s="32"/>
      <c r="CF13" s="32"/>
      <c r="CG13" s="32"/>
      <c r="CH13" s="32"/>
      <c r="CI13" s="32"/>
      <c r="CJ13" s="32"/>
      <c r="CK13" s="32"/>
      <c r="CL13" s="32"/>
      <c r="CM13" s="32"/>
      <c r="CN13" s="32"/>
      <c r="CO13" s="32"/>
      <c r="CP13" s="32"/>
      <c r="CQ13" s="32"/>
      <c r="CR13" s="32"/>
      <c r="CS13" s="32"/>
      <c r="CT13" s="32"/>
      <c r="CU13" s="32"/>
      <c r="CV13" s="32"/>
      <c r="CW13" s="32"/>
      <c r="CX13" s="11"/>
      <c r="CY13" s="11"/>
      <c r="CZ13" s="11"/>
      <c r="DA13" s="11"/>
      <c r="DB13" s="11"/>
      <c r="DC13" s="11"/>
      <c r="DD13" s="11"/>
      <c r="DE13" s="11"/>
      <c r="DF13" s="11"/>
      <c r="DG13" s="11"/>
      <c r="DH13" s="11"/>
      <c r="DI13" s="11"/>
      <c r="DJ13" s="11"/>
      <c r="DK13" s="11"/>
      <c r="DL13" s="11"/>
      <c r="DM13" s="11"/>
      <c r="DN13" s="11"/>
      <c r="DO13" s="11"/>
      <c r="DP13" s="11"/>
      <c r="DQ13" s="11"/>
      <c r="DR13" s="11"/>
      <c r="DS13" s="11"/>
      <c r="DT13" s="11"/>
      <c r="DU13" s="11"/>
      <c r="DV13" s="11"/>
      <c r="DW13" s="11"/>
      <c r="DX13" s="11"/>
      <c r="DY13" s="11"/>
      <c r="DZ13" s="11"/>
      <c r="EA13" s="11"/>
    </row>
    <row r="14" spans="1:131">
      <c r="A14" s="11"/>
      <c r="B14" s="11"/>
      <c r="C14" s="32"/>
      <c r="D14" s="3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c r="BU14" s="32"/>
      <c r="BV14" s="32"/>
      <c r="BW14" s="32"/>
      <c r="BX14" s="32"/>
      <c r="BY14" s="32"/>
      <c r="BZ14" s="32"/>
      <c r="CA14" s="32"/>
      <c r="CB14" s="32"/>
      <c r="CC14" s="32"/>
      <c r="CD14" s="32"/>
      <c r="CE14" s="32"/>
      <c r="CF14" s="32"/>
      <c r="CG14" s="32"/>
      <c r="CH14" s="32"/>
      <c r="CI14" s="32"/>
      <c r="CJ14" s="32"/>
      <c r="CK14" s="32"/>
      <c r="CL14" s="32"/>
      <c r="CM14" s="32"/>
      <c r="CN14" s="32"/>
      <c r="CO14" s="32"/>
      <c r="CP14" s="32"/>
      <c r="CQ14" s="32"/>
      <c r="CR14" s="32"/>
      <c r="CS14" s="32"/>
      <c r="CT14" s="32"/>
      <c r="CU14" s="32"/>
      <c r="CV14" s="32"/>
      <c r="CW14" s="32"/>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c r="DY14" s="11"/>
      <c r="DZ14" s="11"/>
      <c r="EA14" s="11"/>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sheetPr codeName="Sheet3"/>
  <dimension ref="A1:EA144"/>
  <sheetViews>
    <sheetView workbookViewId="0">
      <selection activeCell="A34" sqref="A34:EA144"/>
    </sheetView>
  </sheetViews>
  <sheetFormatPr defaultRowHeight="12.75"/>
  <cols>
    <col min="1" max="1" width="32.42578125" customWidth="1"/>
    <col min="2" max="2" width="53.28515625" customWidth="1"/>
    <col min="3" max="3" width="17.42578125" bestFit="1" customWidth="1"/>
    <col min="4" max="4" width="12.140625" bestFit="1" customWidth="1"/>
    <col min="5" max="5" width="12.5703125" customWidth="1"/>
    <col min="6" max="6" width="13.7109375" customWidth="1"/>
    <col min="7" max="7" width="25.42578125" customWidth="1"/>
    <col min="8" max="8" width="15.7109375" bestFit="1" customWidth="1"/>
    <col min="9" max="9" width="15.42578125" bestFit="1" customWidth="1"/>
    <col min="10" max="10" width="14.42578125" bestFit="1" customWidth="1"/>
    <col min="11" max="11" width="14.28515625" customWidth="1"/>
    <col min="12" max="12" width="12.5703125" customWidth="1"/>
    <col min="13" max="13" width="13.28515625" bestFit="1" customWidth="1"/>
    <col min="14" max="14" width="12.140625" bestFit="1" customWidth="1"/>
    <col min="15" max="15" width="13.28515625" bestFit="1" customWidth="1"/>
    <col min="16" max="16" width="27.7109375" customWidth="1"/>
    <col min="17" max="18" width="13.28515625" bestFit="1" customWidth="1"/>
    <col min="19" max="19" width="14.42578125" bestFit="1" customWidth="1"/>
    <col min="20" max="20" width="10.7109375" customWidth="1"/>
    <col min="21" max="21" width="14" bestFit="1" customWidth="1"/>
    <col min="22" max="22" width="12.140625" bestFit="1" customWidth="1"/>
    <col min="23" max="23" width="15.42578125" bestFit="1" customWidth="1"/>
    <col min="24" max="24" width="12.42578125" bestFit="1" customWidth="1"/>
    <col min="25" max="25" width="13.28515625" bestFit="1" customWidth="1"/>
    <col min="26" max="26" width="12.28515625" bestFit="1" customWidth="1"/>
    <col min="27" max="27" width="12.5703125" bestFit="1" customWidth="1"/>
    <col min="28" max="30" width="14.28515625" bestFit="1" customWidth="1"/>
    <col min="31" max="31" width="13.7109375" bestFit="1" customWidth="1"/>
    <col min="32" max="32" width="14" bestFit="1" customWidth="1"/>
    <col min="33" max="33" width="12.85546875" bestFit="1" customWidth="1"/>
    <col min="34" max="34" width="15.28515625" bestFit="1" customWidth="1"/>
    <col min="35" max="35" width="12.28515625" bestFit="1" customWidth="1"/>
    <col min="36" max="36" width="10.85546875" bestFit="1" customWidth="1"/>
    <col min="37" max="37" width="12.28515625" bestFit="1" customWidth="1"/>
    <col min="38" max="38" width="12.5703125" bestFit="1" customWidth="1"/>
    <col min="39" max="43" width="12.85546875" customWidth="1"/>
    <col min="44" max="44" width="12.5703125" customWidth="1"/>
    <col min="45" max="45" width="12.28515625" customWidth="1"/>
    <col min="46" max="46" width="12.7109375" customWidth="1"/>
    <col min="47" max="47" width="11.85546875" customWidth="1"/>
    <col min="48" max="48" width="12.5703125" bestFit="1" customWidth="1"/>
    <col min="49" max="49" width="13.42578125" customWidth="1"/>
    <col min="50" max="50" width="15.7109375" bestFit="1" customWidth="1"/>
    <col min="51" max="51" width="11" bestFit="1" customWidth="1"/>
    <col min="52" max="52" width="16.140625" bestFit="1" customWidth="1"/>
    <col min="53" max="53" width="17.28515625" bestFit="1" customWidth="1"/>
    <col min="54" max="54" width="15" bestFit="1" customWidth="1"/>
    <col min="55" max="55" width="12.5703125" bestFit="1" customWidth="1"/>
    <col min="56" max="56" width="13.5703125" customWidth="1"/>
    <col min="57" max="58" width="14.5703125" bestFit="1" customWidth="1"/>
    <col min="59" max="59" width="14.85546875" bestFit="1" customWidth="1"/>
    <col min="60" max="60" width="15" bestFit="1" customWidth="1"/>
    <col min="61" max="61" width="13.28515625" bestFit="1" customWidth="1"/>
    <col min="62" max="62" width="14" bestFit="1" customWidth="1"/>
    <col min="63" max="63" width="13.28515625" bestFit="1" customWidth="1"/>
    <col min="64" max="64" width="11.140625" bestFit="1" customWidth="1"/>
    <col min="65" max="65" width="16.85546875" bestFit="1" customWidth="1"/>
    <col min="66" max="66" width="14.7109375" customWidth="1"/>
    <col min="67" max="67" width="12" customWidth="1"/>
    <col min="68" max="68" width="14" customWidth="1"/>
    <col min="69" max="69" width="12.5703125" customWidth="1"/>
    <col min="70" max="70" width="11.28515625" customWidth="1"/>
    <col min="71" max="71" width="14.42578125" customWidth="1"/>
    <col min="72" max="72" width="15.7109375" customWidth="1"/>
    <col min="73" max="73" width="12.85546875" customWidth="1"/>
    <col min="74" max="74" width="13" customWidth="1"/>
    <col min="75" max="75" width="11.7109375" customWidth="1"/>
    <col min="76" max="76" width="14" customWidth="1"/>
    <col min="77" max="77" width="14.85546875" customWidth="1"/>
    <col min="78" max="78" width="11.85546875" customWidth="1"/>
    <col min="79" max="79" width="13.85546875" customWidth="1"/>
    <col min="80" max="80" width="13.7109375" customWidth="1"/>
    <col min="81" max="81" width="13" customWidth="1"/>
    <col min="82" max="82" width="12.42578125" customWidth="1"/>
    <col min="83" max="83" width="13" customWidth="1"/>
    <col min="84" max="84" width="12.7109375" customWidth="1"/>
    <col min="85" max="85" width="12.42578125" customWidth="1"/>
    <col min="86" max="86" width="10.28515625" customWidth="1"/>
    <col min="87" max="91" width="9.85546875" customWidth="1"/>
    <col min="92" max="99" width="10.7109375" customWidth="1"/>
    <col min="100" max="100" width="16.5703125" customWidth="1"/>
    <col min="101" max="105" width="10.7109375" customWidth="1"/>
  </cols>
  <sheetData>
    <row r="1" spans="1:105">
      <c r="A1" s="2" t="s">
        <v>10</v>
      </c>
      <c r="B1" s="3"/>
      <c r="C1" s="3"/>
      <c r="D1" s="3"/>
      <c r="E1" s="3"/>
      <c r="F1" s="3"/>
      <c r="G1" s="3"/>
      <c r="H1" s="4"/>
      <c r="I1" s="5"/>
      <c r="J1" s="5"/>
      <c r="K1" s="5"/>
      <c r="L1" s="5"/>
      <c r="M1" s="5"/>
      <c r="N1" s="6"/>
      <c r="O1" s="7" t="e">
        <v>#REF!</v>
      </c>
      <c r="P1" s="6"/>
      <c r="Q1" s="6"/>
      <c r="R1" s="6"/>
      <c r="S1" s="4"/>
      <c r="T1" s="4"/>
      <c r="U1" s="4"/>
      <c r="V1" s="6"/>
      <c r="W1" s="4"/>
      <c r="X1" s="4"/>
      <c r="Y1" s="4"/>
      <c r="Z1" s="4"/>
      <c r="AA1" s="4"/>
      <c r="AB1" s="4"/>
      <c r="AC1" s="4"/>
      <c r="AD1" s="4"/>
      <c r="AE1" s="4"/>
      <c r="AF1" s="4"/>
      <c r="AG1" s="4"/>
      <c r="AH1" s="4"/>
      <c r="AI1" s="4"/>
      <c r="AJ1" s="4"/>
      <c r="AK1" s="4"/>
      <c r="AL1" s="4"/>
      <c r="AM1" s="4"/>
      <c r="AN1" s="4"/>
      <c r="AO1" s="4"/>
      <c r="AP1" s="8"/>
      <c r="AQ1" s="4"/>
      <c r="AR1" s="4"/>
      <c r="AS1" s="4"/>
      <c r="AT1" s="4"/>
      <c r="AU1" s="4"/>
      <c r="AV1" s="8"/>
      <c r="AW1" s="4"/>
      <c r="AX1" s="4"/>
      <c r="AY1" s="4"/>
      <c r="AZ1" s="4"/>
      <c r="BA1" s="4"/>
      <c r="BB1" s="4"/>
      <c r="BC1" s="4"/>
      <c r="BD1" s="4"/>
      <c r="BE1" s="4"/>
      <c r="BF1" s="4"/>
      <c r="BG1" s="4"/>
      <c r="BH1" s="4"/>
      <c r="BI1" s="4"/>
      <c r="BJ1" s="4"/>
      <c r="BK1" s="4"/>
      <c r="BL1" s="4"/>
      <c r="BM1" s="9"/>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8"/>
      <c r="CQ1" s="4"/>
      <c r="CR1" s="4"/>
      <c r="CS1" s="4"/>
      <c r="CT1" s="4"/>
      <c r="CU1" s="4"/>
      <c r="CV1" s="4"/>
      <c r="CW1" s="4"/>
      <c r="CX1" s="4"/>
      <c r="CY1" s="4"/>
      <c r="CZ1" s="4"/>
      <c r="DA1" s="4"/>
    </row>
    <row r="2" spans="1:105">
      <c r="A2" s="10" t="s">
        <v>11</v>
      </c>
      <c r="B2" s="4" t="str">
        <f>'7PSourceSummary'!D2</f>
        <v>Street and Roadway Lighting</v>
      </c>
      <c r="C2" s="4"/>
      <c r="D2" s="4"/>
      <c r="E2" s="4"/>
      <c r="F2" s="4"/>
      <c r="G2" s="4"/>
      <c r="H2" s="4"/>
      <c r="I2" s="5"/>
      <c r="J2" s="5"/>
      <c r="K2" s="5"/>
      <c r="L2" s="5"/>
      <c r="M2" s="5"/>
      <c r="N2" s="6"/>
      <c r="O2" s="6"/>
      <c r="P2" s="6"/>
      <c r="Q2" s="6"/>
      <c r="R2" s="6"/>
      <c r="S2" s="4"/>
      <c r="T2" s="4"/>
      <c r="U2" s="4"/>
      <c r="V2" s="6"/>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8"/>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row>
    <row r="3" spans="1:105">
      <c r="A3" s="10" t="s">
        <v>12</v>
      </c>
      <c r="B3" s="11"/>
      <c r="C3" s="10">
        <v>2012</v>
      </c>
      <c r="D3" s="11"/>
      <c r="E3" s="11"/>
      <c r="F3" s="11"/>
      <c r="G3" s="11"/>
      <c r="H3" s="11"/>
      <c r="I3" s="11"/>
      <c r="J3" s="12"/>
      <c r="K3" s="13"/>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3"/>
      <c r="CP3" s="13"/>
      <c r="CQ3" s="11"/>
      <c r="CR3" s="11"/>
      <c r="CS3" s="11"/>
      <c r="CT3" s="11"/>
      <c r="CU3" s="11"/>
      <c r="CV3" s="11"/>
      <c r="CW3" s="11"/>
      <c r="CX3" s="11"/>
      <c r="CY3" s="11"/>
      <c r="CZ3" s="11"/>
      <c r="DA3" s="11"/>
    </row>
    <row r="4" spans="1:105" ht="38.25">
      <c r="A4" s="11"/>
      <c r="B4" s="14" t="s">
        <v>673</v>
      </c>
      <c r="C4" s="241" t="s">
        <v>674</v>
      </c>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row>
    <row r="5" spans="1:105">
      <c r="A5" s="15">
        <v>1</v>
      </c>
      <c r="B5" s="15">
        <v>2</v>
      </c>
      <c r="C5" s="15">
        <v>3</v>
      </c>
      <c r="D5" s="15">
        <v>4</v>
      </c>
      <c r="E5" s="15">
        <v>5</v>
      </c>
      <c r="F5" s="15">
        <v>6</v>
      </c>
      <c r="G5" s="15">
        <v>7</v>
      </c>
      <c r="H5" s="15">
        <v>8</v>
      </c>
      <c r="I5" s="15">
        <v>9</v>
      </c>
      <c r="J5" s="15">
        <v>10</v>
      </c>
      <c r="K5" s="15">
        <v>11</v>
      </c>
      <c r="L5" s="15">
        <v>12</v>
      </c>
      <c r="M5" s="15">
        <v>13</v>
      </c>
      <c r="N5" s="15">
        <v>14</v>
      </c>
      <c r="O5" s="15">
        <v>15</v>
      </c>
      <c r="P5" s="15">
        <v>16</v>
      </c>
      <c r="Q5" s="15">
        <v>17</v>
      </c>
      <c r="R5" s="15">
        <v>18</v>
      </c>
      <c r="S5" s="15">
        <v>19</v>
      </c>
      <c r="T5" s="15">
        <v>20</v>
      </c>
      <c r="U5" s="15">
        <v>21</v>
      </c>
      <c r="V5" s="15">
        <v>22</v>
      </c>
      <c r="W5" s="15">
        <v>23</v>
      </c>
      <c r="X5" s="15">
        <v>24</v>
      </c>
      <c r="Y5" s="15">
        <v>25</v>
      </c>
      <c r="Z5" s="15">
        <v>26</v>
      </c>
      <c r="AA5" s="15">
        <v>27</v>
      </c>
      <c r="AB5" s="15">
        <v>28</v>
      </c>
      <c r="AC5" s="15">
        <v>29</v>
      </c>
      <c r="AD5" s="15">
        <v>30</v>
      </c>
      <c r="AE5" s="15">
        <v>31</v>
      </c>
      <c r="AF5" s="15">
        <v>32</v>
      </c>
      <c r="AG5" s="15">
        <v>33</v>
      </c>
      <c r="AH5" s="15">
        <v>34</v>
      </c>
      <c r="AI5" s="15">
        <v>35</v>
      </c>
      <c r="AJ5" s="15">
        <v>36</v>
      </c>
      <c r="AK5" s="15">
        <v>37</v>
      </c>
      <c r="AL5" s="15">
        <v>38</v>
      </c>
      <c r="AM5" s="15">
        <v>39</v>
      </c>
      <c r="AN5" s="15">
        <v>40</v>
      </c>
      <c r="AO5" s="15">
        <v>41</v>
      </c>
      <c r="AP5" s="15">
        <v>42</v>
      </c>
      <c r="AQ5" s="15">
        <v>43</v>
      </c>
      <c r="AR5" s="15">
        <v>44</v>
      </c>
      <c r="AS5" s="15">
        <v>45</v>
      </c>
      <c r="AT5" s="15">
        <v>46</v>
      </c>
      <c r="AU5" s="15">
        <v>47</v>
      </c>
      <c r="AV5" s="15">
        <v>48</v>
      </c>
      <c r="AW5" s="15">
        <v>49</v>
      </c>
      <c r="AX5" s="15">
        <v>50</v>
      </c>
      <c r="AY5" s="15">
        <v>51</v>
      </c>
      <c r="AZ5" s="15">
        <v>52</v>
      </c>
      <c r="BA5" s="15">
        <v>53</v>
      </c>
      <c r="BB5" s="15">
        <v>54</v>
      </c>
      <c r="BC5" s="15">
        <v>55</v>
      </c>
      <c r="BD5" s="15">
        <v>56</v>
      </c>
      <c r="BE5" s="15">
        <v>57</v>
      </c>
      <c r="BF5" s="15">
        <v>58</v>
      </c>
      <c r="BG5" s="15">
        <v>59</v>
      </c>
      <c r="BH5" s="15">
        <v>60</v>
      </c>
      <c r="BI5" s="15">
        <v>61</v>
      </c>
      <c r="BJ5" s="15">
        <v>62</v>
      </c>
      <c r="BK5" s="15">
        <v>63</v>
      </c>
      <c r="BL5" s="15">
        <v>64</v>
      </c>
      <c r="BM5" s="15">
        <v>65</v>
      </c>
      <c r="BN5" s="15">
        <v>66</v>
      </c>
      <c r="BO5" s="15">
        <v>67</v>
      </c>
      <c r="BP5" s="15">
        <v>68</v>
      </c>
      <c r="BQ5" s="15">
        <v>69</v>
      </c>
      <c r="BR5" s="15">
        <v>70</v>
      </c>
      <c r="BS5" s="15">
        <v>71</v>
      </c>
      <c r="BT5" s="15">
        <v>72</v>
      </c>
      <c r="BU5" s="15">
        <v>73</v>
      </c>
      <c r="BV5" s="15">
        <v>74</v>
      </c>
      <c r="BW5" s="15">
        <v>75</v>
      </c>
      <c r="BX5" s="15">
        <v>76</v>
      </c>
      <c r="BY5" s="15">
        <v>77</v>
      </c>
      <c r="BZ5" s="15">
        <v>78</v>
      </c>
      <c r="CA5" s="15">
        <v>79</v>
      </c>
      <c r="CB5" s="15">
        <v>80</v>
      </c>
      <c r="CC5" s="15">
        <v>81</v>
      </c>
      <c r="CD5" s="15">
        <v>82</v>
      </c>
      <c r="CE5" s="15">
        <v>83</v>
      </c>
      <c r="CF5" s="15">
        <v>84</v>
      </c>
      <c r="CG5" s="15">
        <v>85</v>
      </c>
      <c r="CH5" s="15">
        <v>86</v>
      </c>
      <c r="CI5" s="15">
        <v>87</v>
      </c>
      <c r="CJ5" s="15">
        <v>88</v>
      </c>
      <c r="CK5" s="15">
        <v>89</v>
      </c>
      <c r="CL5" s="15">
        <v>90</v>
      </c>
      <c r="CM5" s="15">
        <v>91</v>
      </c>
      <c r="CN5" s="15">
        <v>92</v>
      </c>
      <c r="CO5" s="15">
        <v>93</v>
      </c>
      <c r="CP5" s="15">
        <v>94</v>
      </c>
      <c r="CQ5" s="15">
        <v>95</v>
      </c>
      <c r="CR5" s="15">
        <v>96</v>
      </c>
      <c r="CS5" s="15">
        <v>97</v>
      </c>
      <c r="CT5" s="15">
        <v>98</v>
      </c>
      <c r="CU5" s="15">
        <v>99</v>
      </c>
      <c r="CV5" s="15">
        <v>100</v>
      </c>
      <c r="CW5" s="15">
        <v>101</v>
      </c>
      <c r="CX5" s="15">
        <v>102</v>
      </c>
      <c r="CY5" s="15">
        <v>103</v>
      </c>
      <c r="CZ5" s="15">
        <v>104</v>
      </c>
      <c r="DA5" s="15">
        <v>105</v>
      </c>
    </row>
    <row r="6" spans="1:105">
      <c r="A6" s="16" t="s">
        <v>13</v>
      </c>
      <c r="B6" s="17"/>
      <c r="C6" s="17"/>
      <c r="D6" s="17"/>
      <c r="E6" s="17"/>
      <c r="F6" s="17"/>
      <c r="G6" s="18"/>
      <c r="H6" s="19"/>
      <c r="I6" s="469" t="s">
        <v>14</v>
      </c>
      <c r="J6" s="470"/>
      <c r="K6" s="470"/>
      <c r="L6" s="470"/>
      <c r="M6" s="470"/>
      <c r="N6" s="471"/>
      <c r="O6" s="472" t="s">
        <v>15</v>
      </c>
      <c r="P6" s="473"/>
      <c r="Q6" s="20" t="s">
        <v>16</v>
      </c>
      <c r="R6" s="474" t="s">
        <v>17</v>
      </c>
      <c r="S6" s="474"/>
      <c r="T6" s="474"/>
      <c r="U6" s="21"/>
      <c r="V6" s="21"/>
      <c r="W6" s="21"/>
      <c r="X6" s="22"/>
      <c r="Y6" s="23"/>
      <c r="Z6" s="21"/>
      <c r="AA6" s="21"/>
      <c r="AB6" s="21"/>
      <c r="AC6" s="21"/>
      <c r="AD6" s="21"/>
      <c r="AE6" s="24"/>
      <c r="AF6" s="24"/>
      <c r="AG6" s="24"/>
      <c r="AH6" s="24"/>
      <c r="AI6" s="24"/>
      <c r="AJ6" s="24"/>
      <c r="AK6" s="24"/>
      <c r="AL6" s="24"/>
      <c r="AM6" s="24"/>
      <c r="AN6" s="24"/>
      <c r="AO6" s="2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row>
    <row r="7" spans="1:105" ht="25.5">
      <c r="A7" s="25" t="s">
        <v>18</v>
      </c>
      <c r="B7" s="25" t="s">
        <v>19</v>
      </c>
      <c r="C7" s="25" t="s">
        <v>20</v>
      </c>
      <c r="D7" s="25" t="s">
        <v>21</v>
      </c>
      <c r="E7" s="25" t="s">
        <v>22</v>
      </c>
      <c r="F7" s="26" t="s">
        <v>23</v>
      </c>
      <c r="G7" s="25" t="s">
        <v>24</v>
      </c>
      <c r="H7" s="27" t="s">
        <v>25</v>
      </c>
      <c r="I7" s="27" t="s">
        <v>26</v>
      </c>
      <c r="J7" s="27" t="s">
        <v>27</v>
      </c>
      <c r="K7" s="27" t="s">
        <v>28</v>
      </c>
      <c r="L7" s="27" t="s">
        <v>29</v>
      </c>
      <c r="M7" s="27" t="s">
        <v>30</v>
      </c>
      <c r="N7" s="27" t="s">
        <v>31</v>
      </c>
      <c r="O7" s="28" t="s">
        <v>32</v>
      </c>
      <c r="P7" s="27" t="s">
        <v>24</v>
      </c>
      <c r="Q7" s="29" t="s">
        <v>33</v>
      </c>
      <c r="R7" s="30" t="s">
        <v>34</v>
      </c>
      <c r="S7" s="30" t="s">
        <v>35</v>
      </c>
      <c r="T7" s="30" t="s">
        <v>36</v>
      </c>
      <c r="U7" s="31"/>
      <c r="V7" s="31"/>
      <c r="W7" s="31"/>
      <c r="X7" s="31"/>
      <c r="Y7" s="31"/>
      <c r="Z7" s="31"/>
      <c r="AA7" s="31"/>
      <c r="AB7" s="31"/>
      <c r="AC7" s="31"/>
      <c r="AD7" s="31"/>
      <c r="AE7" s="24"/>
      <c r="AF7" s="24"/>
      <c r="AG7" s="24"/>
      <c r="AH7" s="24"/>
      <c r="AI7" s="24"/>
      <c r="AJ7" s="24"/>
      <c r="AK7" s="24"/>
      <c r="AL7" s="24"/>
      <c r="AM7" s="24"/>
      <c r="AN7" s="24"/>
      <c r="AO7" s="2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row>
    <row r="8" spans="1:105">
      <c r="A8" s="63" t="str">
        <f>LEFT(B8,22)&amp;" - New"</f>
        <v>Streetlight - HPS 100W - New</v>
      </c>
      <c r="B8" s="32" t="str">
        <f>MMap!F13</f>
        <v>Streetlight - HPS 100W - Group Relamp - to LED 42W - New</v>
      </c>
      <c r="C8" s="33">
        <f>MMap!G13*VLOOKUP(B8,MMap!$F$13:$AU$36,MATCH('M_Input (WT)'!$C$4,MMap!$F$12:$AU$12,0),FALSE)</f>
        <v>84.924999999999983</v>
      </c>
      <c r="D8" s="63">
        <f>MMap!L13</f>
        <v>11.627906976744185</v>
      </c>
      <c r="E8" s="35">
        <f>MMap!H13*VLOOKUP(B8,MMap!$F$13:$AU$36,MATCH('M_Input (WT)'!$C$4,MMap!$F$12:$AU$12,0),FALSE)</f>
        <v>-2.1479739877325699</v>
      </c>
      <c r="F8" s="35">
        <f>MMap!M13*VLOOKUP(B8,MMap!$F$13:$AU$36,MATCH('M_Input (WT)'!$C$4,MMap!$F$12:$AU$12,0),FALSE)</f>
        <v>0</v>
      </c>
      <c r="G8" s="36" t="s">
        <v>525</v>
      </c>
      <c r="H8" s="34"/>
      <c r="I8" s="54">
        <f>MMap!N13*VLOOKUP(B8,MMap!$F$13:$AU$36,MATCH('M_Input (WT)'!$C$4,MMap!$F$12:$AU$12,0),FALSE)</f>
        <v>-19.25</v>
      </c>
      <c r="J8" s="34">
        <f>MMap!O13</f>
        <v>5</v>
      </c>
      <c r="K8" s="34"/>
      <c r="L8" s="34"/>
      <c r="M8" s="34"/>
      <c r="N8" s="34"/>
      <c r="O8" s="11"/>
      <c r="P8" s="37"/>
      <c r="Q8" s="38" t="s">
        <v>866</v>
      </c>
      <c r="R8" s="34"/>
      <c r="S8" s="34"/>
      <c r="T8" s="34"/>
      <c r="U8" s="31"/>
      <c r="V8" s="31"/>
      <c r="W8" s="31"/>
      <c r="X8" s="31"/>
      <c r="Y8" s="31"/>
      <c r="Z8" s="31"/>
      <c r="AA8" s="31"/>
      <c r="AB8" s="31"/>
      <c r="AC8" s="31"/>
      <c r="AD8" s="31"/>
      <c r="AE8" s="24"/>
      <c r="AF8" s="24"/>
      <c r="AG8" s="24"/>
      <c r="AH8" s="24"/>
      <c r="AI8" s="24"/>
      <c r="AJ8" s="24"/>
      <c r="AK8" s="24"/>
      <c r="AL8" s="24"/>
      <c r="AM8" s="24"/>
      <c r="AN8" s="24"/>
      <c r="AO8" s="24"/>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row>
    <row r="9" spans="1:105">
      <c r="A9" s="63" t="str">
        <f t="shared" ref="A9:A19" si="0">LEFT(B9,22)&amp;" - New"</f>
        <v>Streetlight - HPS 100W - New</v>
      </c>
      <c r="B9" s="32" t="str">
        <f>MMap!F14</f>
        <v>Streetlight - HPS 100W - Tariff Relamp - to LED 42W - New</v>
      </c>
      <c r="C9" s="33">
        <f>MMap!G14*VLOOKUP(B9,MMap!$F$13:$AU$36,MATCH('M_Input (WT)'!$C$4,MMap!$F$12:$AU$12,0),FALSE)</f>
        <v>84.924999999999983</v>
      </c>
      <c r="D9" s="63">
        <f>MMap!L14</f>
        <v>11.627906976744185</v>
      </c>
      <c r="E9" s="35">
        <f>MMap!H14*VLOOKUP(B9,MMap!$F$13:$AU$36,MATCH('M_Input (WT)'!$C$4,MMap!$F$12:$AU$12,0),FALSE)</f>
        <v>-2.1479739877325699</v>
      </c>
      <c r="F9" s="35">
        <f>MMap!M14*VLOOKUP(B9,MMap!$F$13:$AU$36,MATCH('M_Input (WT)'!$C$4,MMap!$F$12:$AU$12,0),FALSE)</f>
        <v>-14</v>
      </c>
      <c r="G9" s="36" t="s">
        <v>525</v>
      </c>
      <c r="H9" s="11"/>
      <c r="I9" s="54">
        <f>MMap!N14*VLOOKUP(B9,MMap!$F$13:$AU$36,MATCH('M_Input (WT)'!$C$4,MMap!$F$12:$AU$12,0),FALSE)</f>
        <v>0</v>
      </c>
      <c r="J9" s="34">
        <f>MMap!O14</f>
        <v>0</v>
      </c>
      <c r="K9" s="11"/>
      <c r="L9" s="11"/>
      <c r="M9" s="11"/>
      <c r="N9" s="11"/>
      <c r="O9" s="11"/>
      <c r="P9" s="37"/>
      <c r="Q9" s="38" t="s">
        <v>866</v>
      </c>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c r="BU9" s="11"/>
      <c r="BV9" s="11"/>
      <c r="BW9" s="11"/>
      <c r="BX9" s="11"/>
      <c r="BY9" s="11"/>
      <c r="BZ9" s="11"/>
      <c r="CA9" s="11"/>
      <c r="CB9" s="11"/>
      <c r="CC9" s="11"/>
      <c r="CD9" s="11"/>
      <c r="CE9" s="11"/>
      <c r="CF9" s="11"/>
      <c r="CG9" s="11"/>
      <c r="CH9" s="11"/>
      <c r="CI9" s="11"/>
      <c r="CJ9" s="11"/>
      <c r="CK9" s="11"/>
      <c r="CL9" s="11"/>
      <c r="CM9" s="11"/>
      <c r="CN9" s="11"/>
      <c r="CO9" s="11"/>
      <c r="CP9" s="11"/>
      <c r="CQ9" s="11"/>
      <c r="CR9" s="11"/>
      <c r="CS9" s="11"/>
      <c r="CT9" s="11"/>
      <c r="CU9" s="11"/>
      <c r="CV9" s="11"/>
      <c r="CW9" s="11"/>
      <c r="CX9" s="11"/>
      <c r="CY9" s="11"/>
      <c r="CZ9" s="11"/>
      <c r="DA9" s="11"/>
    </row>
    <row r="10" spans="1:105">
      <c r="A10" s="63" t="str">
        <f t="shared" si="0"/>
        <v>Streetlight - HPS 100W - New</v>
      </c>
      <c r="B10" s="32" t="str">
        <f>MMap!F15</f>
        <v>Streetlight - HPS 100W - Group Relamp - to LED 58W - New</v>
      </c>
      <c r="C10" s="33">
        <f>MMap!G15*VLOOKUP(B10,MMap!$F$13:$AU$36,MATCH('M_Input (WT)'!$C$4,MMap!$F$12:$AU$12,0),FALSE)</f>
        <v>67.724999999999994</v>
      </c>
      <c r="D10" s="63">
        <f>MMap!L15</f>
        <v>11.627906976744185</v>
      </c>
      <c r="E10" s="35">
        <f>MMap!H15*VLOOKUP(B10,MMap!$F$13:$AU$36,MATCH('M_Input (WT)'!$C$4,MMap!$F$12:$AU$12,0),FALSE)</f>
        <v>-2.1479739877325699</v>
      </c>
      <c r="F10" s="35">
        <f>MMap!M15*VLOOKUP(B10,MMap!$F$13:$AU$36,MATCH('M_Input (WT)'!$C$4,MMap!$F$12:$AU$12,0),FALSE)</f>
        <v>0</v>
      </c>
      <c r="G10" s="36" t="s">
        <v>525</v>
      </c>
      <c r="H10" s="11"/>
      <c r="I10" s="54">
        <f>MMap!N15*VLOOKUP(B10,MMap!$F$13:$AU$36,MATCH('M_Input (WT)'!$C$4,MMap!$F$12:$AU$12,0),FALSE)</f>
        <v>-19.25</v>
      </c>
      <c r="J10" s="34">
        <f>MMap!O15</f>
        <v>5</v>
      </c>
      <c r="K10" s="11"/>
      <c r="L10" s="11"/>
      <c r="M10" s="11"/>
      <c r="N10" s="11"/>
      <c r="O10" s="11"/>
      <c r="P10" s="37"/>
      <c r="Q10" s="38" t="s">
        <v>866</v>
      </c>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c r="BW10" s="11"/>
      <c r="BX10" s="11"/>
      <c r="BY10" s="11"/>
      <c r="BZ10" s="11"/>
      <c r="CA10" s="11"/>
      <c r="CB10" s="11"/>
      <c r="CC10" s="11"/>
      <c r="CD10" s="11"/>
      <c r="CE10" s="11"/>
      <c r="CF10" s="11"/>
      <c r="CG10" s="11"/>
      <c r="CH10" s="11"/>
      <c r="CI10" s="11"/>
      <c r="CJ10" s="11"/>
      <c r="CK10" s="11"/>
      <c r="CL10" s="11"/>
      <c r="CM10" s="11"/>
      <c r="CN10" s="11"/>
      <c r="CO10" s="11"/>
      <c r="CP10" s="11"/>
      <c r="CQ10" s="11"/>
      <c r="CR10" s="11"/>
      <c r="CS10" s="11"/>
      <c r="CT10" s="11"/>
      <c r="CU10" s="11"/>
      <c r="CV10" s="11"/>
      <c r="CW10" s="11"/>
      <c r="CX10" s="11"/>
      <c r="CY10" s="11"/>
      <c r="CZ10" s="11"/>
      <c r="DA10" s="11"/>
    </row>
    <row r="11" spans="1:105">
      <c r="A11" s="63" t="str">
        <f t="shared" si="0"/>
        <v>Streetlight - HPS 100W - New</v>
      </c>
      <c r="B11" s="32" t="str">
        <f>MMap!F16</f>
        <v>Streetlight - HPS 100W - Tariff Relamp - to LED 58W - New</v>
      </c>
      <c r="C11" s="33">
        <f>MMap!G16*VLOOKUP(B11,MMap!$F$13:$AU$36,MATCH('M_Input (WT)'!$C$4,MMap!$F$12:$AU$12,0),FALSE)</f>
        <v>67.724999999999994</v>
      </c>
      <c r="D11" s="63">
        <f>MMap!L16</f>
        <v>11.627906976744185</v>
      </c>
      <c r="E11" s="35">
        <f>MMap!H16*VLOOKUP(B11,MMap!$F$13:$AU$36,MATCH('M_Input (WT)'!$C$4,MMap!$F$12:$AU$12,0),FALSE)</f>
        <v>-2.1479739877325699</v>
      </c>
      <c r="F11" s="35">
        <f>MMap!M16*VLOOKUP(B11,MMap!$F$13:$AU$36,MATCH('M_Input (WT)'!$C$4,MMap!$F$12:$AU$12,0),FALSE)</f>
        <v>-14</v>
      </c>
      <c r="G11" s="36" t="s">
        <v>525</v>
      </c>
      <c r="H11" s="11"/>
      <c r="I11" s="54">
        <f>MMap!N16*VLOOKUP(B11,MMap!$F$13:$AU$36,MATCH('M_Input (WT)'!$C$4,MMap!$F$12:$AU$12,0),FALSE)</f>
        <v>0</v>
      </c>
      <c r="J11" s="34">
        <f>MMap!O16</f>
        <v>0</v>
      </c>
      <c r="K11" s="11"/>
      <c r="L11" s="11"/>
      <c r="M11" s="11"/>
      <c r="N11" s="11"/>
      <c r="O11" s="11"/>
      <c r="P11" s="11"/>
      <c r="Q11" s="38" t="s">
        <v>866</v>
      </c>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1"/>
      <c r="CI11" s="11"/>
      <c r="CJ11" s="11"/>
      <c r="CK11" s="11"/>
      <c r="CL11" s="11"/>
      <c r="CM11" s="11"/>
      <c r="CN11" s="11"/>
      <c r="CO11" s="11"/>
      <c r="CP11" s="11"/>
      <c r="CQ11" s="11"/>
      <c r="CR11" s="11"/>
      <c r="CS11" s="11"/>
      <c r="CT11" s="11"/>
      <c r="CU11" s="11"/>
      <c r="CV11" s="11"/>
      <c r="CW11" s="11"/>
      <c r="CX11" s="11"/>
      <c r="CY11" s="11"/>
      <c r="CZ11" s="11"/>
      <c r="DA11" s="11"/>
    </row>
    <row r="12" spans="1:105">
      <c r="A12" s="63" t="str">
        <f t="shared" si="0"/>
        <v>Streetlight - MH 200W  - New</v>
      </c>
      <c r="B12" s="32" t="str">
        <f>MMap!F17</f>
        <v>Streetlight - MH 200W - Group Relamp - to LED 135W - New</v>
      </c>
      <c r="C12" s="33">
        <f>MMap!G17*VLOOKUP(B12,MMap!$F$13:$AU$36,MATCH('M_Input (WT)'!$C$4,MMap!$F$12:$AU$12,0),FALSE)</f>
        <v>197.8</v>
      </c>
      <c r="D12" s="63">
        <f>MMap!L17</f>
        <v>11.627906976744185</v>
      </c>
      <c r="E12" s="35">
        <f>MMap!H17*VLOOKUP(B12,MMap!$F$13:$AU$36,MATCH('M_Input (WT)'!$C$4,MMap!$F$12:$AU$12,0),FALSE)</f>
        <v>1.0057886064783617</v>
      </c>
      <c r="F12" s="35">
        <f>MMap!M17*VLOOKUP(B12,MMap!$F$13:$AU$36,MATCH('M_Input (WT)'!$C$4,MMap!$F$12:$AU$12,0),FALSE)</f>
        <v>0</v>
      </c>
      <c r="G12" s="36" t="s">
        <v>525</v>
      </c>
      <c r="H12" s="11"/>
      <c r="I12" s="54">
        <f>MMap!N17*VLOOKUP(B12,MMap!$F$13:$AU$36,MATCH('M_Input (WT)'!$C$4,MMap!$F$12:$AU$12,0),FALSE)</f>
        <v>-40</v>
      </c>
      <c r="J12" s="34">
        <f>MMap!O17</f>
        <v>5</v>
      </c>
      <c r="K12" s="11"/>
      <c r="L12" s="11"/>
      <c r="M12" s="11"/>
      <c r="N12" s="11"/>
      <c r="O12" s="11"/>
      <c r="P12" s="11"/>
      <c r="Q12" s="38" t="s">
        <v>866</v>
      </c>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c r="CO12" s="11"/>
      <c r="CP12" s="11"/>
      <c r="CQ12" s="11"/>
      <c r="CR12" s="11"/>
      <c r="CS12" s="11"/>
      <c r="CT12" s="11"/>
      <c r="CU12" s="11"/>
      <c r="CV12" s="11"/>
      <c r="CW12" s="11"/>
      <c r="CX12" s="11"/>
      <c r="CY12" s="11"/>
      <c r="CZ12" s="11"/>
      <c r="DA12" s="11"/>
    </row>
    <row r="13" spans="1:105">
      <c r="A13" s="63" t="str">
        <f t="shared" si="0"/>
        <v>Streetlight - MH 200W  - New</v>
      </c>
      <c r="B13" s="32" t="str">
        <f>MMap!F18</f>
        <v>Streetlight - MH 200W - Tariff Relamp - to LED 135W - New</v>
      </c>
      <c r="C13" s="33">
        <f>MMap!G18*VLOOKUP(B13,MMap!$F$13:$AU$36,MATCH('M_Input (WT)'!$C$4,MMap!$F$12:$AU$12,0),FALSE)</f>
        <v>197.8</v>
      </c>
      <c r="D13" s="63">
        <f>MMap!L18</f>
        <v>11.627906976744185</v>
      </c>
      <c r="E13" s="35">
        <f>MMap!H18*VLOOKUP(B13,MMap!$F$13:$AU$36,MATCH('M_Input (WT)'!$C$4,MMap!$F$12:$AU$12,0),FALSE)</f>
        <v>1.0057886064783617</v>
      </c>
      <c r="F13" s="35">
        <f>MMap!M18*VLOOKUP(B13,MMap!$F$13:$AU$36,MATCH('M_Input (WT)'!$C$4,MMap!$F$12:$AU$12,0),FALSE)</f>
        <v>-28</v>
      </c>
      <c r="G13" s="36" t="s">
        <v>525</v>
      </c>
      <c r="H13" s="11"/>
      <c r="I13" s="54">
        <f>MMap!N18*VLOOKUP(B13,MMap!$F$13:$AU$36,MATCH('M_Input (WT)'!$C$4,MMap!$F$12:$AU$12,0),FALSE)</f>
        <v>0</v>
      </c>
      <c r="J13" s="34">
        <f>MMap!O18</f>
        <v>0</v>
      </c>
      <c r="K13" s="11"/>
      <c r="L13" s="11"/>
      <c r="M13" s="11"/>
      <c r="N13" s="11"/>
      <c r="O13" s="11"/>
      <c r="P13" s="11"/>
      <c r="Q13" s="38" t="s">
        <v>866</v>
      </c>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row>
    <row r="14" spans="1:105">
      <c r="A14" s="63" t="str">
        <f t="shared" si="0"/>
        <v>Streetlight - HPS 250W - New</v>
      </c>
      <c r="B14" s="32" t="str">
        <f>MMap!F19</f>
        <v>Streetlight - HPS 250W - Group Relamp - to LED 135W - New</v>
      </c>
      <c r="C14" s="33">
        <f>MMap!G19*VLOOKUP(B14,MMap!$F$13:$AU$36,MATCH('M_Input (WT)'!$C$4,MMap!$F$12:$AU$12,0),FALSE)</f>
        <v>333.25</v>
      </c>
      <c r="D14" s="63">
        <f>MMap!L19</f>
        <v>11.627906976744185</v>
      </c>
      <c r="E14" s="35">
        <f>MMap!H19*VLOOKUP(B14,MMap!$F$13:$AU$36,MATCH('M_Input (WT)'!$C$4,MMap!$F$12:$AU$12,0),FALSE)</f>
        <v>1.0057886064783617</v>
      </c>
      <c r="F14" s="35">
        <f>MMap!M19*VLOOKUP(B14,MMap!$F$13:$AU$36,MATCH('M_Input (WT)'!$C$4,MMap!$F$12:$AU$12,0),FALSE)</f>
        <v>0</v>
      </c>
      <c r="G14" s="36" t="s">
        <v>525</v>
      </c>
      <c r="I14" s="54">
        <f>MMap!N19*VLOOKUP(B14,MMap!$F$13:$AU$36,MATCH('M_Input (WT)'!$C$4,MMap!$F$12:$AU$12,0),FALSE)</f>
        <v>-40</v>
      </c>
      <c r="J14" s="34">
        <f>MMap!O19</f>
        <v>5</v>
      </c>
      <c r="Q14" s="38" t="s">
        <v>866</v>
      </c>
    </row>
    <row r="15" spans="1:105">
      <c r="A15" s="63" t="str">
        <f t="shared" si="0"/>
        <v>Streetlight - HPS 250W - New</v>
      </c>
      <c r="B15" s="32" t="str">
        <f>MMap!F20</f>
        <v>Streetlight - HPS 250W - Tariff Relamp - to LED 135W - New</v>
      </c>
      <c r="C15" s="33">
        <f>MMap!G20*VLOOKUP(B15,MMap!$F$13:$AU$36,MATCH('M_Input (WT)'!$C$4,MMap!$F$12:$AU$12,0),FALSE)</f>
        <v>333.25</v>
      </c>
      <c r="D15" s="63">
        <f>MMap!L20</f>
        <v>11.627906976744185</v>
      </c>
      <c r="E15" s="35">
        <f>MMap!H20*VLOOKUP(B15,MMap!$F$13:$AU$36,MATCH('M_Input (WT)'!$C$4,MMap!$F$12:$AU$12,0),FALSE)</f>
        <v>1.0057886064783617</v>
      </c>
      <c r="F15" s="35">
        <f>MMap!M20*VLOOKUP(B15,MMap!$F$13:$AU$36,MATCH('M_Input (WT)'!$C$4,MMap!$F$12:$AU$12,0),FALSE)</f>
        <v>-28</v>
      </c>
      <c r="G15" s="36" t="s">
        <v>525</v>
      </c>
      <c r="I15" s="54">
        <f>MMap!N20*VLOOKUP(B15,MMap!$F$13:$AU$36,MATCH('M_Input (WT)'!$C$4,MMap!$F$12:$AU$12,0),FALSE)</f>
        <v>0</v>
      </c>
      <c r="J15" s="34">
        <f>MMap!O20</f>
        <v>0</v>
      </c>
      <c r="Q15" s="38" t="s">
        <v>866</v>
      </c>
    </row>
    <row r="16" spans="1:105">
      <c r="A16" s="63" t="str">
        <f t="shared" si="0"/>
        <v>Streetlight - MH 400W  - New</v>
      </c>
      <c r="B16" s="32" t="str">
        <f>MMap!F21</f>
        <v>Streetlight - MH 400W - Group Relamp - to LED 180W - New</v>
      </c>
      <c r="C16" s="33">
        <f>MMap!G21*VLOOKUP(B16,MMap!$F$13:$AU$36,MATCH('M_Input (WT)'!$C$4,MMap!$F$12:$AU$12,0),FALSE)</f>
        <v>576.20000000000005</v>
      </c>
      <c r="D16" s="63">
        <f>MMap!L21</f>
        <v>11.627906976744185</v>
      </c>
      <c r="E16" s="35">
        <f>MMap!H21*VLOOKUP(B16,MMap!$F$13:$AU$36,MATCH('M_Input (WT)'!$C$4,MMap!$F$12:$AU$12,0),FALSE)</f>
        <v>67.011577212956723</v>
      </c>
      <c r="F16" s="35">
        <f>MMap!M21*VLOOKUP(B16,MMap!$F$13:$AU$36,MATCH('M_Input (WT)'!$C$4,MMap!$F$12:$AU$12,0),FALSE)</f>
        <v>0</v>
      </c>
      <c r="G16" s="36" t="s">
        <v>525</v>
      </c>
      <c r="I16" s="54">
        <f>MMap!N21*VLOOKUP(B16,MMap!$F$13:$AU$36,MATCH('M_Input (WT)'!$C$4,MMap!$F$12:$AU$12,0),FALSE)</f>
        <v>-41.5</v>
      </c>
      <c r="J16" s="34">
        <f>MMap!O21</f>
        <v>4</v>
      </c>
      <c r="Q16" s="38" t="s">
        <v>866</v>
      </c>
    </row>
    <row r="17" spans="1:17">
      <c r="A17" s="63" t="str">
        <f t="shared" si="0"/>
        <v>Streetlight - MH 400W  - New</v>
      </c>
      <c r="B17" s="32" t="str">
        <f>MMap!F22</f>
        <v>Streetlight - MH 400W - Tariff Relamp - to LED 180W - New</v>
      </c>
      <c r="C17" s="33">
        <f>MMap!G22*VLOOKUP(B17,MMap!$F$13:$AU$36,MATCH('M_Input (WT)'!$C$4,MMap!$F$12:$AU$12,0),FALSE)</f>
        <v>576.20000000000005</v>
      </c>
      <c r="D17" s="63">
        <f>MMap!L22</f>
        <v>11.627906976744185</v>
      </c>
      <c r="E17" s="35">
        <f>MMap!H22*VLOOKUP(B17,MMap!$F$13:$AU$36,MATCH('M_Input (WT)'!$C$4,MMap!$F$12:$AU$12,0),FALSE)</f>
        <v>67.011577212956723</v>
      </c>
      <c r="F17" s="35">
        <f>MMap!M22*VLOOKUP(B17,MMap!$F$13:$AU$36,MATCH('M_Input (WT)'!$C$4,MMap!$F$12:$AU$12,0),FALSE)</f>
        <v>-28</v>
      </c>
      <c r="G17" s="36" t="s">
        <v>525</v>
      </c>
      <c r="I17" s="54">
        <f>MMap!N22*VLOOKUP(B17,MMap!$F$13:$AU$36,MATCH('M_Input (WT)'!$C$4,MMap!$F$12:$AU$12,0),FALSE)</f>
        <v>0</v>
      </c>
      <c r="J17" s="34">
        <f>MMap!O22</f>
        <v>0</v>
      </c>
      <c r="Q17" s="38" t="s">
        <v>866</v>
      </c>
    </row>
    <row r="18" spans="1:17">
      <c r="A18" s="63" t="str">
        <f t="shared" si="0"/>
        <v>Streetlight - MH 1000W - New</v>
      </c>
      <c r="B18" s="32" t="str">
        <f>MMap!F23</f>
        <v>Streetlight - MH 1000W - Group Relamp - to LED 421W - New</v>
      </c>
      <c r="C18" s="33">
        <f>MMap!G23*VLOOKUP(B18,MMap!$F$13:$AU$36,MATCH('M_Input (WT)'!$C$4,MMap!$F$12:$AU$12,0),FALSE)</f>
        <v>1459.85</v>
      </c>
      <c r="D18" s="63">
        <f>MMap!L23</f>
        <v>11.627906976744185</v>
      </c>
      <c r="E18" s="35">
        <f>MMap!H23*VLOOKUP(B18,MMap!$F$13:$AU$36,MATCH('M_Input (WT)'!$C$4,MMap!$F$12:$AU$12,0),FALSE)</f>
        <v>266.0347316388702</v>
      </c>
      <c r="F18" s="35">
        <f>MMap!M23*VLOOKUP(B18,MMap!$F$13:$AU$36,MATCH('M_Input (WT)'!$C$4,MMap!$F$12:$AU$12,0),FALSE)</f>
        <v>0</v>
      </c>
      <c r="G18" s="36" t="s">
        <v>525</v>
      </c>
      <c r="I18" s="54">
        <f>MMap!N23*VLOOKUP(B18,MMap!$F$13:$AU$36,MATCH('M_Input (WT)'!$C$4,MMap!$F$12:$AU$12,0),FALSE)</f>
        <v>-42.5</v>
      </c>
      <c r="J18" s="34">
        <f>MMap!O23</f>
        <v>4</v>
      </c>
      <c r="Q18" s="38" t="s">
        <v>866</v>
      </c>
    </row>
    <row r="19" spans="1:17">
      <c r="A19" s="63" t="str">
        <f t="shared" si="0"/>
        <v>Streetlight - MH 1000W - New</v>
      </c>
      <c r="B19" s="32" t="str">
        <f>MMap!F24</f>
        <v>Streetlight - MH 1000W - Tariff Relamp - to LED 421W - New</v>
      </c>
      <c r="C19" s="33">
        <f>MMap!G24*VLOOKUP(B19,MMap!$F$13:$AU$36,MATCH('M_Input (WT)'!$C$4,MMap!$F$12:$AU$12,0),FALSE)</f>
        <v>1459.85</v>
      </c>
      <c r="D19" s="63">
        <f>MMap!L24</f>
        <v>11.627906976744185</v>
      </c>
      <c r="E19" s="35">
        <f>MMap!H24*VLOOKUP(B19,MMap!$F$13:$AU$36,MATCH('M_Input (WT)'!$C$4,MMap!$F$12:$AU$12,0),FALSE)</f>
        <v>266.0347316388702</v>
      </c>
      <c r="F19" s="35">
        <f>MMap!M24*VLOOKUP(B19,MMap!$F$13:$AU$36,MATCH('M_Input (WT)'!$C$4,MMap!$F$12:$AU$12,0),FALSE)</f>
        <v>-28</v>
      </c>
      <c r="G19" s="36" t="s">
        <v>525</v>
      </c>
      <c r="I19" s="54">
        <f>MMap!N24*VLOOKUP(B19,MMap!$F$13:$AU$36,MATCH('M_Input (WT)'!$C$4,MMap!$F$12:$AU$12,0),FALSE)</f>
        <v>0</v>
      </c>
      <c r="J19" s="34">
        <f>MMap!O24</f>
        <v>0</v>
      </c>
      <c r="Q19" s="38" t="s">
        <v>866</v>
      </c>
    </row>
    <row r="20" spans="1:17">
      <c r="A20" s="63" t="str">
        <f>LEFT(B20,22)&amp;" - NR"</f>
        <v>Streetlight - HPS 100W - NR</v>
      </c>
      <c r="B20" s="32" t="str">
        <f>MMap!F25</f>
        <v>Streetlight - HPS 100W - Group Relamp - to LED 42W - NR</v>
      </c>
      <c r="C20" s="33">
        <f>MMap!G25*VLOOKUP(B20,MMap!$F$13:$AU$36,MATCH('M_Input (WT)'!$C$4,MMap!$F$12:$AU$12,0),FALSE)</f>
        <v>84.924999999999983</v>
      </c>
      <c r="D20" s="63">
        <f>MMap!L25</f>
        <v>11.627906976744185</v>
      </c>
      <c r="E20" s="35">
        <f>MMap!H25*VLOOKUP(B20,MMap!$F$13:$AU$36,MATCH('M_Input (WT)'!$C$4,MMap!$F$12:$AU$12,0),FALSE)</f>
        <v>28.35202601226743</v>
      </c>
      <c r="F20" s="35">
        <f>MMap!M25*VLOOKUP(B20,MMap!$F$13:$AU$36,MATCH('M_Input (WT)'!$C$4,MMap!$F$12:$AU$12,0),FALSE)</f>
        <v>0</v>
      </c>
      <c r="G20" s="36" t="s">
        <v>525</v>
      </c>
      <c r="I20" s="54">
        <f>MMap!N25*VLOOKUP(B20,MMap!$F$13:$AU$36,MATCH('M_Input (WT)'!$C$4,MMap!$F$12:$AU$12,0),FALSE)</f>
        <v>-19.25</v>
      </c>
      <c r="J20" s="34">
        <f>MMap!O25</f>
        <v>5</v>
      </c>
      <c r="Q20" s="38" t="s">
        <v>866</v>
      </c>
    </row>
    <row r="21" spans="1:17">
      <c r="A21" s="63" t="str">
        <f t="shared" ref="A21:A31" si="1">LEFT(B21,22)&amp;" - NR"</f>
        <v>Streetlight - HPS 100W - NR</v>
      </c>
      <c r="B21" s="32" t="str">
        <f>MMap!F26</f>
        <v>Streetlight - HPS 100W - Tariff Relamp - to LED 42W - NR</v>
      </c>
      <c r="C21" s="33">
        <f>MMap!G26*VLOOKUP(B21,MMap!$F$13:$AU$36,MATCH('M_Input (WT)'!$C$4,MMap!$F$12:$AU$12,0),FALSE)</f>
        <v>84.924999999999983</v>
      </c>
      <c r="D21" s="63">
        <f>MMap!L26</f>
        <v>11.627906976744185</v>
      </c>
      <c r="E21" s="35">
        <f>MMap!H26*VLOOKUP(B21,MMap!$F$13:$AU$36,MATCH('M_Input (WT)'!$C$4,MMap!$F$12:$AU$12,0),FALSE)</f>
        <v>28.35202601226743</v>
      </c>
      <c r="F21" s="35">
        <f>MMap!M26*VLOOKUP(B21,MMap!$F$13:$AU$36,MATCH('M_Input (WT)'!$C$4,MMap!$F$12:$AU$12,0),FALSE)</f>
        <v>-14</v>
      </c>
      <c r="G21" s="36" t="s">
        <v>525</v>
      </c>
      <c r="I21" s="54">
        <f>MMap!N26*VLOOKUP(B21,MMap!$F$13:$AU$36,MATCH('M_Input (WT)'!$C$4,MMap!$F$12:$AU$12,0),FALSE)</f>
        <v>0</v>
      </c>
      <c r="J21" s="34">
        <f>MMap!O26</f>
        <v>0</v>
      </c>
      <c r="Q21" s="38" t="s">
        <v>866</v>
      </c>
    </row>
    <row r="22" spans="1:17">
      <c r="A22" s="63" t="str">
        <f t="shared" si="1"/>
        <v>Streetlight - HPS 100W - NR</v>
      </c>
      <c r="B22" s="32" t="str">
        <f>MMap!F27</f>
        <v>Streetlight - HPS 100W - Group Relamp - to LED 58W - NR</v>
      </c>
      <c r="C22" s="33">
        <f>MMap!G27*VLOOKUP(B22,MMap!$F$13:$AU$36,MATCH('M_Input (WT)'!$C$4,MMap!$F$12:$AU$12,0),FALSE)</f>
        <v>67.724999999999994</v>
      </c>
      <c r="D22" s="63">
        <f>MMap!L27</f>
        <v>11.627906976744185</v>
      </c>
      <c r="E22" s="35">
        <f>MMap!H27*VLOOKUP(B22,MMap!$F$13:$AU$36,MATCH('M_Input (WT)'!$C$4,MMap!$F$12:$AU$12,0),FALSE)</f>
        <v>28.35202601226743</v>
      </c>
      <c r="F22" s="35">
        <f>MMap!M27*VLOOKUP(B22,MMap!$F$13:$AU$36,MATCH('M_Input (WT)'!$C$4,MMap!$F$12:$AU$12,0),FALSE)</f>
        <v>0</v>
      </c>
      <c r="G22" s="36" t="s">
        <v>525</v>
      </c>
      <c r="I22" s="54">
        <f>MMap!N27*VLOOKUP(B22,MMap!$F$13:$AU$36,MATCH('M_Input (WT)'!$C$4,MMap!$F$12:$AU$12,0),FALSE)</f>
        <v>-19.25</v>
      </c>
      <c r="J22" s="34">
        <f>MMap!O27</f>
        <v>5</v>
      </c>
      <c r="Q22" s="38" t="s">
        <v>866</v>
      </c>
    </row>
    <row r="23" spans="1:17">
      <c r="A23" s="63" t="str">
        <f t="shared" si="1"/>
        <v>Streetlight - HPS 100W - NR</v>
      </c>
      <c r="B23" s="32" t="str">
        <f>MMap!F28</f>
        <v>Streetlight - HPS 100W - Tariff Relamp - to LED 58W - NR</v>
      </c>
      <c r="C23" s="33">
        <f>MMap!G28*VLOOKUP(B23,MMap!$F$13:$AU$36,MATCH('M_Input (WT)'!$C$4,MMap!$F$12:$AU$12,0),FALSE)</f>
        <v>67.724999999999994</v>
      </c>
      <c r="D23" s="63">
        <f>MMap!L28</f>
        <v>11.627906976744185</v>
      </c>
      <c r="E23" s="35">
        <f>MMap!H28*VLOOKUP(B23,MMap!$F$13:$AU$36,MATCH('M_Input (WT)'!$C$4,MMap!$F$12:$AU$12,0),FALSE)</f>
        <v>28.35202601226743</v>
      </c>
      <c r="F23" s="35">
        <f>MMap!M28*VLOOKUP(B23,MMap!$F$13:$AU$36,MATCH('M_Input (WT)'!$C$4,MMap!$F$12:$AU$12,0),FALSE)</f>
        <v>-14</v>
      </c>
      <c r="G23" s="36" t="s">
        <v>525</v>
      </c>
      <c r="I23" s="54">
        <f>MMap!N28*VLOOKUP(B23,MMap!$F$13:$AU$36,MATCH('M_Input (WT)'!$C$4,MMap!$F$12:$AU$12,0),FALSE)</f>
        <v>0</v>
      </c>
      <c r="J23" s="34">
        <f>MMap!O28</f>
        <v>0</v>
      </c>
      <c r="Q23" s="38" t="s">
        <v>866</v>
      </c>
    </row>
    <row r="24" spans="1:17">
      <c r="A24" s="63" t="str">
        <f t="shared" si="1"/>
        <v>Streetlight - MH 200W  - NR</v>
      </c>
      <c r="B24" s="32" t="str">
        <f>MMap!F29</f>
        <v>Streetlight - MH 200W - Group Relamp - to LED 135W - NR</v>
      </c>
      <c r="C24" s="33">
        <f>MMap!G29*VLOOKUP(B24,MMap!$F$13:$AU$36,MATCH('M_Input (WT)'!$C$4,MMap!$F$12:$AU$12,0),FALSE)</f>
        <v>197.8</v>
      </c>
      <c r="D24" s="63">
        <f>MMap!L29</f>
        <v>11.627906976744185</v>
      </c>
      <c r="E24" s="35">
        <f>MMap!H29*VLOOKUP(B24,MMap!$F$13:$AU$36,MATCH('M_Input (WT)'!$C$4,MMap!$F$12:$AU$12,0),FALSE)</f>
        <v>81.005788606478362</v>
      </c>
      <c r="F24" s="35">
        <f>MMap!M29*VLOOKUP(B24,MMap!$F$13:$AU$36,MATCH('M_Input (WT)'!$C$4,MMap!$F$12:$AU$12,0),FALSE)</f>
        <v>0</v>
      </c>
      <c r="G24" s="36" t="s">
        <v>525</v>
      </c>
      <c r="I24" s="54">
        <f>MMap!N29*VLOOKUP(B24,MMap!$F$13:$AU$36,MATCH('M_Input (WT)'!$C$4,MMap!$F$12:$AU$12,0),FALSE)</f>
        <v>-40</v>
      </c>
      <c r="J24" s="34">
        <f>MMap!O29</f>
        <v>5</v>
      </c>
      <c r="Q24" s="38" t="s">
        <v>866</v>
      </c>
    </row>
    <row r="25" spans="1:17">
      <c r="A25" s="63" t="str">
        <f t="shared" si="1"/>
        <v>Streetlight - MH 200W  - NR</v>
      </c>
      <c r="B25" s="32" t="str">
        <f>MMap!F30</f>
        <v>Streetlight - MH 200W - Tariff Relamp - to LED 135W - NR</v>
      </c>
      <c r="C25" s="33">
        <f>MMap!G30*VLOOKUP(B25,MMap!$F$13:$AU$36,MATCH('M_Input (WT)'!$C$4,MMap!$F$12:$AU$12,0),FALSE)</f>
        <v>197.8</v>
      </c>
      <c r="D25" s="63">
        <f>MMap!L30</f>
        <v>11.627906976744185</v>
      </c>
      <c r="E25" s="35">
        <f>MMap!H30*VLOOKUP(B25,MMap!$F$13:$AU$36,MATCH('M_Input (WT)'!$C$4,MMap!$F$12:$AU$12,0),FALSE)</f>
        <v>81.005788606478362</v>
      </c>
      <c r="F25" s="35">
        <f>MMap!M30*VLOOKUP(B25,MMap!$F$13:$AU$36,MATCH('M_Input (WT)'!$C$4,MMap!$F$12:$AU$12,0),FALSE)</f>
        <v>-28</v>
      </c>
      <c r="G25" s="36" t="s">
        <v>525</v>
      </c>
      <c r="I25" s="54">
        <f>MMap!N30*VLOOKUP(B25,MMap!$F$13:$AU$36,MATCH('M_Input (WT)'!$C$4,MMap!$F$12:$AU$12,0),FALSE)</f>
        <v>0</v>
      </c>
      <c r="J25" s="34">
        <f>MMap!O30</f>
        <v>0</v>
      </c>
      <c r="Q25" s="38" t="s">
        <v>866</v>
      </c>
    </row>
    <row r="26" spans="1:17">
      <c r="A26" s="63" t="str">
        <f t="shared" si="1"/>
        <v>Streetlight - HPS 250W - NR</v>
      </c>
      <c r="B26" s="32" t="str">
        <f>MMap!F31</f>
        <v>Streetlight - HPS 250W - Group Relamp - to LED 135W - NR</v>
      </c>
      <c r="C26" s="33">
        <f>MMap!G31*VLOOKUP(B26,MMap!$F$13:$AU$36,MATCH('M_Input (WT)'!$C$4,MMap!$F$12:$AU$12,0),FALSE)</f>
        <v>333.25</v>
      </c>
      <c r="D26" s="63">
        <f>MMap!L31</f>
        <v>11.627906976744185</v>
      </c>
      <c r="E26" s="35">
        <f>MMap!H31*VLOOKUP(B26,MMap!$F$13:$AU$36,MATCH('M_Input (WT)'!$C$4,MMap!$F$12:$AU$12,0),FALSE)</f>
        <v>81.005788606478362</v>
      </c>
      <c r="F26" s="35">
        <f>MMap!M31*VLOOKUP(B26,MMap!$F$13:$AU$36,MATCH('M_Input (WT)'!$C$4,MMap!$F$12:$AU$12,0),FALSE)</f>
        <v>0</v>
      </c>
      <c r="G26" s="36" t="s">
        <v>525</v>
      </c>
      <c r="I26" s="54">
        <f>MMap!N31*VLOOKUP(B26,MMap!$F$13:$AU$36,MATCH('M_Input (WT)'!$C$4,MMap!$F$12:$AU$12,0),FALSE)</f>
        <v>-40</v>
      </c>
      <c r="J26" s="34">
        <f>MMap!O31</f>
        <v>5</v>
      </c>
      <c r="Q26" s="38" t="s">
        <v>866</v>
      </c>
    </row>
    <row r="27" spans="1:17">
      <c r="A27" s="63" t="str">
        <f t="shared" si="1"/>
        <v>Streetlight - HPS 250W - NR</v>
      </c>
      <c r="B27" s="32" t="str">
        <f>MMap!F32</f>
        <v>Streetlight - HPS 250W - Tariff Relamp - to LED 135W - NR</v>
      </c>
      <c r="C27" s="33">
        <f>MMap!G32*VLOOKUP(B27,MMap!$F$13:$AU$36,MATCH('M_Input (WT)'!$C$4,MMap!$F$12:$AU$12,0),FALSE)</f>
        <v>333.25</v>
      </c>
      <c r="D27" s="63">
        <f>MMap!L32</f>
        <v>11.627906976744185</v>
      </c>
      <c r="E27" s="35">
        <f>MMap!H32*VLOOKUP(B27,MMap!$F$13:$AU$36,MATCH('M_Input (WT)'!$C$4,MMap!$F$12:$AU$12,0),FALSE)</f>
        <v>81.005788606478362</v>
      </c>
      <c r="F27" s="35">
        <f>MMap!M32*VLOOKUP(B27,MMap!$F$13:$AU$36,MATCH('M_Input (WT)'!$C$4,MMap!$F$12:$AU$12,0),FALSE)</f>
        <v>-28</v>
      </c>
      <c r="G27" s="36" t="s">
        <v>525</v>
      </c>
      <c r="I27" s="54">
        <f>MMap!N32*VLOOKUP(B27,MMap!$F$13:$AU$36,MATCH('M_Input (WT)'!$C$4,MMap!$F$12:$AU$12,0),FALSE)</f>
        <v>0</v>
      </c>
      <c r="J27" s="34">
        <f>MMap!O32</f>
        <v>0</v>
      </c>
      <c r="Q27" s="38" t="s">
        <v>866</v>
      </c>
    </row>
    <row r="28" spans="1:17">
      <c r="A28" s="63" t="str">
        <f t="shared" si="1"/>
        <v>Streetlight - MH 400W  - NR</v>
      </c>
      <c r="B28" s="32" t="str">
        <f>MMap!F33</f>
        <v>Streetlight - MH 400W - Group Relamp - to LED 180W - NR</v>
      </c>
      <c r="C28" s="33">
        <f>MMap!G33*VLOOKUP(B28,MMap!$F$13:$AU$36,MATCH('M_Input (WT)'!$C$4,MMap!$F$12:$AU$12,0),FALSE)</f>
        <v>576.20000000000005</v>
      </c>
      <c r="D28" s="63">
        <f>MMap!L33</f>
        <v>11.627906976744185</v>
      </c>
      <c r="E28" s="35">
        <f>MMap!H33*VLOOKUP(B28,MMap!$F$13:$AU$36,MATCH('M_Input (WT)'!$C$4,MMap!$F$12:$AU$12,0),FALSE)</f>
        <v>162.01157721295672</v>
      </c>
      <c r="F28" s="35">
        <f>MMap!M33*VLOOKUP(B28,MMap!$F$13:$AU$36,MATCH('M_Input (WT)'!$C$4,MMap!$F$12:$AU$12,0),FALSE)</f>
        <v>0</v>
      </c>
      <c r="G28" s="36" t="s">
        <v>525</v>
      </c>
      <c r="I28" s="54">
        <f>MMap!N33*VLOOKUP(B28,MMap!$F$13:$AU$36,MATCH('M_Input (WT)'!$C$4,MMap!$F$12:$AU$12,0),FALSE)</f>
        <v>-41.5</v>
      </c>
      <c r="J28" s="34">
        <f>MMap!O33</f>
        <v>4</v>
      </c>
      <c r="Q28" s="38" t="s">
        <v>866</v>
      </c>
    </row>
    <row r="29" spans="1:17">
      <c r="A29" s="63" t="str">
        <f t="shared" si="1"/>
        <v>Streetlight - MH 400W  - NR</v>
      </c>
      <c r="B29" s="32" t="str">
        <f>MMap!F34</f>
        <v>Streetlight - MH 400W - Tariff Relamp - to LED 180W - NR</v>
      </c>
      <c r="C29" s="33">
        <f>MMap!G34*VLOOKUP(B29,MMap!$F$13:$AU$36,MATCH('M_Input (WT)'!$C$4,MMap!$F$12:$AU$12,0),FALSE)</f>
        <v>576.20000000000005</v>
      </c>
      <c r="D29" s="63">
        <f>MMap!L34</f>
        <v>11.627906976744185</v>
      </c>
      <c r="E29" s="35">
        <f>MMap!H34*VLOOKUP(B29,MMap!$F$13:$AU$36,MATCH('M_Input (WT)'!$C$4,MMap!$F$12:$AU$12,0),FALSE)</f>
        <v>162.01157721295672</v>
      </c>
      <c r="F29" s="35">
        <f>MMap!M34*VLOOKUP(B29,MMap!$F$13:$AU$36,MATCH('M_Input (WT)'!$C$4,MMap!$F$12:$AU$12,0),FALSE)</f>
        <v>-28</v>
      </c>
      <c r="G29" s="36" t="s">
        <v>525</v>
      </c>
      <c r="I29" s="54">
        <f>MMap!N34*VLOOKUP(B29,MMap!$F$13:$AU$36,MATCH('M_Input (WT)'!$C$4,MMap!$F$12:$AU$12,0),FALSE)</f>
        <v>0</v>
      </c>
      <c r="J29" s="34">
        <f>MMap!O34</f>
        <v>0</v>
      </c>
      <c r="Q29" s="38" t="s">
        <v>866</v>
      </c>
    </row>
    <row r="30" spans="1:17">
      <c r="A30" s="63" t="str">
        <f t="shared" si="1"/>
        <v>Streetlight - MH 1000W - NR</v>
      </c>
      <c r="B30" s="32" t="str">
        <f>MMap!F35</f>
        <v>Streetlight - MH 1000W - Group Relamp - to LED 421W - NR</v>
      </c>
      <c r="C30" s="33">
        <f>MMap!G35*VLOOKUP(B30,MMap!$F$13:$AU$36,MATCH('M_Input (WT)'!$C$4,MMap!$F$12:$AU$12,0),FALSE)</f>
        <v>1459.85</v>
      </c>
      <c r="D30" s="63">
        <f>MMap!L35</f>
        <v>11.627906976744185</v>
      </c>
      <c r="E30" s="35">
        <f>MMap!H35*VLOOKUP(B30,MMap!$F$13:$AU$36,MATCH('M_Input (WT)'!$C$4,MMap!$F$12:$AU$12,0),FALSE)</f>
        <v>486.0347316388702</v>
      </c>
      <c r="F30" s="35">
        <f>MMap!M35*VLOOKUP(B30,MMap!$F$13:$AU$36,MATCH('M_Input (WT)'!$C$4,MMap!$F$12:$AU$12,0),FALSE)</f>
        <v>0</v>
      </c>
      <c r="G30" s="36" t="s">
        <v>525</v>
      </c>
      <c r="I30" s="54">
        <f>MMap!N35*VLOOKUP(B30,MMap!$F$13:$AU$36,MATCH('M_Input (WT)'!$C$4,MMap!$F$12:$AU$12,0),FALSE)</f>
        <v>-42.5</v>
      </c>
      <c r="J30" s="34">
        <f>MMap!O35</f>
        <v>4</v>
      </c>
      <c r="Q30" s="38" t="s">
        <v>866</v>
      </c>
    </row>
    <row r="31" spans="1:17">
      <c r="A31" s="63" t="str">
        <f t="shared" si="1"/>
        <v>Streetlight - MH 1000W - NR</v>
      </c>
      <c r="B31" s="32" t="str">
        <f>MMap!F36</f>
        <v>Streetlight - MH 1000W - Tariff Relamp - to LED 421W - NR</v>
      </c>
      <c r="C31" s="33">
        <f>MMap!G36*VLOOKUP(B31,MMap!$F$13:$AU$36,MATCH('M_Input (WT)'!$C$4,MMap!$F$12:$AU$12,0),FALSE)</f>
        <v>1459.85</v>
      </c>
      <c r="D31" s="63">
        <f>MMap!L36</f>
        <v>11.627906976744185</v>
      </c>
      <c r="E31" s="35">
        <f>MMap!H36*VLOOKUP(B31,MMap!$F$13:$AU$36,MATCH('M_Input (WT)'!$C$4,MMap!$F$12:$AU$12,0),FALSE)</f>
        <v>486.0347316388702</v>
      </c>
      <c r="F31" s="35">
        <f>MMap!M36*VLOOKUP(B31,MMap!$F$13:$AU$36,MATCH('M_Input (WT)'!$C$4,MMap!$F$12:$AU$12,0),FALSE)</f>
        <v>-28</v>
      </c>
      <c r="G31" s="36" t="s">
        <v>525</v>
      </c>
      <c r="I31" s="54">
        <f>MMap!N36*VLOOKUP(B31,MMap!$F$13:$AU$36,MATCH('M_Input (WT)'!$C$4,MMap!$F$12:$AU$12,0),FALSE)</f>
        <v>0</v>
      </c>
      <c r="J31" s="34">
        <f>MMap!O36</f>
        <v>0</v>
      </c>
      <c r="Q31" s="38" t="s">
        <v>866</v>
      </c>
    </row>
    <row r="34" spans="1:131">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row>
    <row r="35" spans="1:131">
      <c r="A35" s="365" t="s">
        <v>534</v>
      </c>
      <c r="B35" s="366"/>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row>
    <row r="36" spans="1:131">
      <c r="A36" s="11" t="s">
        <v>535</v>
      </c>
      <c r="B36" s="11" t="s">
        <v>536</v>
      </c>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row>
    <row r="37" spans="1:131">
      <c r="A37" s="11" t="s">
        <v>537</v>
      </c>
      <c r="B37" s="11" t="s">
        <v>1065</v>
      </c>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row>
    <row r="38" spans="1:131">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row>
    <row r="39" spans="1:131" ht="13.5" thickBot="1">
      <c r="A39" s="367" t="s">
        <v>538</v>
      </c>
      <c r="B39" s="368"/>
      <c r="C39" s="368"/>
      <c r="D39" s="368"/>
      <c r="E39" s="368"/>
      <c r="F39" s="368"/>
      <c r="G39" s="368"/>
      <c r="H39" s="368"/>
      <c r="I39" s="368"/>
      <c r="J39" s="368"/>
      <c r="K39" s="368"/>
      <c r="L39" s="368"/>
      <c r="M39" s="368"/>
      <c r="N39" s="368"/>
      <c r="O39" s="368"/>
      <c r="P39" s="368"/>
      <c r="Q39" s="368"/>
      <c r="R39" s="368"/>
      <c r="S39" s="368"/>
      <c r="T39" s="368"/>
      <c r="U39" s="368"/>
      <c r="V39" s="368"/>
      <c r="W39" s="368"/>
      <c r="X39" s="368"/>
      <c r="Y39" s="368"/>
      <c r="Z39" s="368"/>
      <c r="AA39" s="368"/>
      <c r="AB39" s="368"/>
      <c r="AC39" s="368"/>
      <c r="AD39" s="368"/>
      <c r="AE39" s="368"/>
      <c r="AF39" s="368"/>
      <c r="AG39" s="368"/>
      <c r="AH39" s="368"/>
      <c r="AI39" s="369"/>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row>
    <row r="40" spans="1:131">
      <c r="A40" s="11"/>
      <c r="B40" s="150" t="s">
        <v>539</v>
      </c>
      <c r="C40" s="151"/>
      <c r="D40" s="151" t="s">
        <v>539</v>
      </c>
      <c r="E40" s="152"/>
      <c r="F40" s="11"/>
      <c r="G40" s="150" t="s">
        <v>540</v>
      </c>
      <c r="H40" s="151"/>
      <c r="I40" s="151"/>
      <c r="J40" s="151"/>
      <c r="K40" s="151"/>
      <c r="L40" s="151"/>
      <c r="M40" s="151"/>
      <c r="N40" s="151"/>
      <c r="O40" s="152"/>
      <c r="P40" s="11"/>
      <c r="Q40" s="150" t="s">
        <v>541</v>
      </c>
      <c r="R40" s="151"/>
      <c r="S40" s="151"/>
      <c r="T40" s="151"/>
      <c r="U40" s="152"/>
      <c r="V40" s="11"/>
      <c r="W40" s="150" t="s">
        <v>542</v>
      </c>
      <c r="X40" s="152"/>
      <c r="Y40" s="11"/>
      <c r="Z40" s="150" t="s">
        <v>543</v>
      </c>
      <c r="AA40" s="151"/>
      <c r="AB40" s="152"/>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row>
    <row r="41" spans="1:131">
      <c r="A41" s="11"/>
      <c r="B41" s="148" t="s">
        <v>544</v>
      </c>
      <c r="C41" s="115" t="s">
        <v>545</v>
      </c>
      <c r="D41" s="115" t="s">
        <v>544</v>
      </c>
      <c r="E41" s="149" t="s">
        <v>545</v>
      </c>
      <c r="F41" s="11"/>
      <c r="G41" s="148" t="s">
        <v>546</v>
      </c>
      <c r="H41" s="115" t="s">
        <v>1066</v>
      </c>
      <c r="I41" s="115"/>
      <c r="J41" s="115"/>
      <c r="K41" s="115" t="s">
        <v>547</v>
      </c>
      <c r="L41" s="115"/>
      <c r="M41" s="115"/>
      <c r="N41" s="115"/>
      <c r="O41" s="149"/>
      <c r="P41" s="11"/>
      <c r="Q41" s="148"/>
      <c r="R41" s="115" t="s">
        <v>327</v>
      </c>
      <c r="S41" s="115" t="s">
        <v>548</v>
      </c>
      <c r="T41" s="115" t="s">
        <v>549</v>
      </c>
      <c r="U41" s="149" t="s">
        <v>550</v>
      </c>
      <c r="V41" s="11"/>
      <c r="W41" s="148" t="s">
        <v>551</v>
      </c>
      <c r="X41" s="149">
        <v>20</v>
      </c>
      <c r="Y41" s="11"/>
      <c r="Z41" s="148"/>
      <c r="AA41" s="115" t="s">
        <v>545</v>
      </c>
      <c r="AB41" s="149" t="s">
        <v>552</v>
      </c>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row>
    <row r="42" spans="1:131">
      <c r="A42" s="11"/>
      <c r="B42" s="148" t="s">
        <v>553</v>
      </c>
      <c r="C42" s="115" t="s">
        <v>554</v>
      </c>
      <c r="D42" s="115" t="s">
        <v>553</v>
      </c>
      <c r="E42" s="149" t="s">
        <v>554</v>
      </c>
      <c r="F42" s="11"/>
      <c r="G42" s="148" t="s">
        <v>555</v>
      </c>
      <c r="H42" s="115" t="s">
        <v>556</v>
      </c>
      <c r="I42" s="115"/>
      <c r="J42" s="115"/>
      <c r="K42" s="115" t="s">
        <v>557</v>
      </c>
      <c r="L42" s="115"/>
      <c r="M42" s="115"/>
      <c r="N42" s="115"/>
      <c r="O42" s="149"/>
      <c r="P42" s="11"/>
      <c r="Q42" s="148" t="s">
        <v>558</v>
      </c>
      <c r="R42" s="115">
        <v>6.8012888465852586E-2</v>
      </c>
      <c r="S42" s="115">
        <v>4.387844424080023E-2</v>
      </c>
      <c r="T42" s="115">
        <v>5.3289007766645871E-2</v>
      </c>
      <c r="U42" s="149">
        <v>5.447903102274565E-2</v>
      </c>
      <c r="V42" s="11"/>
      <c r="W42" s="148" t="s">
        <v>559</v>
      </c>
      <c r="X42" s="149">
        <v>2016</v>
      </c>
      <c r="Y42" s="11"/>
      <c r="Z42" s="148" t="s">
        <v>560</v>
      </c>
      <c r="AA42" s="115">
        <v>4.03890184699085E-3</v>
      </c>
      <c r="AB42" s="149">
        <v>0.01</v>
      </c>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row>
    <row r="43" spans="1:131">
      <c r="A43" s="11"/>
      <c r="B43" s="148" t="s">
        <v>561</v>
      </c>
      <c r="C43" s="115" t="s">
        <v>562</v>
      </c>
      <c r="D43" s="115" t="s">
        <v>561</v>
      </c>
      <c r="E43" s="149" t="s">
        <v>562</v>
      </c>
      <c r="F43" s="11"/>
      <c r="G43" s="148" t="s">
        <v>563</v>
      </c>
      <c r="H43" s="115" t="s">
        <v>564</v>
      </c>
      <c r="I43" s="115"/>
      <c r="J43" s="115"/>
      <c r="K43" s="115" t="s">
        <v>565</v>
      </c>
      <c r="L43" s="115"/>
      <c r="M43" s="115"/>
      <c r="N43" s="115"/>
      <c r="O43" s="149"/>
      <c r="P43" s="11"/>
      <c r="Q43" s="148" t="s">
        <v>566</v>
      </c>
      <c r="R43" s="115">
        <v>12</v>
      </c>
      <c r="S43" s="115">
        <v>12</v>
      </c>
      <c r="T43" s="115">
        <v>1</v>
      </c>
      <c r="U43" s="149">
        <v>1</v>
      </c>
      <c r="V43" s="11"/>
      <c r="W43" s="148" t="s">
        <v>567</v>
      </c>
      <c r="X43" s="149">
        <v>2016</v>
      </c>
      <c r="Y43" s="11"/>
      <c r="Z43" s="148" t="s">
        <v>568</v>
      </c>
      <c r="AA43" s="115">
        <v>26</v>
      </c>
      <c r="AB43" s="149">
        <v>0</v>
      </c>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row>
    <row r="44" spans="1:131" ht="13.5" thickBot="1">
      <c r="A44" s="11"/>
      <c r="B44" s="163" t="s">
        <v>569</v>
      </c>
      <c r="C44" s="370" t="s">
        <v>562</v>
      </c>
      <c r="D44" s="370" t="s">
        <v>569</v>
      </c>
      <c r="E44" s="371" t="s">
        <v>562</v>
      </c>
      <c r="F44" s="11"/>
      <c r="G44" s="148" t="s">
        <v>570</v>
      </c>
      <c r="H44" s="115" t="s">
        <v>571</v>
      </c>
      <c r="I44" s="115"/>
      <c r="J44" s="115"/>
      <c r="K44" s="115" t="s">
        <v>557</v>
      </c>
      <c r="L44" s="115"/>
      <c r="M44" s="115"/>
      <c r="N44" s="115"/>
      <c r="O44" s="149"/>
      <c r="P44" s="11"/>
      <c r="Q44" s="148"/>
      <c r="R44" s="115" t="s">
        <v>327</v>
      </c>
      <c r="S44" s="115" t="s">
        <v>548</v>
      </c>
      <c r="T44" s="115" t="s">
        <v>549</v>
      </c>
      <c r="U44" s="149" t="s">
        <v>550</v>
      </c>
      <c r="V44" s="11"/>
      <c r="W44" s="148" t="s">
        <v>572</v>
      </c>
      <c r="X44" s="149">
        <v>2012</v>
      </c>
      <c r="Y44" s="11"/>
      <c r="Z44" s="148" t="s">
        <v>573</v>
      </c>
      <c r="AA44" s="115">
        <v>0.9</v>
      </c>
      <c r="AB44" s="149" t="s">
        <v>574</v>
      </c>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row>
    <row r="45" spans="1:131">
      <c r="A45" s="11"/>
      <c r="B45" s="11"/>
      <c r="C45" s="11"/>
      <c r="D45" s="11"/>
      <c r="E45" s="11"/>
      <c r="F45" s="11"/>
      <c r="G45" s="148" t="s">
        <v>575</v>
      </c>
      <c r="H45" s="115" t="s">
        <v>564</v>
      </c>
      <c r="I45" s="115"/>
      <c r="J45" s="115"/>
      <c r="K45" s="115"/>
      <c r="L45" s="115"/>
      <c r="M45" s="115"/>
      <c r="N45" s="115"/>
      <c r="O45" s="149"/>
      <c r="P45" s="11"/>
      <c r="Q45" s="148" t="s">
        <v>576</v>
      </c>
      <c r="R45" s="115">
        <v>0.35</v>
      </c>
      <c r="S45" s="115">
        <v>0.19500000000000001</v>
      </c>
      <c r="T45" s="115">
        <v>0.45499999999999996</v>
      </c>
      <c r="U45" s="149">
        <v>0</v>
      </c>
      <c r="V45" s="11"/>
      <c r="W45" s="148" t="s">
        <v>577</v>
      </c>
      <c r="X45" s="149">
        <v>0.04</v>
      </c>
      <c r="Y45" s="11"/>
      <c r="Z45" s="148" t="s">
        <v>578</v>
      </c>
      <c r="AA45" s="115">
        <v>4.7399348199455904E-2</v>
      </c>
      <c r="AB45" s="149">
        <v>0</v>
      </c>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row>
    <row r="46" spans="1:131">
      <c r="A46" s="11"/>
      <c r="B46" s="11" t="s">
        <v>579</v>
      </c>
      <c r="C46" s="11" t="s">
        <v>545</v>
      </c>
      <c r="D46" s="11"/>
      <c r="E46" s="11"/>
      <c r="F46" s="11"/>
      <c r="G46" s="148" t="s">
        <v>580</v>
      </c>
      <c r="H46" s="115" t="s">
        <v>581</v>
      </c>
      <c r="I46" s="115"/>
      <c r="J46" s="115"/>
      <c r="K46" s="115" t="s">
        <v>582</v>
      </c>
      <c r="L46" s="115"/>
      <c r="M46" s="115"/>
      <c r="N46" s="115"/>
      <c r="O46" s="149"/>
      <c r="P46" s="11"/>
      <c r="Q46" s="148" t="s">
        <v>583</v>
      </c>
      <c r="R46" s="115">
        <v>1</v>
      </c>
      <c r="S46" s="115">
        <v>0</v>
      </c>
      <c r="T46" s="115">
        <v>0</v>
      </c>
      <c r="U46" s="149">
        <v>0</v>
      </c>
      <c r="V46" s="11"/>
      <c r="W46" s="148" t="s">
        <v>584</v>
      </c>
      <c r="X46" s="149">
        <v>0</v>
      </c>
      <c r="Y46" s="11"/>
      <c r="Z46" s="148" t="s">
        <v>585</v>
      </c>
      <c r="AA46" s="115">
        <v>31</v>
      </c>
      <c r="AB46" s="149">
        <v>0</v>
      </c>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row>
    <row r="47" spans="1:131">
      <c r="A47" s="11"/>
      <c r="B47" s="11" t="s">
        <v>586</v>
      </c>
      <c r="C47" s="11" t="s">
        <v>587</v>
      </c>
      <c r="D47" s="11"/>
      <c r="E47" s="11"/>
      <c r="F47" s="11"/>
      <c r="G47" s="148" t="s">
        <v>588</v>
      </c>
      <c r="H47" s="115" t="s">
        <v>582</v>
      </c>
      <c r="I47" s="115"/>
      <c r="J47" s="115"/>
      <c r="K47" s="115" t="s">
        <v>589</v>
      </c>
      <c r="L47" s="115"/>
      <c r="M47" s="115"/>
      <c r="N47" s="115"/>
      <c r="O47" s="149"/>
      <c r="P47" s="11"/>
      <c r="Q47" s="148" t="s">
        <v>590</v>
      </c>
      <c r="R47" s="115">
        <v>1</v>
      </c>
      <c r="S47" s="115">
        <v>0</v>
      </c>
      <c r="T47" s="115">
        <v>0</v>
      </c>
      <c r="U47" s="149">
        <v>0</v>
      </c>
      <c r="V47" s="11"/>
      <c r="W47" s="148" t="s">
        <v>591</v>
      </c>
      <c r="X47" s="149">
        <v>0.2</v>
      </c>
      <c r="Y47" s="11"/>
      <c r="Z47" s="148" t="s">
        <v>592</v>
      </c>
      <c r="AA47" s="115">
        <v>0.7</v>
      </c>
      <c r="AB47" s="149" t="s">
        <v>574</v>
      </c>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row>
    <row r="48" spans="1:131">
      <c r="A48" s="11"/>
      <c r="B48" s="11" t="s">
        <v>593</v>
      </c>
      <c r="C48" s="11" t="s">
        <v>594</v>
      </c>
      <c r="D48" s="11"/>
      <c r="E48" s="11"/>
      <c r="F48" s="11"/>
      <c r="G48" s="148" t="s">
        <v>595</v>
      </c>
      <c r="H48" s="115" t="s">
        <v>589</v>
      </c>
      <c r="I48" s="115"/>
      <c r="J48" s="115"/>
      <c r="K48" s="115" t="s">
        <v>596</v>
      </c>
      <c r="L48" s="115"/>
      <c r="M48" s="115"/>
      <c r="N48" s="115"/>
      <c r="O48" s="149"/>
      <c r="P48" s="11"/>
      <c r="Q48" s="148" t="s">
        <v>597</v>
      </c>
      <c r="R48" s="115"/>
      <c r="S48" s="115">
        <v>0.3</v>
      </c>
      <c r="T48" s="115">
        <v>0.7</v>
      </c>
      <c r="U48" s="149">
        <v>0</v>
      </c>
      <c r="V48" s="11"/>
      <c r="W48" s="148" t="s">
        <v>598</v>
      </c>
      <c r="X48" s="149">
        <v>0</v>
      </c>
      <c r="Y48" s="11"/>
      <c r="Z48" s="148" t="s">
        <v>599</v>
      </c>
      <c r="AA48" s="115">
        <v>0</v>
      </c>
      <c r="AB48" s="149">
        <v>0</v>
      </c>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row>
    <row r="49" spans="1:131" ht="13.5" thickBot="1">
      <c r="A49" s="11"/>
      <c r="B49" s="11" t="s">
        <v>600</v>
      </c>
      <c r="C49" s="11" t="s">
        <v>601</v>
      </c>
      <c r="D49" s="11"/>
      <c r="E49" s="11"/>
      <c r="F49" s="11"/>
      <c r="G49" s="163" t="s">
        <v>602</v>
      </c>
      <c r="H49" s="370" t="s">
        <v>596</v>
      </c>
      <c r="I49" s="370"/>
      <c r="J49" s="370"/>
      <c r="K49" s="370"/>
      <c r="L49" s="370"/>
      <c r="M49" s="370"/>
      <c r="N49" s="370"/>
      <c r="O49" s="371"/>
      <c r="P49" s="11"/>
      <c r="Q49" s="163" t="s">
        <v>603</v>
      </c>
      <c r="R49" s="370"/>
      <c r="S49" s="370">
        <v>20</v>
      </c>
      <c r="T49" s="370"/>
      <c r="U49" s="371"/>
      <c r="V49" s="11"/>
      <c r="W49" s="163" t="s">
        <v>604</v>
      </c>
      <c r="X49" s="371">
        <v>2018</v>
      </c>
      <c r="Y49" s="11"/>
      <c r="Z49" s="163" t="s">
        <v>605</v>
      </c>
      <c r="AA49" s="370">
        <v>0</v>
      </c>
      <c r="AB49" s="371">
        <v>0</v>
      </c>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row>
    <row r="50" spans="1:131">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row>
    <row r="51" spans="1:131">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row>
    <row r="52" spans="1:131">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row>
    <row r="53" spans="1:131">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row>
    <row r="54" spans="1:131">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row>
    <row r="55" spans="1:131">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row>
    <row r="56" spans="1:131">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row>
    <row r="57" spans="1:131" ht="13.5" thickBot="1">
      <c r="A57" s="367" t="s">
        <v>606</v>
      </c>
      <c r="B57" s="369"/>
      <c r="C57" s="32"/>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2"/>
      <c r="AI57" s="32"/>
      <c r="AJ57" s="32"/>
      <c r="AK57" s="32"/>
      <c r="AL57" s="32"/>
      <c r="AM57" s="32"/>
      <c r="AN57" s="32"/>
      <c r="AO57" s="32"/>
      <c r="AP57" s="32"/>
      <c r="AQ57" s="32"/>
      <c r="AR57" s="32"/>
      <c r="AS57" s="32"/>
      <c r="AT57" s="32"/>
      <c r="AU57" s="32"/>
      <c r="AV57" s="32"/>
      <c r="AW57" s="32"/>
      <c r="AX57" s="32"/>
      <c r="AY57" s="32"/>
      <c r="AZ57" s="32"/>
      <c r="BA57" s="32"/>
      <c r="BB57" s="32"/>
      <c r="BC57" s="32"/>
      <c r="BD57" s="32"/>
      <c r="BE57" s="32"/>
      <c r="BF57" s="32"/>
      <c r="BG57" s="32"/>
      <c r="BH57" s="32"/>
      <c r="BI57" s="32"/>
      <c r="BJ57" s="32"/>
      <c r="BK57" s="32"/>
      <c r="BL57" s="32"/>
      <c r="BM57" s="32"/>
      <c r="BN57" s="32"/>
      <c r="BO57" s="32"/>
      <c r="BP57" s="32"/>
      <c r="BQ57" s="32"/>
      <c r="BR57" s="32"/>
      <c r="BS57" s="32"/>
      <c r="BT57" s="32"/>
      <c r="BU57" s="32"/>
      <c r="BV57" s="32"/>
      <c r="BW57" s="32"/>
      <c r="BX57" s="32"/>
      <c r="BY57" s="32"/>
      <c r="BZ57" s="32"/>
      <c r="CA57" s="32"/>
      <c r="CB57" s="32"/>
      <c r="CC57" s="32"/>
      <c r="CD57" s="32"/>
      <c r="CE57" s="32"/>
      <c r="CF57" s="32"/>
      <c r="CG57" s="32"/>
      <c r="CH57" s="32"/>
      <c r="CI57" s="32"/>
      <c r="CJ57" s="32"/>
      <c r="CK57" s="32"/>
      <c r="CL57" s="32"/>
      <c r="CM57" s="32"/>
      <c r="CN57" s="32"/>
      <c r="CO57" s="32"/>
      <c r="CP57" s="32"/>
      <c r="CQ57" s="32"/>
      <c r="CR57" s="32"/>
      <c r="CS57" s="32"/>
      <c r="CT57" s="32"/>
      <c r="CU57" s="32"/>
      <c r="CV57" s="32"/>
      <c r="CW57" s="32"/>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row>
    <row r="58" spans="1:131" ht="26.25" thickBot="1">
      <c r="A58" s="372" t="s">
        <v>291</v>
      </c>
      <c r="B58" s="373"/>
      <c r="C58" s="374" t="s">
        <v>292</v>
      </c>
      <c r="D58" s="375"/>
      <c r="E58" s="375"/>
      <c r="F58" s="375"/>
      <c r="G58" s="375"/>
      <c r="H58" s="375"/>
      <c r="I58" s="375"/>
      <c r="J58" s="375"/>
      <c r="K58" s="376"/>
      <c r="L58" s="374" t="s">
        <v>102</v>
      </c>
      <c r="M58" s="375"/>
      <c r="N58" s="375"/>
      <c r="O58" s="375"/>
      <c r="P58" s="375"/>
      <c r="Q58" s="376"/>
      <c r="R58" s="374" t="s">
        <v>293</v>
      </c>
      <c r="S58" s="375"/>
      <c r="T58" s="375"/>
      <c r="U58" s="376"/>
      <c r="V58" s="374" t="s">
        <v>294</v>
      </c>
      <c r="W58" s="375"/>
      <c r="X58" s="375"/>
      <c r="Y58" s="376"/>
      <c r="Z58" s="374" t="s">
        <v>295</v>
      </c>
      <c r="AA58" s="375"/>
      <c r="AB58" s="375"/>
      <c r="AC58" s="376"/>
      <c r="AD58" s="374" t="s">
        <v>296</v>
      </c>
      <c r="AE58" s="375"/>
      <c r="AF58" s="375"/>
      <c r="AG58" s="376"/>
      <c r="AH58" s="374" t="s">
        <v>297</v>
      </c>
      <c r="AI58" s="375"/>
      <c r="AJ58" s="375"/>
      <c r="AK58" s="375"/>
      <c r="AL58" s="376"/>
      <c r="AM58" s="374" t="s">
        <v>298</v>
      </c>
      <c r="AN58" s="375"/>
      <c r="AO58" s="375"/>
      <c r="AP58" s="375"/>
      <c r="AQ58" s="375"/>
      <c r="AR58" s="375"/>
      <c r="AS58" s="376"/>
      <c r="AT58" s="374" t="s">
        <v>299</v>
      </c>
      <c r="AU58" s="375"/>
      <c r="AV58" s="375"/>
      <c r="AW58" s="375"/>
      <c r="AX58" s="375"/>
      <c r="AY58" s="375"/>
      <c r="AZ58" s="376"/>
      <c r="BA58" s="374" t="s">
        <v>300</v>
      </c>
      <c r="BB58" s="375"/>
      <c r="BC58" s="375"/>
      <c r="BD58" s="375"/>
      <c r="BE58" s="375"/>
      <c r="BF58" s="376"/>
      <c r="BG58" s="374" t="s">
        <v>301</v>
      </c>
      <c r="BH58" s="376"/>
      <c r="BI58" s="374" t="s">
        <v>302</v>
      </c>
      <c r="BJ58" s="375"/>
      <c r="BK58" s="375"/>
      <c r="BL58" s="375"/>
      <c r="BM58" s="376"/>
      <c r="BN58" s="374" t="s">
        <v>303</v>
      </c>
      <c r="BO58" s="375"/>
      <c r="BP58" s="375"/>
      <c r="BQ58" s="375"/>
      <c r="BR58" s="375"/>
      <c r="BS58" s="375"/>
      <c r="BT58" s="375"/>
      <c r="BU58" s="375"/>
      <c r="BV58" s="375"/>
      <c r="BW58" s="375"/>
      <c r="BX58" s="375"/>
      <c r="BY58" s="375"/>
      <c r="BZ58" s="375"/>
      <c r="CA58" s="375"/>
      <c r="CB58" s="375"/>
      <c r="CC58" s="376"/>
      <c r="CD58" s="374" t="s">
        <v>304</v>
      </c>
      <c r="CE58" s="376"/>
      <c r="CF58" s="374" t="s">
        <v>305</v>
      </c>
      <c r="CG58" s="375"/>
      <c r="CH58" s="375"/>
      <c r="CI58" s="375"/>
      <c r="CJ58" s="375"/>
      <c r="CK58" s="376"/>
      <c r="CL58" s="377"/>
      <c r="CM58" s="374" t="s">
        <v>15</v>
      </c>
      <c r="CN58" s="375"/>
      <c r="CO58" s="375"/>
      <c r="CP58" s="376"/>
      <c r="CQ58" s="374" t="s">
        <v>306</v>
      </c>
      <c r="CR58" s="375"/>
      <c r="CS58" s="375"/>
      <c r="CT58" s="375"/>
      <c r="CU58" s="376"/>
      <c r="CV58" s="374" t="s">
        <v>307</v>
      </c>
      <c r="CW58" s="376"/>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row>
    <row r="59" spans="1:131" ht="127.5">
      <c r="A59" s="378" t="s">
        <v>308</v>
      </c>
      <c r="B59" s="379" t="s">
        <v>309</v>
      </c>
      <c r="C59" s="380" t="s">
        <v>8</v>
      </c>
      <c r="D59" s="380" t="s">
        <v>310</v>
      </c>
      <c r="E59" s="380" t="s">
        <v>311</v>
      </c>
      <c r="F59" s="380" t="s">
        <v>312</v>
      </c>
      <c r="G59" s="380" t="s">
        <v>313</v>
      </c>
      <c r="H59" s="380" t="s">
        <v>314</v>
      </c>
      <c r="I59" s="380" t="s">
        <v>315</v>
      </c>
      <c r="J59" s="380" t="s">
        <v>316</v>
      </c>
      <c r="K59" s="380" t="s">
        <v>317</v>
      </c>
      <c r="L59" s="380" t="s">
        <v>318</v>
      </c>
      <c r="M59" s="380" t="s">
        <v>319</v>
      </c>
      <c r="N59" s="380" t="s">
        <v>320</v>
      </c>
      <c r="O59" s="380" t="s">
        <v>321</v>
      </c>
      <c r="P59" s="380" t="s">
        <v>322</v>
      </c>
      <c r="Q59" s="380" t="s">
        <v>323</v>
      </c>
      <c r="R59" s="380" t="s">
        <v>324</v>
      </c>
      <c r="S59" s="380" t="s">
        <v>325</v>
      </c>
      <c r="T59" s="380" t="s">
        <v>326</v>
      </c>
      <c r="U59" s="380" t="s">
        <v>327</v>
      </c>
      <c r="V59" s="380" t="s">
        <v>324</v>
      </c>
      <c r="W59" s="380" t="s">
        <v>325</v>
      </c>
      <c r="X59" s="380" t="s">
        <v>326</v>
      </c>
      <c r="Y59" s="380" t="s">
        <v>327</v>
      </c>
      <c r="Z59" s="380" t="s">
        <v>324</v>
      </c>
      <c r="AA59" s="380" t="s">
        <v>325</v>
      </c>
      <c r="AB59" s="380" t="s">
        <v>326</v>
      </c>
      <c r="AC59" s="380" t="s">
        <v>327</v>
      </c>
      <c r="AD59" s="380" t="s">
        <v>324</v>
      </c>
      <c r="AE59" s="380" t="s">
        <v>325</v>
      </c>
      <c r="AF59" s="380" t="s">
        <v>326</v>
      </c>
      <c r="AG59" s="380" t="s">
        <v>327</v>
      </c>
      <c r="AH59" s="380" t="s">
        <v>324</v>
      </c>
      <c r="AI59" s="380" t="s">
        <v>325</v>
      </c>
      <c r="AJ59" s="380" t="s">
        <v>326</v>
      </c>
      <c r="AK59" s="380" t="s">
        <v>327</v>
      </c>
      <c r="AL59" s="380" t="s">
        <v>156</v>
      </c>
      <c r="AM59" s="380" t="s">
        <v>328</v>
      </c>
      <c r="AN59" s="380" t="s">
        <v>329</v>
      </c>
      <c r="AO59" s="380" t="s">
        <v>330</v>
      </c>
      <c r="AP59" s="380" t="s">
        <v>331</v>
      </c>
      <c r="AQ59" s="380" t="s">
        <v>332</v>
      </c>
      <c r="AR59" s="380" t="s">
        <v>333</v>
      </c>
      <c r="AS59" s="380" t="s">
        <v>334</v>
      </c>
      <c r="AT59" s="380" t="s">
        <v>335</v>
      </c>
      <c r="AU59" s="380" t="s">
        <v>336</v>
      </c>
      <c r="AV59" s="380" t="s">
        <v>337</v>
      </c>
      <c r="AW59" s="380" t="s">
        <v>338</v>
      </c>
      <c r="AX59" s="380" t="s">
        <v>339</v>
      </c>
      <c r="AY59" s="380" t="s">
        <v>340</v>
      </c>
      <c r="AZ59" s="380" t="s">
        <v>341</v>
      </c>
      <c r="BA59" s="380" t="s">
        <v>342</v>
      </c>
      <c r="BB59" s="380" t="s">
        <v>343</v>
      </c>
      <c r="BC59" s="380" t="s">
        <v>344</v>
      </c>
      <c r="BD59" s="380" t="s">
        <v>345</v>
      </c>
      <c r="BE59" s="380" t="s">
        <v>346</v>
      </c>
      <c r="BF59" s="380" t="s">
        <v>347</v>
      </c>
      <c r="BG59" s="380" t="s">
        <v>348</v>
      </c>
      <c r="BH59" s="380" t="s">
        <v>349</v>
      </c>
      <c r="BI59" s="380" t="s">
        <v>350</v>
      </c>
      <c r="BJ59" s="380" t="s">
        <v>351</v>
      </c>
      <c r="BK59" s="380" t="s">
        <v>352</v>
      </c>
      <c r="BL59" s="380" t="s">
        <v>353</v>
      </c>
      <c r="BM59" s="380" t="s">
        <v>354</v>
      </c>
      <c r="BN59" s="380" t="s">
        <v>355</v>
      </c>
      <c r="BO59" s="380" t="s">
        <v>356</v>
      </c>
      <c r="BP59" s="380" t="s">
        <v>357</v>
      </c>
      <c r="BQ59" s="380" t="s">
        <v>358</v>
      </c>
      <c r="BR59" s="380" t="s">
        <v>359</v>
      </c>
      <c r="BS59" s="380" t="s">
        <v>360</v>
      </c>
      <c r="BT59" s="380" t="s">
        <v>361</v>
      </c>
      <c r="BU59" s="380" t="s">
        <v>362</v>
      </c>
      <c r="BV59" s="380" t="s">
        <v>363</v>
      </c>
      <c r="BW59" s="380" t="s">
        <v>364</v>
      </c>
      <c r="BX59" s="380" t="s">
        <v>365</v>
      </c>
      <c r="BY59" s="380" t="s">
        <v>366</v>
      </c>
      <c r="BZ59" s="380" t="s">
        <v>367</v>
      </c>
      <c r="CA59" s="380" t="s">
        <v>368</v>
      </c>
      <c r="CB59" s="380" t="s">
        <v>369</v>
      </c>
      <c r="CC59" s="380" t="s">
        <v>370</v>
      </c>
      <c r="CD59" s="380" t="s">
        <v>371</v>
      </c>
      <c r="CE59" s="380" t="s">
        <v>372</v>
      </c>
      <c r="CF59" s="380" t="s">
        <v>373</v>
      </c>
      <c r="CG59" s="380" t="s">
        <v>374</v>
      </c>
      <c r="CH59" s="380" t="s">
        <v>375</v>
      </c>
      <c r="CI59" s="380" t="s">
        <v>607</v>
      </c>
      <c r="CJ59" s="380" t="s">
        <v>608</v>
      </c>
      <c r="CK59" s="380" t="s">
        <v>609</v>
      </c>
      <c r="CL59" s="380"/>
      <c r="CM59" s="380" t="s">
        <v>376</v>
      </c>
      <c r="CN59" s="380" t="s">
        <v>377</v>
      </c>
      <c r="CO59" s="380" t="s">
        <v>378</v>
      </c>
      <c r="CP59" s="380" t="s">
        <v>379</v>
      </c>
      <c r="CQ59" s="380" t="s">
        <v>380</v>
      </c>
      <c r="CR59" s="380" t="s">
        <v>381</v>
      </c>
      <c r="CS59" s="380" t="s">
        <v>382</v>
      </c>
      <c r="CT59" s="380" t="s">
        <v>383</v>
      </c>
      <c r="CU59" s="380" t="s">
        <v>384</v>
      </c>
      <c r="CV59" s="380" t="s">
        <v>385</v>
      </c>
      <c r="CW59" s="381" t="s">
        <v>386</v>
      </c>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row>
    <row r="60" spans="1:131">
      <c r="A60" s="11" t="s">
        <v>663</v>
      </c>
      <c r="B60" s="11" t="s">
        <v>526</v>
      </c>
      <c r="C60" s="32">
        <v>11.627906976744185</v>
      </c>
      <c r="D60" s="32">
        <v>84.924999999999983</v>
      </c>
      <c r="E60" s="32">
        <v>0</v>
      </c>
      <c r="F60" s="32">
        <v>-2.1479739877325699</v>
      </c>
      <c r="G60" s="32">
        <v>0</v>
      </c>
      <c r="H60" s="32">
        <v>-37.220328882366076</v>
      </c>
      <c r="I60" s="32" t="s">
        <v>525</v>
      </c>
      <c r="J60" s="32"/>
      <c r="K60" s="32"/>
      <c r="L60" s="32">
        <v>91.04790429173427</v>
      </c>
      <c r="M60" s="32">
        <v>2.1251923908164289E-2</v>
      </c>
      <c r="N60" s="32">
        <v>2.1098537051683956E-2</v>
      </c>
      <c r="O60" s="32">
        <v>0</v>
      </c>
      <c r="P60" s="32">
        <v>0</v>
      </c>
      <c r="Q60" s="32">
        <v>0</v>
      </c>
      <c r="R60" s="32">
        <v>-0.4283347068690555</v>
      </c>
      <c r="S60" s="32">
        <v>-0.98981635823323932</v>
      </c>
      <c r="T60" s="32">
        <v>0</v>
      </c>
      <c r="U60" s="32">
        <v>-2.0953372285613403</v>
      </c>
      <c r="V60" s="32" t="s">
        <v>610</v>
      </c>
      <c r="W60" s="32" t="s">
        <v>610</v>
      </c>
      <c r="X60" s="32" t="s">
        <v>610</v>
      </c>
      <c r="Y60" s="32" t="s">
        <v>610</v>
      </c>
      <c r="Z60" s="32">
        <v>0</v>
      </c>
      <c r="AA60" s="32">
        <v>0</v>
      </c>
      <c r="AB60" s="32">
        <v>0</v>
      </c>
      <c r="AC60" s="32">
        <v>0</v>
      </c>
      <c r="AD60" s="32">
        <v>0</v>
      </c>
      <c r="AE60" s="32">
        <v>0</v>
      </c>
      <c r="AF60" s="32">
        <v>0</v>
      </c>
      <c r="AG60" s="32">
        <v>-37.220328882366076</v>
      </c>
      <c r="AH60" s="32">
        <v>-0.4283347068690555</v>
      </c>
      <c r="AI60" s="32">
        <v>-0.98981635823323932</v>
      </c>
      <c r="AJ60" s="32">
        <v>0</v>
      </c>
      <c r="AK60" s="32">
        <v>-39.315666110927417</v>
      </c>
      <c r="AL60" s="32">
        <v>-40.73381717602971</v>
      </c>
      <c r="AM60" s="32">
        <v>43.640183554751601</v>
      </c>
      <c r="AN60" s="32">
        <v>7.5093351156297174</v>
      </c>
      <c r="AO60" s="32">
        <v>0</v>
      </c>
      <c r="AP60" s="32">
        <v>0</v>
      </c>
      <c r="AQ60" s="32">
        <v>51.149518670381319</v>
      </c>
      <c r="AR60" s="32">
        <v>-0.4283347068690555</v>
      </c>
      <c r="AS60" s="382">
        <v>9999</v>
      </c>
      <c r="AT60" s="32">
        <v>43.640183554751601</v>
      </c>
      <c r="AU60" s="32">
        <v>8.8888161219470927</v>
      </c>
      <c r="AV60" s="32">
        <v>0</v>
      </c>
      <c r="AW60" s="32">
        <v>0</v>
      </c>
      <c r="AX60" s="32">
        <v>52.528999676698696</v>
      </c>
      <c r="AY60" s="32">
        <v>-0.98981635823323932</v>
      </c>
      <c r="AZ60" s="382">
        <v>9999</v>
      </c>
      <c r="BA60" s="32">
        <v>43.640183554751601</v>
      </c>
      <c r="BB60" s="32">
        <v>16.398151237576812</v>
      </c>
      <c r="BC60" s="32">
        <v>0</v>
      </c>
      <c r="BD60" s="32">
        <v>0</v>
      </c>
      <c r="BE60" s="32">
        <v>60.038334792328413</v>
      </c>
      <c r="BF60" s="32">
        <v>-1.4181510651022948</v>
      </c>
      <c r="BG60" s="32">
        <v>-14.398516012126633</v>
      </c>
      <c r="BH60" s="382">
        <v>9999</v>
      </c>
      <c r="BI60" s="32">
        <v>-0.34616521602668637</v>
      </c>
      <c r="BJ60" s="32">
        <v>-0.79993516280553101</v>
      </c>
      <c r="BK60" s="32">
        <v>0</v>
      </c>
      <c r="BL60" s="32">
        <v>-31.773554265549709</v>
      </c>
      <c r="BM60" s="32">
        <v>-32.919654644381929</v>
      </c>
      <c r="BN60" s="32">
        <v>43.640183554751601</v>
      </c>
      <c r="BO60" s="32">
        <v>0</v>
      </c>
      <c r="BP60" s="32">
        <v>16.398151237576812</v>
      </c>
      <c r="BQ60" s="32">
        <v>0</v>
      </c>
      <c r="BR60" s="32">
        <v>0</v>
      </c>
      <c r="BS60" s="32">
        <v>0</v>
      </c>
      <c r="BT60" s="32">
        <v>0</v>
      </c>
      <c r="BU60" s="32">
        <v>0</v>
      </c>
      <c r="BV60" s="32">
        <v>0</v>
      </c>
      <c r="BW60" s="32">
        <v>0</v>
      </c>
      <c r="BX60" s="32">
        <v>-3.5134882936636354</v>
      </c>
      <c r="BY60" s="32"/>
      <c r="BZ60" s="32">
        <v>0</v>
      </c>
      <c r="CA60" s="32">
        <v>-37.220328882366076</v>
      </c>
      <c r="CB60" s="32">
        <v>60.038334792328413</v>
      </c>
      <c r="CC60" s="32">
        <v>-40.73381717602971</v>
      </c>
      <c r="CD60" s="382">
        <v>9999</v>
      </c>
      <c r="CE60" s="32">
        <v>-46.172070277676333</v>
      </c>
      <c r="CF60" s="32">
        <v>0.86495738240238373</v>
      </c>
      <c r="CG60" s="32">
        <v>0</v>
      </c>
      <c r="CH60" s="32">
        <v>0.86495738240238373</v>
      </c>
      <c r="CI60" s="32">
        <v>4.3247754538573782E-2</v>
      </c>
      <c r="CJ60" s="32">
        <v>0</v>
      </c>
      <c r="CK60" s="32">
        <v>4.3247754538573782E-2</v>
      </c>
      <c r="CL60" s="32"/>
      <c r="CM60" s="32">
        <v>0</v>
      </c>
      <c r="CN60" s="32"/>
      <c r="CO60" s="32">
        <v>0</v>
      </c>
      <c r="CP60" s="32">
        <v>0</v>
      </c>
      <c r="CQ60" s="32">
        <v>0</v>
      </c>
      <c r="CR60" s="32">
        <v>0</v>
      </c>
      <c r="CS60" s="32">
        <v>0</v>
      </c>
      <c r="CT60" s="32">
        <v>0</v>
      </c>
      <c r="CU60" s="32">
        <v>0</v>
      </c>
      <c r="CV60" s="32">
        <v>9999</v>
      </c>
      <c r="CW60" s="382">
        <v>9999</v>
      </c>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row>
    <row r="61" spans="1:131">
      <c r="A61" s="11" t="s">
        <v>663</v>
      </c>
      <c r="B61" s="11" t="s">
        <v>527</v>
      </c>
      <c r="C61" s="32">
        <v>11.627906976744185</v>
      </c>
      <c r="D61" s="32">
        <v>84.924999999999983</v>
      </c>
      <c r="E61" s="32">
        <v>0</v>
      </c>
      <c r="F61" s="32">
        <v>-2.1479739877325699</v>
      </c>
      <c r="G61" s="32">
        <v>-14</v>
      </c>
      <c r="H61" s="32">
        <v>0</v>
      </c>
      <c r="I61" s="32" t="s">
        <v>525</v>
      </c>
      <c r="J61" s="32"/>
      <c r="K61" s="32"/>
      <c r="L61" s="32">
        <v>91.04790429173427</v>
      </c>
      <c r="M61" s="32">
        <v>2.1251923908164289E-2</v>
      </c>
      <c r="N61" s="32">
        <v>2.1098537051683956E-2</v>
      </c>
      <c r="O61" s="32">
        <v>0</v>
      </c>
      <c r="P61" s="32">
        <v>0</v>
      </c>
      <c r="Q61" s="32">
        <v>0</v>
      </c>
      <c r="R61" s="32">
        <v>-0.4283347068690555</v>
      </c>
      <c r="S61" s="32">
        <v>-0.98981635823323932</v>
      </c>
      <c r="T61" s="32">
        <v>0</v>
      </c>
      <c r="U61" s="32">
        <v>-2.0953372285613403</v>
      </c>
      <c r="V61" s="32" t="s">
        <v>610</v>
      </c>
      <c r="W61" s="32" t="s">
        <v>610</v>
      </c>
      <c r="X61" s="32" t="s">
        <v>610</v>
      </c>
      <c r="Y61" s="32" t="s">
        <v>610</v>
      </c>
      <c r="Z61" s="32">
        <v>0</v>
      </c>
      <c r="AA61" s="32">
        <v>0</v>
      </c>
      <c r="AB61" s="32">
        <v>0</v>
      </c>
      <c r="AC61" s="32">
        <v>-190.26456882954764</v>
      </c>
      <c r="AD61" s="32">
        <v>0</v>
      </c>
      <c r="AE61" s="32">
        <v>0</v>
      </c>
      <c r="AF61" s="32">
        <v>0</v>
      </c>
      <c r="AG61" s="32">
        <v>0</v>
      </c>
      <c r="AH61" s="32">
        <v>-0.4283347068690555</v>
      </c>
      <c r="AI61" s="32">
        <v>-0.98981635823323932</v>
      </c>
      <c r="AJ61" s="32">
        <v>0</v>
      </c>
      <c r="AK61" s="32">
        <v>-192.35990605810898</v>
      </c>
      <c r="AL61" s="32">
        <v>-193.77805712321128</v>
      </c>
      <c r="AM61" s="32">
        <v>43.640183554751601</v>
      </c>
      <c r="AN61" s="32">
        <v>7.5093351156297174</v>
      </c>
      <c r="AO61" s="32">
        <v>0</v>
      </c>
      <c r="AP61" s="32">
        <v>0</v>
      </c>
      <c r="AQ61" s="32">
        <v>51.149518670381319</v>
      </c>
      <c r="AR61" s="32">
        <v>-0.4283347068690555</v>
      </c>
      <c r="AS61" s="382">
        <v>9999</v>
      </c>
      <c r="AT61" s="32">
        <v>43.640183554751601</v>
      </c>
      <c r="AU61" s="32">
        <v>8.8888161219470927</v>
      </c>
      <c r="AV61" s="32">
        <v>0</v>
      </c>
      <c r="AW61" s="32">
        <v>0</v>
      </c>
      <c r="AX61" s="32">
        <v>52.528999676698696</v>
      </c>
      <c r="AY61" s="32">
        <v>-0.98981635823323932</v>
      </c>
      <c r="AZ61" s="382">
        <v>9999</v>
      </c>
      <c r="BA61" s="32">
        <v>43.640183554751601</v>
      </c>
      <c r="BB61" s="32">
        <v>16.398151237576812</v>
      </c>
      <c r="BC61" s="32">
        <v>0</v>
      </c>
      <c r="BD61" s="32">
        <v>0</v>
      </c>
      <c r="BE61" s="32">
        <v>60.038334792328413</v>
      </c>
      <c r="BF61" s="32">
        <v>-1.4181510651022948</v>
      </c>
      <c r="BG61" s="32">
        <v>-14.398516012126633</v>
      </c>
      <c r="BH61" s="382">
        <v>9999</v>
      </c>
      <c r="BI61" s="32">
        <v>-0.34616521602668637</v>
      </c>
      <c r="BJ61" s="32">
        <v>-0.79993516280553101</v>
      </c>
      <c r="BK61" s="32">
        <v>0</v>
      </c>
      <c r="BL61" s="32">
        <v>-155.45858733281412</v>
      </c>
      <c r="BM61" s="32">
        <v>-156.60468771164633</v>
      </c>
      <c r="BN61" s="32">
        <v>43.640183554751601</v>
      </c>
      <c r="BO61" s="32">
        <v>0</v>
      </c>
      <c r="BP61" s="32">
        <v>16.398151237576812</v>
      </c>
      <c r="BQ61" s="32">
        <v>0</v>
      </c>
      <c r="BR61" s="32">
        <v>0</v>
      </c>
      <c r="BS61" s="32">
        <v>0</v>
      </c>
      <c r="BT61" s="32">
        <v>0</v>
      </c>
      <c r="BU61" s="32">
        <v>0</v>
      </c>
      <c r="BV61" s="32">
        <v>0</v>
      </c>
      <c r="BW61" s="32">
        <v>0</v>
      </c>
      <c r="BX61" s="32">
        <v>-3.5134882936636354</v>
      </c>
      <c r="BY61" s="32"/>
      <c r="BZ61" s="32">
        <v>-190.26456882954764</v>
      </c>
      <c r="CA61" s="32">
        <v>0</v>
      </c>
      <c r="CB61" s="32">
        <v>60.038334792328413</v>
      </c>
      <c r="CC61" s="32">
        <v>-193.77805712321128</v>
      </c>
      <c r="CD61" s="382">
        <v>9999</v>
      </c>
      <c r="CE61" s="32">
        <v>-169.85710334494078</v>
      </c>
      <c r="CF61" s="32">
        <v>0.86495738240238373</v>
      </c>
      <c r="CG61" s="32">
        <v>0</v>
      </c>
      <c r="CH61" s="32">
        <v>0.86495738240238373</v>
      </c>
      <c r="CI61" s="32">
        <v>4.3247754538573782E-2</v>
      </c>
      <c r="CJ61" s="32">
        <v>0</v>
      </c>
      <c r="CK61" s="32">
        <v>4.3247754538573782E-2</v>
      </c>
      <c r="CL61" s="32"/>
      <c r="CM61" s="32">
        <v>0</v>
      </c>
      <c r="CN61" s="32"/>
      <c r="CO61" s="32">
        <v>0</v>
      </c>
      <c r="CP61" s="32">
        <v>0</v>
      </c>
      <c r="CQ61" s="32">
        <v>0</v>
      </c>
      <c r="CR61" s="32">
        <v>0</v>
      </c>
      <c r="CS61" s="32">
        <v>0</v>
      </c>
      <c r="CT61" s="32">
        <v>0</v>
      </c>
      <c r="CU61" s="32">
        <v>0</v>
      </c>
      <c r="CV61" s="32">
        <v>9999</v>
      </c>
      <c r="CW61" s="382">
        <v>9999</v>
      </c>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row>
    <row r="62" spans="1:131">
      <c r="A62" s="11" t="s">
        <v>663</v>
      </c>
      <c r="B62" s="11" t="s">
        <v>528</v>
      </c>
      <c r="C62" s="32">
        <v>11.627906976744185</v>
      </c>
      <c r="D62" s="32">
        <v>67.724999999999994</v>
      </c>
      <c r="E62" s="32">
        <v>0</v>
      </c>
      <c r="F62" s="32">
        <v>-2.1479739877325699</v>
      </c>
      <c r="G62" s="32">
        <v>0</v>
      </c>
      <c r="H62" s="32">
        <v>-37.220328882366076</v>
      </c>
      <c r="I62" s="32" t="s">
        <v>525</v>
      </c>
      <c r="J62" s="32"/>
      <c r="K62" s="32"/>
      <c r="L62" s="32">
        <v>72.607822409864042</v>
      </c>
      <c r="M62" s="32">
        <v>1.6947736787523423E-2</v>
      </c>
      <c r="N62" s="32">
        <v>1.6825415623494804E-2</v>
      </c>
      <c r="O62" s="32">
        <v>0</v>
      </c>
      <c r="P62" s="32">
        <v>0</v>
      </c>
      <c r="Q62" s="32">
        <v>0</v>
      </c>
      <c r="R62" s="32">
        <v>-0.4283347068690555</v>
      </c>
      <c r="S62" s="32">
        <v>-0.98981635823323932</v>
      </c>
      <c r="T62" s="32">
        <v>0</v>
      </c>
      <c r="U62" s="32">
        <v>-2.0953372285613403</v>
      </c>
      <c r="V62" s="32" t="s">
        <v>610</v>
      </c>
      <c r="W62" s="32" t="s">
        <v>610</v>
      </c>
      <c r="X62" s="32" t="s">
        <v>610</v>
      </c>
      <c r="Y62" s="32" t="s">
        <v>610</v>
      </c>
      <c r="Z62" s="32">
        <v>0</v>
      </c>
      <c r="AA62" s="32">
        <v>0</v>
      </c>
      <c r="AB62" s="32">
        <v>0</v>
      </c>
      <c r="AC62" s="32">
        <v>0</v>
      </c>
      <c r="AD62" s="32">
        <v>0</v>
      </c>
      <c r="AE62" s="32">
        <v>0</v>
      </c>
      <c r="AF62" s="32">
        <v>0</v>
      </c>
      <c r="AG62" s="32">
        <v>-37.220328882366076</v>
      </c>
      <c r="AH62" s="32">
        <v>-0.4283347068690555</v>
      </c>
      <c r="AI62" s="32">
        <v>-0.98981635823323932</v>
      </c>
      <c r="AJ62" s="32">
        <v>0</v>
      </c>
      <c r="AK62" s="32">
        <v>-39.315666110927417</v>
      </c>
      <c r="AL62" s="32">
        <v>-40.73381717602971</v>
      </c>
      <c r="AM62" s="32">
        <v>34.801665366447452</v>
      </c>
      <c r="AN62" s="32">
        <v>5.9884571175274965</v>
      </c>
      <c r="AO62" s="32">
        <v>0</v>
      </c>
      <c r="AP62" s="32">
        <v>0</v>
      </c>
      <c r="AQ62" s="32">
        <v>40.790122483974947</v>
      </c>
      <c r="AR62" s="32">
        <v>-0.4283347068690555</v>
      </c>
      <c r="AS62" s="382">
        <v>9999</v>
      </c>
      <c r="AT62" s="32">
        <v>34.801665366447452</v>
      </c>
      <c r="AU62" s="32">
        <v>7.0885495656033806</v>
      </c>
      <c r="AV62" s="32">
        <v>0</v>
      </c>
      <c r="AW62" s="32">
        <v>0</v>
      </c>
      <c r="AX62" s="32">
        <v>41.890214932050831</v>
      </c>
      <c r="AY62" s="32">
        <v>-0.98981635823323932</v>
      </c>
      <c r="AZ62" s="382">
        <v>9999</v>
      </c>
      <c r="BA62" s="32">
        <v>34.801665366447452</v>
      </c>
      <c r="BB62" s="32">
        <v>13.077006683130877</v>
      </c>
      <c r="BC62" s="32">
        <v>0</v>
      </c>
      <c r="BD62" s="32">
        <v>0</v>
      </c>
      <c r="BE62" s="32">
        <v>47.878672049578327</v>
      </c>
      <c r="BF62" s="32">
        <v>-1.4181510651022948</v>
      </c>
      <c r="BG62" s="32">
        <v>-14.689589124211004</v>
      </c>
      <c r="BH62" s="382">
        <v>9999</v>
      </c>
      <c r="BI62" s="32">
        <v>-0.43408019152552735</v>
      </c>
      <c r="BJ62" s="32">
        <v>-1.0030932993910626</v>
      </c>
      <c r="BK62" s="32">
        <v>0</v>
      </c>
      <c r="BL62" s="32">
        <v>-39.843028364736931</v>
      </c>
      <c r="BM62" s="32">
        <v>-41.28020185565353</v>
      </c>
      <c r="BN62" s="32">
        <v>34.801665366447452</v>
      </c>
      <c r="BO62" s="32">
        <v>0</v>
      </c>
      <c r="BP62" s="32">
        <v>13.077006683130877</v>
      </c>
      <c r="BQ62" s="32">
        <v>0</v>
      </c>
      <c r="BR62" s="32">
        <v>0</v>
      </c>
      <c r="BS62" s="32">
        <v>0</v>
      </c>
      <c r="BT62" s="32">
        <v>0</v>
      </c>
      <c r="BU62" s="32">
        <v>0</v>
      </c>
      <c r="BV62" s="32">
        <v>0</v>
      </c>
      <c r="BW62" s="32">
        <v>0</v>
      </c>
      <c r="BX62" s="32">
        <v>-3.5134882936636354</v>
      </c>
      <c r="BY62" s="32"/>
      <c r="BZ62" s="32">
        <v>0</v>
      </c>
      <c r="CA62" s="32">
        <v>-37.220328882366076</v>
      </c>
      <c r="CB62" s="32">
        <v>47.878672049578327</v>
      </c>
      <c r="CC62" s="32">
        <v>-40.73381717602971</v>
      </c>
      <c r="CD62" s="382">
        <v>9999</v>
      </c>
      <c r="CE62" s="32">
        <v>-54.532617488947949</v>
      </c>
      <c r="CF62" s="32">
        <v>0.68977614039683877</v>
      </c>
      <c r="CG62" s="32">
        <v>0</v>
      </c>
      <c r="CH62" s="32">
        <v>0.68977614039683877</v>
      </c>
      <c r="CI62" s="32">
        <v>3.4488715644685433E-2</v>
      </c>
      <c r="CJ62" s="32">
        <v>0</v>
      </c>
      <c r="CK62" s="32">
        <v>3.4488715644685433E-2</v>
      </c>
      <c r="CL62" s="32"/>
      <c r="CM62" s="32">
        <v>0</v>
      </c>
      <c r="CN62" s="32"/>
      <c r="CO62" s="32">
        <v>0</v>
      </c>
      <c r="CP62" s="32">
        <v>0</v>
      </c>
      <c r="CQ62" s="32">
        <v>0</v>
      </c>
      <c r="CR62" s="32">
        <v>0</v>
      </c>
      <c r="CS62" s="32">
        <v>0</v>
      </c>
      <c r="CT62" s="32">
        <v>0</v>
      </c>
      <c r="CU62" s="32">
        <v>0</v>
      </c>
      <c r="CV62" s="32">
        <v>9999</v>
      </c>
      <c r="CW62" s="382">
        <v>9999</v>
      </c>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row>
    <row r="63" spans="1:131">
      <c r="A63" s="11" t="s">
        <v>663</v>
      </c>
      <c r="B63" s="11" t="s">
        <v>529</v>
      </c>
      <c r="C63" s="32">
        <v>11.627906976744185</v>
      </c>
      <c r="D63" s="32">
        <v>67.724999999999994</v>
      </c>
      <c r="E63" s="32">
        <v>0</v>
      </c>
      <c r="F63" s="32">
        <v>-2.1479739877325699</v>
      </c>
      <c r="G63" s="32">
        <v>-14</v>
      </c>
      <c r="H63" s="32">
        <v>0</v>
      </c>
      <c r="I63" s="32" t="s">
        <v>525</v>
      </c>
      <c r="J63" s="32"/>
      <c r="K63" s="32"/>
      <c r="L63" s="32">
        <v>72.607822409864042</v>
      </c>
      <c r="M63" s="32">
        <v>1.6947736787523423E-2</v>
      </c>
      <c r="N63" s="32">
        <v>1.6825415623494804E-2</v>
      </c>
      <c r="O63" s="32">
        <v>0</v>
      </c>
      <c r="P63" s="32">
        <v>0</v>
      </c>
      <c r="Q63" s="32">
        <v>0</v>
      </c>
      <c r="R63" s="32">
        <v>-0.4283347068690555</v>
      </c>
      <c r="S63" s="32">
        <v>-0.98981635823323932</v>
      </c>
      <c r="T63" s="32">
        <v>0</v>
      </c>
      <c r="U63" s="32">
        <v>-2.0953372285613403</v>
      </c>
      <c r="V63" s="32" t="s">
        <v>610</v>
      </c>
      <c r="W63" s="32" t="s">
        <v>610</v>
      </c>
      <c r="X63" s="32" t="s">
        <v>610</v>
      </c>
      <c r="Y63" s="32" t="s">
        <v>610</v>
      </c>
      <c r="Z63" s="32">
        <v>0</v>
      </c>
      <c r="AA63" s="32">
        <v>0</v>
      </c>
      <c r="AB63" s="32">
        <v>0</v>
      </c>
      <c r="AC63" s="32">
        <v>-190.26456882954764</v>
      </c>
      <c r="AD63" s="32">
        <v>0</v>
      </c>
      <c r="AE63" s="32">
        <v>0</v>
      </c>
      <c r="AF63" s="32">
        <v>0</v>
      </c>
      <c r="AG63" s="32">
        <v>0</v>
      </c>
      <c r="AH63" s="32">
        <v>-0.4283347068690555</v>
      </c>
      <c r="AI63" s="32">
        <v>-0.98981635823323932</v>
      </c>
      <c r="AJ63" s="32">
        <v>0</v>
      </c>
      <c r="AK63" s="32">
        <v>-192.35990605810898</v>
      </c>
      <c r="AL63" s="32">
        <v>-193.77805712321128</v>
      </c>
      <c r="AM63" s="32">
        <v>34.801665366447452</v>
      </c>
      <c r="AN63" s="32">
        <v>5.9884571175274965</v>
      </c>
      <c r="AO63" s="32">
        <v>0</v>
      </c>
      <c r="AP63" s="32">
        <v>0</v>
      </c>
      <c r="AQ63" s="32">
        <v>40.790122483974947</v>
      </c>
      <c r="AR63" s="32">
        <v>-0.4283347068690555</v>
      </c>
      <c r="AS63" s="382">
        <v>9999</v>
      </c>
      <c r="AT63" s="32">
        <v>34.801665366447452</v>
      </c>
      <c r="AU63" s="32">
        <v>7.0885495656033806</v>
      </c>
      <c r="AV63" s="32">
        <v>0</v>
      </c>
      <c r="AW63" s="32">
        <v>0</v>
      </c>
      <c r="AX63" s="32">
        <v>41.890214932050831</v>
      </c>
      <c r="AY63" s="32">
        <v>-0.98981635823323932</v>
      </c>
      <c r="AZ63" s="382">
        <v>9999</v>
      </c>
      <c r="BA63" s="32">
        <v>34.801665366447452</v>
      </c>
      <c r="BB63" s="32">
        <v>13.077006683130877</v>
      </c>
      <c r="BC63" s="32">
        <v>0</v>
      </c>
      <c r="BD63" s="32">
        <v>0</v>
      </c>
      <c r="BE63" s="32">
        <v>47.878672049578327</v>
      </c>
      <c r="BF63" s="32">
        <v>-1.4181510651022948</v>
      </c>
      <c r="BG63" s="32">
        <v>-14.689589124211004</v>
      </c>
      <c r="BH63" s="382">
        <v>9999</v>
      </c>
      <c r="BI63" s="32">
        <v>-0.43408019152552735</v>
      </c>
      <c r="BJ63" s="32">
        <v>-1.0030932993910626</v>
      </c>
      <c r="BK63" s="32">
        <v>0</v>
      </c>
      <c r="BL63" s="32">
        <v>-194.94013332210025</v>
      </c>
      <c r="BM63" s="32">
        <v>-196.37730681301682</v>
      </c>
      <c r="BN63" s="32">
        <v>34.801665366447452</v>
      </c>
      <c r="BO63" s="32">
        <v>0</v>
      </c>
      <c r="BP63" s="32">
        <v>13.077006683130877</v>
      </c>
      <c r="BQ63" s="32">
        <v>0</v>
      </c>
      <c r="BR63" s="32">
        <v>0</v>
      </c>
      <c r="BS63" s="32">
        <v>0</v>
      </c>
      <c r="BT63" s="32">
        <v>0</v>
      </c>
      <c r="BU63" s="32">
        <v>0</v>
      </c>
      <c r="BV63" s="32">
        <v>0</v>
      </c>
      <c r="BW63" s="32">
        <v>0</v>
      </c>
      <c r="BX63" s="32">
        <v>-3.5134882936636354</v>
      </c>
      <c r="BY63" s="32"/>
      <c r="BZ63" s="32">
        <v>-190.26456882954764</v>
      </c>
      <c r="CA63" s="32">
        <v>0</v>
      </c>
      <c r="CB63" s="32">
        <v>47.878672049578327</v>
      </c>
      <c r="CC63" s="32">
        <v>-193.77805712321128</v>
      </c>
      <c r="CD63" s="382">
        <v>9999</v>
      </c>
      <c r="CE63" s="32">
        <v>-209.62972244631123</v>
      </c>
      <c r="CF63" s="32">
        <v>0.68977614039683877</v>
      </c>
      <c r="CG63" s="32">
        <v>0</v>
      </c>
      <c r="CH63" s="32">
        <v>0.68977614039683877</v>
      </c>
      <c r="CI63" s="32">
        <v>3.4488715644685433E-2</v>
      </c>
      <c r="CJ63" s="32">
        <v>0</v>
      </c>
      <c r="CK63" s="32">
        <v>3.4488715644685433E-2</v>
      </c>
      <c r="CL63" s="32"/>
      <c r="CM63" s="32">
        <v>0</v>
      </c>
      <c r="CN63" s="32"/>
      <c r="CO63" s="32">
        <v>0</v>
      </c>
      <c r="CP63" s="32">
        <v>0</v>
      </c>
      <c r="CQ63" s="32">
        <v>0</v>
      </c>
      <c r="CR63" s="32">
        <v>0</v>
      </c>
      <c r="CS63" s="32">
        <v>0</v>
      </c>
      <c r="CT63" s="32">
        <v>0</v>
      </c>
      <c r="CU63" s="32">
        <v>0</v>
      </c>
      <c r="CV63" s="32">
        <v>9999</v>
      </c>
      <c r="CW63" s="382">
        <v>9999</v>
      </c>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row>
    <row r="64" spans="1:131">
      <c r="A64" s="11" t="s">
        <v>664</v>
      </c>
      <c r="B64" s="11" t="s">
        <v>835</v>
      </c>
      <c r="C64" s="32">
        <v>11.627906976744185</v>
      </c>
      <c r="D64" s="32">
        <v>197.8</v>
      </c>
      <c r="E64" s="32">
        <v>0</v>
      </c>
      <c r="F64" s="32">
        <v>1.0057886064783617</v>
      </c>
      <c r="G64" s="32">
        <v>0</v>
      </c>
      <c r="H64" s="32">
        <v>-77.340943132189253</v>
      </c>
      <c r="I64" s="32" t="s">
        <v>525</v>
      </c>
      <c r="J64" s="32"/>
      <c r="K64" s="32"/>
      <c r="L64" s="32">
        <v>212.06094164150772</v>
      </c>
      <c r="M64" s="32">
        <v>4.9498151887370001E-2</v>
      </c>
      <c r="N64" s="32">
        <v>4.9140896424175309E-2</v>
      </c>
      <c r="O64" s="32">
        <v>0</v>
      </c>
      <c r="P64" s="32">
        <v>0</v>
      </c>
      <c r="Q64" s="32">
        <v>0</v>
      </c>
      <c r="R64" s="32">
        <v>0.20056768396106978</v>
      </c>
      <c r="S64" s="32">
        <v>0.46348141146150862</v>
      </c>
      <c r="T64" s="32">
        <v>0</v>
      </c>
      <c r="U64" s="32">
        <v>0.98114144922286151</v>
      </c>
      <c r="V64" s="32" t="s">
        <v>610</v>
      </c>
      <c r="W64" s="32" t="s">
        <v>610</v>
      </c>
      <c r="X64" s="32" t="s">
        <v>610</v>
      </c>
      <c r="Y64" s="32" t="s">
        <v>610</v>
      </c>
      <c r="Z64" s="32">
        <v>0</v>
      </c>
      <c r="AA64" s="32">
        <v>0</v>
      </c>
      <c r="AB64" s="32">
        <v>0</v>
      </c>
      <c r="AC64" s="32">
        <v>0</v>
      </c>
      <c r="AD64" s="32">
        <v>0</v>
      </c>
      <c r="AE64" s="32">
        <v>0</v>
      </c>
      <c r="AF64" s="32">
        <v>0</v>
      </c>
      <c r="AG64" s="32">
        <v>-77.340943132189253</v>
      </c>
      <c r="AH64" s="32">
        <v>0.20056768396106978</v>
      </c>
      <c r="AI64" s="32">
        <v>0.46348141146150862</v>
      </c>
      <c r="AJ64" s="32">
        <v>0</v>
      </c>
      <c r="AK64" s="32">
        <v>-76.359801682966392</v>
      </c>
      <c r="AL64" s="32">
        <v>-75.695752587543808</v>
      </c>
      <c r="AM64" s="32">
        <v>101.64295916549729</v>
      </c>
      <c r="AN64" s="32">
        <v>17.490096978175551</v>
      </c>
      <c r="AO64" s="32">
        <v>0</v>
      </c>
      <c r="AP64" s="32">
        <v>0</v>
      </c>
      <c r="AQ64" s="32">
        <v>119.13305614367283</v>
      </c>
      <c r="AR64" s="32">
        <v>0.20056768396106978</v>
      </c>
      <c r="AS64" s="382">
        <v>593.97931805802068</v>
      </c>
      <c r="AT64" s="32">
        <v>101.64295916549729</v>
      </c>
      <c r="AU64" s="32">
        <v>20.703065397952734</v>
      </c>
      <c r="AV64" s="32">
        <v>0</v>
      </c>
      <c r="AW64" s="32">
        <v>0</v>
      </c>
      <c r="AX64" s="32">
        <v>122.34602456345002</v>
      </c>
      <c r="AY64" s="32">
        <v>0.46348141146150862</v>
      </c>
      <c r="AZ64" s="382">
        <v>263.97180455986995</v>
      </c>
      <c r="BA64" s="32">
        <v>101.64295916549729</v>
      </c>
      <c r="BB64" s="32">
        <v>38.193162376128285</v>
      </c>
      <c r="BC64" s="32">
        <v>0</v>
      </c>
      <c r="BD64" s="32">
        <v>0</v>
      </c>
      <c r="BE64" s="32">
        <v>139.83612154162557</v>
      </c>
      <c r="BF64" s="32">
        <v>0.66404909542257839</v>
      </c>
      <c r="BG64" s="32">
        <v>-13.022001232758853</v>
      </c>
      <c r="BH64" s="382">
        <v>210.58099846162517</v>
      </c>
      <c r="BI64" s="32">
        <v>6.9593773992400743E-2</v>
      </c>
      <c r="BJ64" s="32">
        <v>0.16082062654316689</v>
      </c>
      <c r="BK64" s="32">
        <v>0</v>
      </c>
      <c r="BL64" s="32">
        <v>-26.495628186345247</v>
      </c>
      <c r="BM64" s="32">
        <v>-26.265213785809678</v>
      </c>
      <c r="BN64" s="32">
        <v>101.64295916549729</v>
      </c>
      <c r="BO64" s="32">
        <v>0</v>
      </c>
      <c r="BP64" s="32">
        <v>38.193162376128285</v>
      </c>
      <c r="BQ64" s="32">
        <v>0</v>
      </c>
      <c r="BR64" s="32">
        <v>0</v>
      </c>
      <c r="BS64" s="32">
        <v>0</v>
      </c>
      <c r="BT64" s="32">
        <v>0</v>
      </c>
      <c r="BU64" s="32">
        <v>0</v>
      </c>
      <c r="BV64" s="32">
        <v>0</v>
      </c>
      <c r="BW64" s="32">
        <v>0</v>
      </c>
      <c r="BX64" s="32">
        <v>1.6451905446454398</v>
      </c>
      <c r="BY64" s="32"/>
      <c r="BZ64" s="32">
        <v>0</v>
      </c>
      <c r="CA64" s="32">
        <v>-77.340943132189253</v>
      </c>
      <c r="CB64" s="32">
        <v>139.83612154162557</v>
      </c>
      <c r="CC64" s="32">
        <v>-75.695752587543808</v>
      </c>
      <c r="CD64" s="382">
        <v>132.00724097318428</v>
      </c>
      <c r="CE64" s="32">
        <v>-39.517629419104097</v>
      </c>
      <c r="CF64" s="32">
        <v>2.0145842830637801</v>
      </c>
      <c r="CG64" s="32">
        <v>0</v>
      </c>
      <c r="CH64" s="32">
        <v>2.0145842830637801</v>
      </c>
      <c r="CI64" s="32">
        <v>0.10072894727971618</v>
      </c>
      <c r="CJ64" s="32">
        <v>0</v>
      </c>
      <c r="CK64" s="32">
        <v>0.10072894727971618</v>
      </c>
      <c r="CL64" s="32"/>
      <c r="CM64" s="32">
        <v>0</v>
      </c>
      <c r="CN64" s="32"/>
      <c r="CO64" s="32">
        <v>0</v>
      </c>
      <c r="CP64" s="32">
        <v>0</v>
      </c>
      <c r="CQ64" s="32">
        <v>0</v>
      </c>
      <c r="CR64" s="32">
        <v>0</v>
      </c>
      <c r="CS64" s="32">
        <v>0</v>
      </c>
      <c r="CT64" s="32">
        <v>0</v>
      </c>
      <c r="CU64" s="32">
        <v>0</v>
      </c>
      <c r="CV64" s="32">
        <v>9999</v>
      </c>
      <c r="CW64" s="382">
        <v>9999</v>
      </c>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row>
    <row r="65" spans="1:131">
      <c r="A65" s="11" t="s">
        <v>664</v>
      </c>
      <c r="B65" s="11" t="s">
        <v>836</v>
      </c>
      <c r="C65" s="32">
        <v>11.627906976744185</v>
      </c>
      <c r="D65" s="32">
        <v>197.8</v>
      </c>
      <c r="E65" s="32">
        <v>0</v>
      </c>
      <c r="F65" s="32">
        <v>1.0057886064783617</v>
      </c>
      <c r="G65" s="32">
        <v>-28</v>
      </c>
      <c r="H65" s="32">
        <v>0</v>
      </c>
      <c r="I65" s="32" t="s">
        <v>525</v>
      </c>
      <c r="J65" s="32"/>
      <c r="K65" s="32"/>
      <c r="L65" s="32">
        <v>212.06094164150772</v>
      </c>
      <c r="M65" s="32">
        <v>4.9498151887370001E-2</v>
      </c>
      <c r="N65" s="32">
        <v>4.9140896424175309E-2</v>
      </c>
      <c r="O65" s="32">
        <v>0</v>
      </c>
      <c r="P65" s="32">
        <v>0</v>
      </c>
      <c r="Q65" s="32">
        <v>0</v>
      </c>
      <c r="R65" s="32">
        <v>0.20056768396106978</v>
      </c>
      <c r="S65" s="32">
        <v>0.46348141146150862</v>
      </c>
      <c r="T65" s="32">
        <v>0</v>
      </c>
      <c r="U65" s="32">
        <v>0.98114144922286151</v>
      </c>
      <c r="V65" s="32" t="s">
        <v>610</v>
      </c>
      <c r="W65" s="32" t="s">
        <v>610</v>
      </c>
      <c r="X65" s="32" t="s">
        <v>610</v>
      </c>
      <c r="Y65" s="32" t="s">
        <v>610</v>
      </c>
      <c r="Z65" s="32">
        <v>0</v>
      </c>
      <c r="AA65" s="32">
        <v>0</v>
      </c>
      <c r="AB65" s="32">
        <v>0</v>
      </c>
      <c r="AC65" s="32">
        <v>-380.52913765909528</v>
      </c>
      <c r="AD65" s="32">
        <v>0</v>
      </c>
      <c r="AE65" s="32">
        <v>0</v>
      </c>
      <c r="AF65" s="32">
        <v>0</v>
      </c>
      <c r="AG65" s="32">
        <v>0</v>
      </c>
      <c r="AH65" s="32">
        <v>0.20056768396106978</v>
      </c>
      <c r="AI65" s="32">
        <v>0.46348141146150862</v>
      </c>
      <c r="AJ65" s="32">
        <v>0</v>
      </c>
      <c r="AK65" s="32">
        <v>-379.54799620987239</v>
      </c>
      <c r="AL65" s="32">
        <v>-378.88394711444982</v>
      </c>
      <c r="AM65" s="32">
        <v>101.64295916549729</v>
      </c>
      <c r="AN65" s="32">
        <v>17.490096978175551</v>
      </c>
      <c r="AO65" s="32">
        <v>0</v>
      </c>
      <c r="AP65" s="32">
        <v>0</v>
      </c>
      <c r="AQ65" s="32">
        <v>119.13305614367283</v>
      </c>
      <c r="AR65" s="32">
        <v>0.20056768396106978</v>
      </c>
      <c r="AS65" s="382">
        <v>593.97931805802068</v>
      </c>
      <c r="AT65" s="32">
        <v>101.64295916549729</v>
      </c>
      <c r="AU65" s="32">
        <v>20.703065397952734</v>
      </c>
      <c r="AV65" s="32">
        <v>0</v>
      </c>
      <c r="AW65" s="32">
        <v>0</v>
      </c>
      <c r="AX65" s="32">
        <v>122.34602456345002</v>
      </c>
      <c r="AY65" s="32">
        <v>0.46348141146150862</v>
      </c>
      <c r="AZ65" s="382">
        <v>263.97180455986995</v>
      </c>
      <c r="BA65" s="32">
        <v>101.64295916549729</v>
      </c>
      <c r="BB65" s="32">
        <v>38.193162376128285</v>
      </c>
      <c r="BC65" s="32">
        <v>0</v>
      </c>
      <c r="BD65" s="32">
        <v>0</v>
      </c>
      <c r="BE65" s="32">
        <v>139.83612154162557</v>
      </c>
      <c r="BF65" s="32">
        <v>0.66404909542257839</v>
      </c>
      <c r="BG65" s="32">
        <v>-13.022001232758853</v>
      </c>
      <c r="BH65" s="382">
        <v>210.58099846162517</v>
      </c>
      <c r="BI65" s="32">
        <v>6.9593773992400743E-2</v>
      </c>
      <c r="BJ65" s="32">
        <v>0.16082062654316689</v>
      </c>
      <c r="BK65" s="32">
        <v>0</v>
      </c>
      <c r="BL65" s="32">
        <v>-131.6970757493786</v>
      </c>
      <c r="BM65" s="32">
        <v>-131.46666134884302</v>
      </c>
      <c r="BN65" s="32">
        <v>101.64295916549729</v>
      </c>
      <c r="BO65" s="32">
        <v>0</v>
      </c>
      <c r="BP65" s="32">
        <v>38.193162376128285</v>
      </c>
      <c r="BQ65" s="32">
        <v>0</v>
      </c>
      <c r="BR65" s="32">
        <v>0</v>
      </c>
      <c r="BS65" s="32">
        <v>0</v>
      </c>
      <c r="BT65" s="32">
        <v>0</v>
      </c>
      <c r="BU65" s="32">
        <v>0</v>
      </c>
      <c r="BV65" s="32">
        <v>0</v>
      </c>
      <c r="BW65" s="32">
        <v>0</v>
      </c>
      <c r="BX65" s="32">
        <v>1.6451905446454398</v>
      </c>
      <c r="BY65" s="32"/>
      <c r="BZ65" s="32">
        <v>-380.52913765909528</v>
      </c>
      <c r="CA65" s="32">
        <v>0</v>
      </c>
      <c r="CB65" s="32">
        <v>139.83612154162557</v>
      </c>
      <c r="CC65" s="32">
        <v>-378.88394711444982</v>
      </c>
      <c r="CD65" s="382">
        <v>316.29482730395</v>
      </c>
      <c r="CE65" s="32">
        <v>-144.71907698213749</v>
      </c>
      <c r="CF65" s="32">
        <v>2.0145842830637801</v>
      </c>
      <c r="CG65" s="32">
        <v>0</v>
      </c>
      <c r="CH65" s="32">
        <v>2.0145842830637801</v>
      </c>
      <c r="CI65" s="32">
        <v>0.10072894727971618</v>
      </c>
      <c r="CJ65" s="32">
        <v>0</v>
      </c>
      <c r="CK65" s="32">
        <v>0.10072894727971618</v>
      </c>
      <c r="CL65" s="32"/>
      <c r="CM65" s="32">
        <v>0</v>
      </c>
      <c r="CN65" s="32"/>
      <c r="CO65" s="32">
        <v>0</v>
      </c>
      <c r="CP65" s="32">
        <v>0</v>
      </c>
      <c r="CQ65" s="32">
        <v>0</v>
      </c>
      <c r="CR65" s="32">
        <v>0</v>
      </c>
      <c r="CS65" s="32">
        <v>0</v>
      </c>
      <c r="CT65" s="32">
        <v>0</v>
      </c>
      <c r="CU65" s="32">
        <v>0</v>
      </c>
      <c r="CV65" s="32">
        <v>9999</v>
      </c>
      <c r="CW65" s="382">
        <v>9999</v>
      </c>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row>
    <row r="66" spans="1:131">
      <c r="A66" s="11" t="s">
        <v>665</v>
      </c>
      <c r="B66" s="11" t="s">
        <v>837</v>
      </c>
      <c r="C66" s="32">
        <v>11.627906976744185</v>
      </c>
      <c r="D66" s="32">
        <v>333.25</v>
      </c>
      <c r="E66" s="32">
        <v>0</v>
      </c>
      <c r="F66" s="32">
        <v>1.0057886064783617</v>
      </c>
      <c r="G66" s="32">
        <v>0</v>
      </c>
      <c r="H66" s="32">
        <v>-77.340943132189253</v>
      </c>
      <c r="I66" s="32" t="s">
        <v>525</v>
      </c>
      <c r="J66" s="32"/>
      <c r="K66" s="32"/>
      <c r="L66" s="32">
        <v>357.27658646123581</v>
      </c>
      <c r="M66" s="32">
        <v>8.3393625462416854E-2</v>
      </c>
      <c r="N66" s="32">
        <v>8.2791727671164911E-2</v>
      </c>
      <c r="O66" s="32">
        <v>0</v>
      </c>
      <c r="P66" s="32">
        <v>0</v>
      </c>
      <c r="Q66" s="32">
        <v>0</v>
      </c>
      <c r="R66" s="32">
        <v>0.20056768396106978</v>
      </c>
      <c r="S66" s="32">
        <v>0.46348141146150862</v>
      </c>
      <c r="T66" s="32">
        <v>0</v>
      </c>
      <c r="U66" s="32">
        <v>0.98114144922286151</v>
      </c>
      <c r="V66" s="32" t="s">
        <v>610</v>
      </c>
      <c r="W66" s="32" t="s">
        <v>610</v>
      </c>
      <c r="X66" s="32" t="s">
        <v>610</v>
      </c>
      <c r="Y66" s="32" t="s">
        <v>610</v>
      </c>
      <c r="Z66" s="32">
        <v>0</v>
      </c>
      <c r="AA66" s="32">
        <v>0</v>
      </c>
      <c r="AB66" s="32">
        <v>0</v>
      </c>
      <c r="AC66" s="32">
        <v>0</v>
      </c>
      <c r="AD66" s="32">
        <v>0</v>
      </c>
      <c r="AE66" s="32">
        <v>0</v>
      </c>
      <c r="AF66" s="32">
        <v>0</v>
      </c>
      <c r="AG66" s="32">
        <v>-77.340943132189253</v>
      </c>
      <c r="AH66" s="32">
        <v>0.20056768396106978</v>
      </c>
      <c r="AI66" s="32">
        <v>0.46348141146150862</v>
      </c>
      <c r="AJ66" s="32">
        <v>0</v>
      </c>
      <c r="AK66" s="32">
        <v>-76.359801682966392</v>
      </c>
      <c r="AL66" s="32">
        <v>-75.695752587543808</v>
      </c>
      <c r="AM66" s="32">
        <v>171.24628989839229</v>
      </c>
      <c r="AN66" s="32">
        <v>29.467011213230535</v>
      </c>
      <c r="AO66" s="32">
        <v>0</v>
      </c>
      <c r="AP66" s="32">
        <v>0</v>
      </c>
      <c r="AQ66" s="32">
        <v>200.71330111162283</v>
      </c>
      <c r="AR66" s="32">
        <v>0.20056768396106978</v>
      </c>
      <c r="AS66" s="382">
        <v>1000.7260249890571</v>
      </c>
      <c r="AT66" s="32">
        <v>171.24628989839229</v>
      </c>
      <c r="AU66" s="32">
        <v>34.880164529159487</v>
      </c>
      <c r="AV66" s="32">
        <v>0</v>
      </c>
      <c r="AW66" s="32">
        <v>0</v>
      </c>
      <c r="AX66" s="32">
        <v>206.12645442755178</v>
      </c>
      <c r="AY66" s="32">
        <v>0.46348141146150862</v>
      </c>
      <c r="AZ66" s="382">
        <v>444.73510550847681</v>
      </c>
      <c r="BA66" s="32">
        <v>171.24628989839229</v>
      </c>
      <c r="BB66" s="32">
        <v>64.347175742390021</v>
      </c>
      <c r="BC66" s="32">
        <v>0</v>
      </c>
      <c r="BD66" s="32">
        <v>0</v>
      </c>
      <c r="BE66" s="32">
        <v>235.59346564078231</v>
      </c>
      <c r="BF66" s="32">
        <v>0.66404909542257839</v>
      </c>
      <c r="BG66" s="32">
        <v>-13.11565353749266</v>
      </c>
      <c r="BH66" s="382">
        <v>354.78320392991213</v>
      </c>
      <c r="BI66" s="32">
        <v>4.1307272305166898E-2</v>
      </c>
      <c r="BJ66" s="32">
        <v>9.5454823496589389E-2</v>
      </c>
      <c r="BK66" s="32">
        <v>0</v>
      </c>
      <c r="BL66" s="32">
        <v>-15.72643737512105</v>
      </c>
      <c r="BM66" s="32">
        <v>-15.589675279319293</v>
      </c>
      <c r="BN66" s="32">
        <v>171.24628989839229</v>
      </c>
      <c r="BO66" s="32">
        <v>0</v>
      </c>
      <c r="BP66" s="32">
        <v>64.347175742390021</v>
      </c>
      <c r="BQ66" s="32">
        <v>0</v>
      </c>
      <c r="BR66" s="32">
        <v>0</v>
      </c>
      <c r="BS66" s="32">
        <v>0</v>
      </c>
      <c r="BT66" s="32">
        <v>0</v>
      </c>
      <c r="BU66" s="32">
        <v>0</v>
      </c>
      <c r="BV66" s="32">
        <v>0</v>
      </c>
      <c r="BW66" s="32">
        <v>0</v>
      </c>
      <c r="BX66" s="32">
        <v>1.6451905446454398</v>
      </c>
      <c r="BY66" s="32"/>
      <c r="BZ66" s="32">
        <v>0</v>
      </c>
      <c r="CA66" s="32">
        <v>-77.340943132189253</v>
      </c>
      <c r="CB66" s="32">
        <v>235.59346564078231</v>
      </c>
      <c r="CC66" s="32">
        <v>-75.695752587543808</v>
      </c>
      <c r="CD66" s="382">
        <v>190.21165043251148</v>
      </c>
      <c r="CE66" s="32">
        <v>-28.842090912613713</v>
      </c>
      <c r="CF66" s="32">
        <v>3.394136563857463</v>
      </c>
      <c r="CG66" s="32">
        <v>0</v>
      </c>
      <c r="CH66" s="32">
        <v>3.394136563857463</v>
      </c>
      <c r="CI66" s="32">
        <v>0.16970637856908702</v>
      </c>
      <c r="CJ66" s="32">
        <v>0</v>
      </c>
      <c r="CK66" s="32">
        <v>0.16970637856908702</v>
      </c>
      <c r="CL66" s="32"/>
      <c r="CM66" s="32">
        <v>0</v>
      </c>
      <c r="CN66" s="32"/>
      <c r="CO66" s="32">
        <v>0</v>
      </c>
      <c r="CP66" s="32">
        <v>0</v>
      </c>
      <c r="CQ66" s="32">
        <v>0</v>
      </c>
      <c r="CR66" s="32">
        <v>0</v>
      </c>
      <c r="CS66" s="32">
        <v>0</v>
      </c>
      <c r="CT66" s="32">
        <v>0</v>
      </c>
      <c r="CU66" s="32">
        <v>0</v>
      </c>
      <c r="CV66" s="32">
        <v>9999</v>
      </c>
      <c r="CW66" s="382">
        <v>9999</v>
      </c>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row>
    <row r="67" spans="1:131">
      <c r="A67" s="11" t="s">
        <v>665</v>
      </c>
      <c r="B67" s="11" t="s">
        <v>838</v>
      </c>
      <c r="C67" s="32">
        <v>11.627906976744185</v>
      </c>
      <c r="D67" s="32">
        <v>333.25</v>
      </c>
      <c r="E67" s="32">
        <v>0</v>
      </c>
      <c r="F67" s="32">
        <v>1.0057886064783617</v>
      </c>
      <c r="G67" s="32">
        <v>-28</v>
      </c>
      <c r="H67" s="32">
        <v>0</v>
      </c>
      <c r="I67" s="32" t="s">
        <v>525</v>
      </c>
      <c r="J67" s="32"/>
      <c r="K67" s="32"/>
      <c r="L67" s="32">
        <v>357.27658646123581</v>
      </c>
      <c r="M67" s="32">
        <v>8.3393625462416854E-2</v>
      </c>
      <c r="N67" s="32">
        <v>8.2791727671164911E-2</v>
      </c>
      <c r="O67" s="32">
        <v>0</v>
      </c>
      <c r="P67" s="32">
        <v>0</v>
      </c>
      <c r="Q67" s="32">
        <v>0</v>
      </c>
      <c r="R67" s="32">
        <v>0.20056768396106978</v>
      </c>
      <c r="S67" s="32">
        <v>0.46348141146150862</v>
      </c>
      <c r="T67" s="32">
        <v>0</v>
      </c>
      <c r="U67" s="32">
        <v>0.98114144922286151</v>
      </c>
      <c r="V67" s="32" t="s">
        <v>610</v>
      </c>
      <c r="W67" s="32" t="s">
        <v>610</v>
      </c>
      <c r="X67" s="32" t="s">
        <v>610</v>
      </c>
      <c r="Y67" s="32" t="s">
        <v>610</v>
      </c>
      <c r="Z67" s="32">
        <v>0</v>
      </c>
      <c r="AA67" s="32">
        <v>0</v>
      </c>
      <c r="AB67" s="32">
        <v>0</v>
      </c>
      <c r="AC67" s="32">
        <v>-380.52913765909528</v>
      </c>
      <c r="AD67" s="32">
        <v>0</v>
      </c>
      <c r="AE67" s="32">
        <v>0</v>
      </c>
      <c r="AF67" s="32">
        <v>0</v>
      </c>
      <c r="AG67" s="32">
        <v>0</v>
      </c>
      <c r="AH67" s="32">
        <v>0.20056768396106978</v>
      </c>
      <c r="AI67" s="32">
        <v>0.46348141146150862</v>
      </c>
      <c r="AJ67" s="32">
        <v>0</v>
      </c>
      <c r="AK67" s="32">
        <v>-379.54799620987239</v>
      </c>
      <c r="AL67" s="32">
        <v>-378.88394711444982</v>
      </c>
      <c r="AM67" s="32">
        <v>171.24628989839229</v>
      </c>
      <c r="AN67" s="32">
        <v>29.467011213230535</v>
      </c>
      <c r="AO67" s="32">
        <v>0</v>
      </c>
      <c r="AP67" s="32">
        <v>0</v>
      </c>
      <c r="AQ67" s="32">
        <v>200.71330111162283</v>
      </c>
      <c r="AR67" s="32">
        <v>0.20056768396106978</v>
      </c>
      <c r="AS67" s="382">
        <v>1000.7260249890571</v>
      </c>
      <c r="AT67" s="32">
        <v>171.24628989839229</v>
      </c>
      <c r="AU67" s="32">
        <v>34.880164529159487</v>
      </c>
      <c r="AV67" s="32">
        <v>0</v>
      </c>
      <c r="AW67" s="32">
        <v>0</v>
      </c>
      <c r="AX67" s="32">
        <v>206.12645442755178</v>
      </c>
      <c r="AY67" s="32">
        <v>0.46348141146150862</v>
      </c>
      <c r="AZ67" s="382">
        <v>444.73510550847681</v>
      </c>
      <c r="BA67" s="32">
        <v>171.24628989839229</v>
      </c>
      <c r="BB67" s="32">
        <v>64.347175742390021</v>
      </c>
      <c r="BC67" s="32">
        <v>0</v>
      </c>
      <c r="BD67" s="32">
        <v>0</v>
      </c>
      <c r="BE67" s="32">
        <v>235.59346564078231</v>
      </c>
      <c r="BF67" s="32">
        <v>0.66404909542257839</v>
      </c>
      <c r="BG67" s="32">
        <v>-13.11565353749266</v>
      </c>
      <c r="BH67" s="382">
        <v>354.78320392991213</v>
      </c>
      <c r="BI67" s="32">
        <v>4.1307272305166898E-2</v>
      </c>
      <c r="BJ67" s="32">
        <v>9.5454823496589389E-2</v>
      </c>
      <c r="BK67" s="32">
        <v>0</v>
      </c>
      <c r="BL67" s="32">
        <v>-78.168586896405372</v>
      </c>
      <c r="BM67" s="32">
        <v>-78.031824800603616</v>
      </c>
      <c r="BN67" s="32">
        <v>171.24628989839229</v>
      </c>
      <c r="BO67" s="32">
        <v>0</v>
      </c>
      <c r="BP67" s="32">
        <v>64.347175742390021</v>
      </c>
      <c r="BQ67" s="32">
        <v>0</v>
      </c>
      <c r="BR67" s="32">
        <v>0</v>
      </c>
      <c r="BS67" s="32">
        <v>0</v>
      </c>
      <c r="BT67" s="32">
        <v>0</v>
      </c>
      <c r="BU67" s="32">
        <v>0</v>
      </c>
      <c r="BV67" s="32">
        <v>0</v>
      </c>
      <c r="BW67" s="32">
        <v>0</v>
      </c>
      <c r="BX67" s="32">
        <v>1.6451905446454398</v>
      </c>
      <c r="BY67" s="32"/>
      <c r="BZ67" s="32">
        <v>-380.52913765909528</v>
      </c>
      <c r="CA67" s="32">
        <v>0</v>
      </c>
      <c r="CB67" s="32">
        <v>235.59346564078231</v>
      </c>
      <c r="CC67" s="32">
        <v>-378.88394711444982</v>
      </c>
      <c r="CD67" s="382">
        <v>374.49923676327722</v>
      </c>
      <c r="CE67" s="32">
        <v>-91.284240433898006</v>
      </c>
      <c r="CF67" s="32">
        <v>3.394136563857463</v>
      </c>
      <c r="CG67" s="32">
        <v>0</v>
      </c>
      <c r="CH67" s="32">
        <v>3.394136563857463</v>
      </c>
      <c r="CI67" s="32">
        <v>0.16970637856908702</v>
      </c>
      <c r="CJ67" s="32">
        <v>0</v>
      </c>
      <c r="CK67" s="32">
        <v>0.16970637856908702</v>
      </c>
      <c r="CL67" s="32"/>
      <c r="CM67" s="32">
        <v>0</v>
      </c>
      <c r="CN67" s="32"/>
      <c r="CO67" s="32">
        <v>0</v>
      </c>
      <c r="CP67" s="32">
        <v>0</v>
      </c>
      <c r="CQ67" s="32">
        <v>0</v>
      </c>
      <c r="CR67" s="32">
        <v>0</v>
      </c>
      <c r="CS67" s="32">
        <v>0</v>
      </c>
      <c r="CT67" s="32">
        <v>0</v>
      </c>
      <c r="CU67" s="32">
        <v>0</v>
      </c>
      <c r="CV67" s="32">
        <v>9999</v>
      </c>
      <c r="CW67" s="382">
        <v>9999</v>
      </c>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row>
    <row r="68" spans="1:131">
      <c r="A68" s="11" t="s">
        <v>666</v>
      </c>
      <c r="B68" s="11" t="s">
        <v>950</v>
      </c>
      <c r="C68" s="32">
        <v>11.627906976744185</v>
      </c>
      <c r="D68" s="32">
        <v>576.20000000000005</v>
      </c>
      <c r="E68" s="32">
        <v>0</v>
      </c>
      <c r="F68" s="32">
        <v>67.011577212956723</v>
      </c>
      <c r="G68" s="32">
        <v>0</v>
      </c>
      <c r="H68" s="32">
        <v>-84.572314159883035</v>
      </c>
      <c r="I68" s="32" t="s">
        <v>525</v>
      </c>
      <c r="J68" s="32"/>
      <c r="K68" s="32"/>
      <c r="L68" s="32">
        <v>617.74274304265293</v>
      </c>
      <c r="M68" s="32">
        <v>0.14419026854146913</v>
      </c>
      <c r="N68" s="32">
        <v>0.14314956784433677</v>
      </c>
      <c r="O68" s="32">
        <v>0</v>
      </c>
      <c r="P68" s="32">
        <v>0</v>
      </c>
      <c r="Q68" s="32">
        <v>0</v>
      </c>
      <c r="R68" s="32">
        <v>13.363003670563335</v>
      </c>
      <c r="S68" s="32">
        <v>30.879868981287014</v>
      </c>
      <c r="T68" s="32">
        <v>0</v>
      </c>
      <c r="U68" s="32">
        <v>65.369438028968688</v>
      </c>
      <c r="V68" s="32" t="s">
        <v>610</v>
      </c>
      <c r="W68" s="32" t="s">
        <v>610</v>
      </c>
      <c r="X68" s="32" t="s">
        <v>610</v>
      </c>
      <c r="Y68" s="32" t="s">
        <v>610</v>
      </c>
      <c r="Z68" s="32">
        <v>0</v>
      </c>
      <c r="AA68" s="32">
        <v>0</v>
      </c>
      <c r="AB68" s="32">
        <v>0</v>
      </c>
      <c r="AC68" s="32">
        <v>0</v>
      </c>
      <c r="AD68" s="32">
        <v>0</v>
      </c>
      <c r="AE68" s="32">
        <v>0</v>
      </c>
      <c r="AF68" s="32">
        <v>0</v>
      </c>
      <c r="AG68" s="32">
        <v>-84.572314159883035</v>
      </c>
      <c r="AH68" s="32">
        <v>13.363003670563335</v>
      </c>
      <c r="AI68" s="32">
        <v>30.879868981287014</v>
      </c>
      <c r="AJ68" s="32">
        <v>0</v>
      </c>
      <c r="AK68" s="32">
        <v>-19.202876130914348</v>
      </c>
      <c r="AL68" s="32">
        <v>25.039996520936</v>
      </c>
      <c r="AM68" s="32">
        <v>296.09035930818806</v>
      </c>
      <c r="AN68" s="32">
        <v>50.949412936424423</v>
      </c>
      <c r="AO68" s="32">
        <v>0</v>
      </c>
      <c r="AP68" s="32">
        <v>0</v>
      </c>
      <c r="AQ68" s="32">
        <v>347.03977224461249</v>
      </c>
      <c r="AR68" s="32">
        <v>13.363003670563335</v>
      </c>
      <c r="AS68" s="382">
        <v>25.97019209154962</v>
      </c>
      <c r="AT68" s="32">
        <v>296.09035930818806</v>
      </c>
      <c r="AU68" s="32">
        <v>60.308929637514488</v>
      </c>
      <c r="AV68" s="32">
        <v>0</v>
      </c>
      <c r="AW68" s="32">
        <v>0</v>
      </c>
      <c r="AX68" s="32">
        <v>356.39928894570255</v>
      </c>
      <c r="AY68" s="32">
        <v>30.879868981287014</v>
      </c>
      <c r="AZ68" s="382">
        <v>11.541476719401823</v>
      </c>
      <c r="BA68" s="32">
        <v>296.09035930818806</v>
      </c>
      <c r="BB68" s="32">
        <v>111.2583425739389</v>
      </c>
      <c r="BC68" s="32">
        <v>0</v>
      </c>
      <c r="BD68" s="32">
        <v>0</v>
      </c>
      <c r="BE68" s="32">
        <v>407.34870188212699</v>
      </c>
      <c r="BF68" s="32">
        <v>44.242872651850348</v>
      </c>
      <c r="BG68" s="32">
        <v>-7.9824743090869168</v>
      </c>
      <c r="BH68" s="382">
        <v>9.2071033697919393</v>
      </c>
      <c r="BI68" s="32">
        <v>1.5917195479867428</v>
      </c>
      <c r="BJ68" s="32">
        <v>3.6782217762207599</v>
      </c>
      <c r="BK68" s="32">
        <v>0</v>
      </c>
      <c r="BL68" s="32">
        <v>-2.287329560679217</v>
      </c>
      <c r="BM68" s="32">
        <v>2.9826117635282858</v>
      </c>
      <c r="BN68" s="32">
        <v>296.09035930818806</v>
      </c>
      <c r="BO68" s="32">
        <v>0</v>
      </c>
      <c r="BP68" s="32">
        <v>111.2583425739389</v>
      </c>
      <c r="BQ68" s="32">
        <v>0</v>
      </c>
      <c r="BR68" s="32">
        <v>0</v>
      </c>
      <c r="BS68" s="32">
        <v>0</v>
      </c>
      <c r="BT68" s="32">
        <v>0</v>
      </c>
      <c r="BU68" s="32">
        <v>0</v>
      </c>
      <c r="BV68" s="32">
        <v>0</v>
      </c>
      <c r="BW68" s="32">
        <v>0</v>
      </c>
      <c r="BX68" s="32">
        <v>109.61231068081904</v>
      </c>
      <c r="BY68" s="32"/>
      <c r="BZ68" s="32">
        <v>0</v>
      </c>
      <c r="CA68" s="32">
        <v>-84.572314159883035</v>
      </c>
      <c r="CB68" s="32">
        <v>407.34870188212699</v>
      </c>
      <c r="CC68" s="32">
        <v>25.039996520936</v>
      </c>
      <c r="CD68" s="382">
        <v>4.4878263489439503</v>
      </c>
      <c r="CE68" s="32">
        <v>-10.269803869766129</v>
      </c>
      <c r="CF68" s="32">
        <v>5.8685716071857978</v>
      </c>
      <c r="CG68" s="32">
        <v>0</v>
      </c>
      <c r="CH68" s="32">
        <v>5.8685716071857978</v>
      </c>
      <c r="CI68" s="32">
        <v>0.29342780294526022</v>
      </c>
      <c r="CJ68" s="32">
        <v>0</v>
      </c>
      <c r="CK68" s="32">
        <v>0.29342780294526022</v>
      </c>
      <c r="CL68" s="32"/>
      <c r="CM68" s="32">
        <v>0</v>
      </c>
      <c r="CN68" s="32"/>
      <c r="CO68" s="32">
        <v>0</v>
      </c>
      <c r="CP68" s="32">
        <v>0</v>
      </c>
      <c r="CQ68" s="32">
        <v>0</v>
      </c>
      <c r="CR68" s="32">
        <v>0</v>
      </c>
      <c r="CS68" s="32">
        <v>0</v>
      </c>
      <c r="CT68" s="32">
        <v>0</v>
      </c>
      <c r="CU68" s="32">
        <v>0</v>
      </c>
      <c r="CV68" s="32">
        <v>9999</v>
      </c>
      <c r="CW68" s="382">
        <v>9999</v>
      </c>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row>
    <row r="69" spans="1:131">
      <c r="A69" s="11" t="s">
        <v>666</v>
      </c>
      <c r="B69" s="11" t="s">
        <v>951</v>
      </c>
      <c r="C69" s="32">
        <v>11.627906976744185</v>
      </c>
      <c r="D69" s="32">
        <v>576.20000000000005</v>
      </c>
      <c r="E69" s="32">
        <v>0</v>
      </c>
      <c r="F69" s="32">
        <v>67.011577212956723</v>
      </c>
      <c r="G69" s="32">
        <v>-28</v>
      </c>
      <c r="H69" s="32">
        <v>0</v>
      </c>
      <c r="I69" s="32" t="s">
        <v>525</v>
      </c>
      <c r="J69" s="32"/>
      <c r="K69" s="32"/>
      <c r="L69" s="32">
        <v>617.74274304265293</v>
      </c>
      <c r="M69" s="32">
        <v>0.14419026854146913</v>
      </c>
      <c r="N69" s="32">
        <v>0.14314956784433677</v>
      </c>
      <c r="O69" s="32">
        <v>0</v>
      </c>
      <c r="P69" s="32">
        <v>0</v>
      </c>
      <c r="Q69" s="32">
        <v>0</v>
      </c>
      <c r="R69" s="32">
        <v>13.363003670563335</v>
      </c>
      <c r="S69" s="32">
        <v>30.879868981287014</v>
      </c>
      <c r="T69" s="32">
        <v>0</v>
      </c>
      <c r="U69" s="32">
        <v>65.369438028968688</v>
      </c>
      <c r="V69" s="32" t="s">
        <v>610</v>
      </c>
      <c r="W69" s="32" t="s">
        <v>610</v>
      </c>
      <c r="X69" s="32" t="s">
        <v>610</v>
      </c>
      <c r="Y69" s="32" t="s">
        <v>610</v>
      </c>
      <c r="Z69" s="32">
        <v>0</v>
      </c>
      <c r="AA69" s="32">
        <v>0</v>
      </c>
      <c r="AB69" s="32">
        <v>0</v>
      </c>
      <c r="AC69" s="32">
        <v>-380.52913765909528</v>
      </c>
      <c r="AD69" s="32">
        <v>0</v>
      </c>
      <c r="AE69" s="32">
        <v>0</v>
      </c>
      <c r="AF69" s="32">
        <v>0</v>
      </c>
      <c r="AG69" s="32">
        <v>0</v>
      </c>
      <c r="AH69" s="32">
        <v>13.363003670563335</v>
      </c>
      <c r="AI69" s="32">
        <v>30.879868981287014</v>
      </c>
      <c r="AJ69" s="32">
        <v>0</v>
      </c>
      <c r="AK69" s="32">
        <v>-315.15969963012662</v>
      </c>
      <c r="AL69" s="32">
        <v>-270.91682697827628</v>
      </c>
      <c r="AM69" s="32">
        <v>296.09035930818806</v>
      </c>
      <c r="AN69" s="32">
        <v>50.949412936424423</v>
      </c>
      <c r="AO69" s="32">
        <v>0</v>
      </c>
      <c r="AP69" s="32">
        <v>0</v>
      </c>
      <c r="AQ69" s="32">
        <v>347.03977224461249</v>
      </c>
      <c r="AR69" s="32">
        <v>13.363003670563335</v>
      </c>
      <c r="AS69" s="382">
        <v>25.97019209154962</v>
      </c>
      <c r="AT69" s="32">
        <v>296.09035930818806</v>
      </c>
      <c r="AU69" s="32">
        <v>60.308929637514488</v>
      </c>
      <c r="AV69" s="32">
        <v>0</v>
      </c>
      <c r="AW69" s="32">
        <v>0</v>
      </c>
      <c r="AX69" s="32">
        <v>356.39928894570255</v>
      </c>
      <c r="AY69" s="32">
        <v>30.879868981287014</v>
      </c>
      <c r="AZ69" s="382">
        <v>11.541476719401823</v>
      </c>
      <c r="BA69" s="32">
        <v>296.09035930818806</v>
      </c>
      <c r="BB69" s="32">
        <v>111.2583425739389</v>
      </c>
      <c r="BC69" s="32">
        <v>0</v>
      </c>
      <c r="BD69" s="32">
        <v>0</v>
      </c>
      <c r="BE69" s="32">
        <v>407.34870188212699</v>
      </c>
      <c r="BF69" s="32">
        <v>44.242872651850348</v>
      </c>
      <c r="BG69" s="32">
        <v>-7.9824743090869168</v>
      </c>
      <c r="BH69" s="382">
        <v>9.2071033697919393</v>
      </c>
      <c r="BI69" s="32">
        <v>1.5917195479867428</v>
      </c>
      <c r="BJ69" s="32">
        <v>3.6782217762207599</v>
      </c>
      <c r="BK69" s="32">
        <v>0</v>
      </c>
      <c r="BL69" s="32">
        <v>-37.539902480454472</v>
      </c>
      <c r="BM69" s="32">
        <v>-32.269961156246964</v>
      </c>
      <c r="BN69" s="32">
        <v>296.09035930818806</v>
      </c>
      <c r="BO69" s="32">
        <v>0</v>
      </c>
      <c r="BP69" s="32">
        <v>111.2583425739389</v>
      </c>
      <c r="BQ69" s="32">
        <v>0</v>
      </c>
      <c r="BR69" s="32">
        <v>0</v>
      </c>
      <c r="BS69" s="32">
        <v>0</v>
      </c>
      <c r="BT69" s="32">
        <v>0</v>
      </c>
      <c r="BU69" s="32">
        <v>0</v>
      </c>
      <c r="BV69" s="32">
        <v>0</v>
      </c>
      <c r="BW69" s="32">
        <v>0</v>
      </c>
      <c r="BX69" s="32">
        <v>109.61231068081904</v>
      </c>
      <c r="BY69" s="32"/>
      <c r="BZ69" s="32">
        <v>-380.52913765909528</v>
      </c>
      <c r="CA69" s="32">
        <v>0</v>
      </c>
      <c r="CB69" s="32">
        <v>407.34870188212699</v>
      </c>
      <c r="CC69" s="32">
        <v>-270.91682697827628</v>
      </c>
      <c r="CD69" s="382">
        <v>7.1878590520315733</v>
      </c>
      <c r="CE69" s="32">
        <v>-45.52237678954139</v>
      </c>
      <c r="CF69" s="32">
        <v>5.8685716071857978</v>
      </c>
      <c r="CG69" s="32">
        <v>0</v>
      </c>
      <c r="CH69" s="32">
        <v>5.8685716071857978</v>
      </c>
      <c r="CI69" s="32">
        <v>0.29342780294526022</v>
      </c>
      <c r="CJ69" s="32">
        <v>0</v>
      </c>
      <c r="CK69" s="32">
        <v>0.29342780294526022</v>
      </c>
      <c r="CL69" s="32"/>
      <c r="CM69" s="32">
        <v>0</v>
      </c>
      <c r="CN69" s="32"/>
      <c r="CO69" s="32">
        <v>0</v>
      </c>
      <c r="CP69" s="32">
        <v>0</v>
      </c>
      <c r="CQ69" s="32">
        <v>0</v>
      </c>
      <c r="CR69" s="32">
        <v>0</v>
      </c>
      <c r="CS69" s="32">
        <v>0</v>
      </c>
      <c r="CT69" s="32">
        <v>0</v>
      </c>
      <c r="CU69" s="32">
        <v>0</v>
      </c>
      <c r="CV69" s="32">
        <v>9999</v>
      </c>
      <c r="CW69" s="382">
        <v>9999</v>
      </c>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row>
    <row r="70" spans="1:131">
      <c r="A70" s="11" t="s">
        <v>667</v>
      </c>
      <c r="B70" s="11" t="s">
        <v>867</v>
      </c>
      <c r="C70" s="32">
        <v>11.627906976744185</v>
      </c>
      <c r="D70" s="32">
        <v>1459.85</v>
      </c>
      <c r="E70" s="32">
        <v>0</v>
      </c>
      <c r="F70" s="32">
        <v>266.0347316388702</v>
      </c>
      <c r="G70" s="32">
        <v>0</v>
      </c>
      <c r="H70" s="32">
        <v>-86.610201248072983</v>
      </c>
      <c r="I70" s="32" t="s">
        <v>525</v>
      </c>
      <c r="J70" s="32"/>
      <c r="K70" s="32"/>
      <c r="L70" s="32">
        <v>1565.101949723736</v>
      </c>
      <c r="M70" s="32">
        <v>0.36531788186439379</v>
      </c>
      <c r="N70" s="32">
        <v>0.36268118121755466</v>
      </c>
      <c r="O70" s="32">
        <v>0</v>
      </c>
      <c r="P70" s="32">
        <v>0</v>
      </c>
      <c r="Q70" s="32">
        <v>0</v>
      </c>
      <c r="R70" s="32">
        <v>53.050879314331205</v>
      </c>
      <c r="S70" s="32">
        <v>122.59251310222503</v>
      </c>
      <c r="T70" s="32">
        <v>0</v>
      </c>
      <c r="U70" s="32">
        <v>259.51546921742903</v>
      </c>
      <c r="V70" s="32" t="s">
        <v>610</v>
      </c>
      <c r="W70" s="32" t="s">
        <v>610</v>
      </c>
      <c r="X70" s="32" t="s">
        <v>610</v>
      </c>
      <c r="Y70" s="32" t="s">
        <v>610</v>
      </c>
      <c r="Z70" s="32">
        <v>0</v>
      </c>
      <c r="AA70" s="32">
        <v>0</v>
      </c>
      <c r="AB70" s="32">
        <v>0</v>
      </c>
      <c r="AC70" s="32">
        <v>0</v>
      </c>
      <c r="AD70" s="32">
        <v>0</v>
      </c>
      <c r="AE70" s="32">
        <v>0</v>
      </c>
      <c r="AF70" s="32">
        <v>0</v>
      </c>
      <c r="AG70" s="32">
        <v>-86.610201248072983</v>
      </c>
      <c r="AH70" s="32">
        <v>53.050879314331205</v>
      </c>
      <c r="AI70" s="32">
        <v>122.59251310222503</v>
      </c>
      <c r="AJ70" s="32">
        <v>0</v>
      </c>
      <c r="AK70" s="32">
        <v>172.90526796935603</v>
      </c>
      <c r="AL70" s="32">
        <v>348.54866038591229</v>
      </c>
      <c r="AM70" s="32">
        <v>750.16923123231277</v>
      </c>
      <c r="AN70" s="32">
        <v>129.08452008892601</v>
      </c>
      <c r="AO70" s="32">
        <v>0</v>
      </c>
      <c r="AP70" s="32">
        <v>0</v>
      </c>
      <c r="AQ70" s="32">
        <v>879.25375132123872</v>
      </c>
      <c r="AR70" s="32">
        <v>53.050879314331205</v>
      </c>
      <c r="AS70" s="382">
        <v>16.573782804080995</v>
      </c>
      <c r="AT70" s="32">
        <v>750.16923123231277</v>
      </c>
      <c r="AU70" s="32">
        <v>152.79762396967291</v>
      </c>
      <c r="AV70" s="32">
        <v>0</v>
      </c>
      <c r="AW70" s="32">
        <v>0</v>
      </c>
      <c r="AX70" s="32">
        <v>902.96685520198571</v>
      </c>
      <c r="AY70" s="32">
        <v>122.59251310222503</v>
      </c>
      <c r="AZ70" s="382">
        <v>7.3655954377004864</v>
      </c>
      <c r="BA70" s="32">
        <v>750.16923123231277</v>
      </c>
      <c r="BB70" s="32">
        <v>281.8821440585989</v>
      </c>
      <c r="BC70" s="32">
        <v>0</v>
      </c>
      <c r="BD70" s="32">
        <v>0</v>
      </c>
      <c r="BE70" s="32">
        <v>1032.0513752909117</v>
      </c>
      <c r="BF70" s="32">
        <v>175.64339241655622</v>
      </c>
      <c r="BG70" s="32">
        <v>-4.9947118779897046</v>
      </c>
      <c r="BH70" s="382">
        <v>5.8758337623273444</v>
      </c>
      <c r="BI70" s="32">
        <v>2.4941356421608059</v>
      </c>
      <c r="BJ70" s="32">
        <v>5.7635681131439069</v>
      </c>
      <c r="BK70" s="32">
        <v>0</v>
      </c>
      <c r="BL70" s="32">
        <v>8.1289734898557668</v>
      </c>
      <c r="BM70" s="32">
        <v>16.386677245160481</v>
      </c>
      <c r="BN70" s="32">
        <v>750.16923123231277</v>
      </c>
      <c r="BO70" s="32">
        <v>0</v>
      </c>
      <c r="BP70" s="32">
        <v>281.8821440585989</v>
      </c>
      <c r="BQ70" s="32">
        <v>0</v>
      </c>
      <c r="BR70" s="32">
        <v>0</v>
      </c>
      <c r="BS70" s="32">
        <v>0</v>
      </c>
      <c r="BT70" s="32">
        <v>0</v>
      </c>
      <c r="BU70" s="32">
        <v>0</v>
      </c>
      <c r="BV70" s="32">
        <v>0</v>
      </c>
      <c r="BW70" s="32">
        <v>0</v>
      </c>
      <c r="BX70" s="32">
        <v>435.15886163398523</v>
      </c>
      <c r="BY70" s="32"/>
      <c r="BZ70" s="32">
        <v>0</v>
      </c>
      <c r="CA70" s="32">
        <v>-86.610201248072983</v>
      </c>
      <c r="CB70" s="32">
        <v>1032.0513752909117</v>
      </c>
      <c r="CC70" s="32">
        <v>348.54866038591223</v>
      </c>
      <c r="CD70" s="382">
        <v>2.570696991757226</v>
      </c>
      <c r="CE70" s="32">
        <v>3.1342616118660565</v>
      </c>
      <c r="CF70" s="32">
        <v>14.868507915220775</v>
      </c>
      <c r="CG70" s="32">
        <v>0</v>
      </c>
      <c r="CH70" s="32">
        <v>14.868507915220775</v>
      </c>
      <c r="CI70" s="32">
        <v>0.74342342611877466</v>
      </c>
      <c r="CJ70" s="32">
        <v>0</v>
      </c>
      <c r="CK70" s="32">
        <v>0.74342342611877466</v>
      </c>
      <c r="CL70" s="32"/>
      <c r="CM70" s="32">
        <v>0</v>
      </c>
      <c r="CN70" s="32"/>
      <c r="CO70" s="32">
        <v>0</v>
      </c>
      <c r="CP70" s="32">
        <v>0</v>
      </c>
      <c r="CQ70" s="32">
        <v>0</v>
      </c>
      <c r="CR70" s="32">
        <v>0</v>
      </c>
      <c r="CS70" s="32">
        <v>0</v>
      </c>
      <c r="CT70" s="32">
        <v>0</v>
      </c>
      <c r="CU70" s="32">
        <v>0</v>
      </c>
      <c r="CV70" s="32">
        <v>9999</v>
      </c>
      <c r="CW70" s="382">
        <v>9999</v>
      </c>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row>
    <row r="71" spans="1:131">
      <c r="A71" s="11" t="s">
        <v>667</v>
      </c>
      <c r="B71" s="11" t="s">
        <v>868</v>
      </c>
      <c r="C71" s="32">
        <v>11.627906976744185</v>
      </c>
      <c r="D71" s="32">
        <v>1459.85</v>
      </c>
      <c r="E71" s="32">
        <v>0</v>
      </c>
      <c r="F71" s="32">
        <v>266.0347316388702</v>
      </c>
      <c r="G71" s="32">
        <v>-28</v>
      </c>
      <c r="H71" s="32">
        <v>0</v>
      </c>
      <c r="I71" s="32" t="s">
        <v>525</v>
      </c>
      <c r="J71" s="32"/>
      <c r="K71" s="32"/>
      <c r="L71" s="32">
        <v>1565.101949723736</v>
      </c>
      <c r="M71" s="32">
        <v>0.36531788186439379</v>
      </c>
      <c r="N71" s="32">
        <v>0.36268118121755466</v>
      </c>
      <c r="O71" s="32">
        <v>0</v>
      </c>
      <c r="P71" s="32">
        <v>0</v>
      </c>
      <c r="Q71" s="32">
        <v>0</v>
      </c>
      <c r="R71" s="32">
        <v>53.050879314331205</v>
      </c>
      <c r="S71" s="32">
        <v>122.59251310222503</v>
      </c>
      <c r="T71" s="32">
        <v>0</v>
      </c>
      <c r="U71" s="32">
        <v>259.51546921742903</v>
      </c>
      <c r="V71" s="32" t="s">
        <v>610</v>
      </c>
      <c r="W71" s="32" t="s">
        <v>610</v>
      </c>
      <c r="X71" s="32" t="s">
        <v>610</v>
      </c>
      <c r="Y71" s="32" t="s">
        <v>610</v>
      </c>
      <c r="Z71" s="32">
        <v>0</v>
      </c>
      <c r="AA71" s="32">
        <v>0</v>
      </c>
      <c r="AB71" s="32">
        <v>0</v>
      </c>
      <c r="AC71" s="32">
        <v>-380.52913765909528</v>
      </c>
      <c r="AD71" s="32">
        <v>0</v>
      </c>
      <c r="AE71" s="32">
        <v>0</v>
      </c>
      <c r="AF71" s="32">
        <v>0</v>
      </c>
      <c r="AG71" s="32">
        <v>0</v>
      </c>
      <c r="AH71" s="32">
        <v>53.050879314331205</v>
      </c>
      <c r="AI71" s="32">
        <v>122.59251310222503</v>
      </c>
      <c r="AJ71" s="32">
        <v>0</v>
      </c>
      <c r="AK71" s="32">
        <v>-121.01366844166625</v>
      </c>
      <c r="AL71" s="32">
        <v>54.62972397488997</v>
      </c>
      <c r="AM71" s="32">
        <v>750.16923123231277</v>
      </c>
      <c r="AN71" s="32">
        <v>129.08452008892601</v>
      </c>
      <c r="AO71" s="32">
        <v>0</v>
      </c>
      <c r="AP71" s="32">
        <v>0</v>
      </c>
      <c r="AQ71" s="32">
        <v>879.25375132123872</v>
      </c>
      <c r="AR71" s="32">
        <v>53.050879314331205</v>
      </c>
      <c r="AS71" s="382">
        <v>16.573782804080995</v>
      </c>
      <c r="AT71" s="32">
        <v>750.16923123231277</v>
      </c>
      <c r="AU71" s="32">
        <v>152.79762396967291</v>
      </c>
      <c r="AV71" s="32">
        <v>0</v>
      </c>
      <c r="AW71" s="32">
        <v>0</v>
      </c>
      <c r="AX71" s="32">
        <v>902.96685520198571</v>
      </c>
      <c r="AY71" s="32">
        <v>122.59251310222503</v>
      </c>
      <c r="AZ71" s="382">
        <v>7.3655954377004864</v>
      </c>
      <c r="BA71" s="32">
        <v>750.16923123231277</v>
      </c>
      <c r="BB71" s="32">
        <v>281.8821440585989</v>
      </c>
      <c r="BC71" s="32">
        <v>0</v>
      </c>
      <c r="BD71" s="32">
        <v>0</v>
      </c>
      <c r="BE71" s="32">
        <v>1032.0513752909117</v>
      </c>
      <c r="BF71" s="32">
        <v>175.64339241655622</v>
      </c>
      <c r="BG71" s="32">
        <v>-4.9947118779897046</v>
      </c>
      <c r="BH71" s="382">
        <v>5.8758337623273444</v>
      </c>
      <c r="BI71" s="32">
        <v>2.4941356421608059</v>
      </c>
      <c r="BJ71" s="32">
        <v>5.7635681131439069</v>
      </c>
      <c r="BK71" s="32">
        <v>0</v>
      </c>
      <c r="BL71" s="32">
        <v>-5.6893402625930651</v>
      </c>
      <c r="BM71" s="32">
        <v>2.5683634927116468</v>
      </c>
      <c r="BN71" s="32">
        <v>750.16923123231277</v>
      </c>
      <c r="BO71" s="32">
        <v>0</v>
      </c>
      <c r="BP71" s="32">
        <v>281.8821440585989</v>
      </c>
      <c r="BQ71" s="32">
        <v>0</v>
      </c>
      <c r="BR71" s="32">
        <v>0</v>
      </c>
      <c r="BS71" s="32">
        <v>0</v>
      </c>
      <c r="BT71" s="32">
        <v>0</v>
      </c>
      <c r="BU71" s="32">
        <v>0</v>
      </c>
      <c r="BV71" s="32">
        <v>0</v>
      </c>
      <c r="BW71" s="32">
        <v>0</v>
      </c>
      <c r="BX71" s="32">
        <v>435.15886163398523</v>
      </c>
      <c r="BY71" s="32"/>
      <c r="BZ71" s="32">
        <v>-380.52913765909528</v>
      </c>
      <c r="CA71" s="32">
        <v>0</v>
      </c>
      <c r="CB71" s="32">
        <v>1032.0513752909117</v>
      </c>
      <c r="CC71" s="32">
        <v>54.629723974889941</v>
      </c>
      <c r="CD71" s="382">
        <v>3.2461260415239734</v>
      </c>
      <c r="CE71" s="32">
        <v>-10.684052140582775</v>
      </c>
      <c r="CF71" s="32">
        <v>14.868507915220775</v>
      </c>
      <c r="CG71" s="32">
        <v>0</v>
      </c>
      <c r="CH71" s="32">
        <v>14.868507915220775</v>
      </c>
      <c r="CI71" s="32">
        <v>0.74342342611877466</v>
      </c>
      <c r="CJ71" s="32">
        <v>0</v>
      </c>
      <c r="CK71" s="32">
        <v>0.74342342611877466</v>
      </c>
      <c r="CL71" s="32"/>
      <c r="CM71" s="32">
        <v>0</v>
      </c>
      <c r="CN71" s="32"/>
      <c r="CO71" s="32">
        <v>0</v>
      </c>
      <c r="CP71" s="32">
        <v>0</v>
      </c>
      <c r="CQ71" s="32">
        <v>0</v>
      </c>
      <c r="CR71" s="32">
        <v>0</v>
      </c>
      <c r="CS71" s="32">
        <v>0</v>
      </c>
      <c r="CT71" s="32">
        <v>0</v>
      </c>
      <c r="CU71" s="32">
        <v>0</v>
      </c>
      <c r="CV71" s="32">
        <v>9999</v>
      </c>
      <c r="CW71" s="382">
        <v>9999</v>
      </c>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row>
    <row r="72" spans="1:131">
      <c r="A72" s="11" t="s">
        <v>668</v>
      </c>
      <c r="B72" s="11" t="s">
        <v>530</v>
      </c>
      <c r="C72" s="32">
        <v>11.627906976744185</v>
      </c>
      <c r="D72" s="32">
        <v>84.924999999999983</v>
      </c>
      <c r="E72" s="32">
        <v>0</v>
      </c>
      <c r="F72" s="32">
        <v>28.35202601226743</v>
      </c>
      <c r="G72" s="32">
        <v>0</v>
      </c>
      <c r="H72" s="32">
        <v>-37.220328882366076</v>
      </c>
      <c r="I72" s="32" t="s">
        <v>525</v>
      </c>
      <c r="J72" s="32"/>
      <c r="K72" s="32"/>
      <c r="L72" s="32">
        <v>91.04790429173427</v>
      </c>
      <c r="M72" s="32">
        <v>2.1251923908164289E-2</v>
      </c>
      <c r="N72" s="32">
        <v>2.1098537051683956E-2</v>
      </c>
      <c r="O72" s="32">
        <v>0</v>
      </c>
      <c r="P72" s="32">
        <v>0</v>
      </c>
      <c r="Q72" s="32">
        <v>0</v>
      </c>
      <c r="R72" s="32">
        <v>5.6537727274471976</v>
      </c>
      <c r="S72" s="32">
        <v>13.065008839152943</v>
      </c>
      <c r="T72" s="32">
        <v>0</v>
      </c>
      <c r="U72" s="32">
        <v>27.657250948068672</v>
      </c>
      <c r="V72" s="32" t="s">
        <v>610</v>
      </c>
      <c r="W72" s="32" t="s">
        <v>610</v>
      </c>
      <c r="X72" s="32" t="s">
        <v>610</v>
      </c>
      <c r="Y72" s="32" t="s">
        <v>610</v>
      </c>
      <c r="Z72" s="32">
        <v>0</v>
      </c>
      <c r="AA72" s="32">
        <v>0</v>
      </c>
      <c r="AB72" s="32">
        <v>0</v>
      </c>
      <c r="AC72" s="32">
        <v>0</v>
      </c>
      <c r="AD72" s="32">
        <v>0</v>
      </c>
      <c r="AE72" s="32">
        <v>0</v>
      </c>
      <c r="AF72" s="32">
        <v>0</v>
      </c>
      <c r="AG72" s="32">
        <v>-37.220328882366076</v>
      </c>
      <c r="AH72" s="32">
        <v>5.6537727274471976</v>
      </c>
      <c r="AI72" s="32">
        <v>13.065008839152943</v>
      </c>
      <c r="AJ72" s="32">
        <v>0</v>
      </c>
      <c r="AK72" s="32">
        <v>-9.5630779342974037</v>
      </c>
      <c r="AL72" s="32">
        <v>9.155703632302739</v>
      </c>
      <c r="AM72" s="32">
        <v>43.640183554751601</v>
      </c>
      <c r="AN72" s="32">
        <v>7.5093351156297174</v>
      </c>
      <c r="AO72" s="32">
        <v>0</v>
      </c>
      <c r="AP72" s="32">
        <v>0</v>
      </c>
      <c r="AQ72" s="32">
        <v>51.149518670381319</v>
      </c>
      <c r="AR72" s="32">
        <v>5.6537727274471976</v>
      </c>
      <c r="AS72" s="382">
        <v>9.0469711352328179</v>
      </c>
      <c r="AT72" s="32">
        <v>43.640183554751601</v>
      </c>
      <c r="AU72" s="32">
        <v>8.8888161219470927</v>
      </c>
      <c r="AV72" s="32">
        <v>0</v>
      </c>
      <c r="AW72" s="32">
        <v>0</v>
      </c>
      <c r="AX72" s="32">
        <v>52.528999676698696</v>
      </c>
      <c r="AY72" s="32">
        <v>13.065008839152943</v>
      </c>
      <c r="AZ72" s="382">
        <v>4.020586616006022</v>
      </c>
      <c r="BA72" s="32">
        <v>43.640183554751601</v>
      </c>
      <c r="BB72" s="32">
        <v>16.398151237576812</v>
      </c>
      <c r="BC72" s="32">
        <v>0</v>
      </c>
      <c r="BD72" s="32">
        <v>0</v>
      </c>
      <c r="BE72" s="32">
        <v>60.038334792328413</v>
      </c>
      <c r="BF72" s="32">
        <v>18.718781566600143</v>
      </c>
      <c r="BG72" s="32">
        <v>1.8754527389022013</v>
      </c>
      <c r="BH72" s="382">
        <v>3.2073847637313428</v>
      </c>
      <c r="BI72" s="32">
        <v>4.56918252519952</v>
      </c>
      <c r="BJ72" s="32">
        <v>10.558685846997095</v>
      </c>
      <c r="BK72" s="32">
        <v>0</v>
      </c>
      <c r="BL72" s="32">
        <v>-7.7285470589197658</v>
      </c>
      <c r="BM72" s="32">
        <v>7.3993213132768512</v>
      </c>
      <c r="BN72" s="32">
        <v>43.640183554751601</v>
      </c>
      <c r="BO72" s="32">
        <v>0</v>
      </c>
      <c r="BP72" s="32">
        <v>16.398151237576812</v>
      </c>
      <c r="BQ72" s="32">
        <v>0</v>
      </c>
      <c r="BR72" s="32">
        <v>0</v>
      </c>
      <c r="BS72" s="32">
        <v>0</v>
      </c>
      <c r="BT72" s="32">
        <v>0</v>
      </c>
      <c r="BU72" s="32">
        <v>0</v>
      </c>
      <c r="BV72" s="32">
        <v>0</v>
      </c>
      <c r="BW72" s="32">
        <v>0</v>
      </c>
      <c r="BX72" s="32">
        <v>46.376032514668815</v>
      </c>
      <c r="BY72" s="32"/>
      <c r="BZ72" s="32">
        <v>0</v>
      </c>
      <c r="CA72" s="32">
        <v>-37.220328882366076</v>
      </c>
      <c r="CB72" s="32">
        <v>60.038334792328413</v>
      </c>
      <c r="CC72" s="32">
        <v>9.155703632302739</v>
      </c>
      <c r="CD72" s="382">
        <v>2.0971751657266369</v>
      </c>
      <c r="CE72" s="32">
        <v>-5.853094320017564</v>
      </c>
      <c r="CF72" s="32">
        <v>0.86495738240238373</v>
      </c>
      <c r="CG72" s="32">
        <v>0</v>
      </c>
      <c r="CH72" s="32">
        <v>0.86495738240238373</v>
      </c>
      <c r="CI72" s="32">
        <v>4.3247754538573782E-2</v>
      </c>
      <c r="CJ72" s="32">
        <v>0</v>
      </c>
      <c r="CK72" s="32">
        <v>4.3247754538573782E-2</v>
      </c>
      <c r="CL72" s="32"/>
      <c r="CM72" s="32">
        <v>0</v>
      </c>
      <c r="CN72" s="32"/>
      <c r="CO72" s="32">
        <v>0</v>
      </c>
      <c r="CP72" s="32">
        <v>0</v>
      </c>
      <c r="CQ72" s="32">
        <v>0</v>
      </c>
      <c r="CR72" s="32">
        <v>0</v>
      </c>
      <c r="CS72" s="32">
        <v>0</v>
      </c>
      <c r="CT72" s="32">
        <v>0</v>
      </c>
      <c r="CU72" s="32">
        <v>0</v>
      </c>
      <c r="CV72" s="32">
        <v>9999</v>
      </c>
      <c r="CW72" s="382">
        <v>9999</v>
      </c>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row>
    <row r="73" spans="1:131">
      <c r="A73" s="11" t="s">
        <v>668</v>
      </c>
      <c r="B73" s="11" t="s">
        <v>531</v>
      </c>
      <c r="C73" s="32">
        <v>11.627906976744185</v>
      </c>
      <c r="D73" s="32">
        <v>84.924999999999983</v>
      </c>
      <c r="E73" s="32">
        <v>0</v>
      </c>
      <c r="F73" s="32">
        <v>28.35202601226743</v>
      </c>
      <c r="G73" s="32">
        <v>-14</v>
      </c>
      <c r="H73" s="32">
        <v>0</v>
      </c>
      <c r="I73" s="32" t="s">
        <v>525</v>
      </c>
      <c r="J73" s="32"/>
      <c r="K73" s="32"/>
      <c r="L73" s="32">
        <v>91.04790429173427</v>
      </c>
      <c r="M73" s="32">
        <v>2.1251923908164289E-2</v>
      </c>
      <c r="N73" s="32">
        <v>2.1098537051683956E-2</v>
      </c>
      <c r="O73" s="32">
        <v>0</v>
      </c>
      <c r="P73" s="32">
        <v>0</v>
      </c>
      <c r="Q73" s="32">
        <v>0</v>
      </c>
      <c r="R73" s="32">
        <v>5.6537727274471976</v>
      </c>
      <c r="S73" s="32">
        <v>13.065008839152943</v>
      </c>
      <c r="T73" s="32">
        <v>0</v>
      </c>
      <c r="U73" s="32">
        <v>27.657250948068672</v>
      </c>
      <c r="V73" s="32" t="s">
        <v>610</v>
      </c>
      <c r="W73" s="32" t="s">
        <v>610</v>
      </c>
      <c r="X73" s="32" t="s">
        <v>610</v>
      </c>
      <c r="Y73" s="32" t="s">
        <v>610</v>
      </c>
      <c r="Z73" s="32">
        <v>0</v>
      </c>
      <c r="AA73" s="32">
        <v>0</v>
      </c>
      <c r="AB73" s="32">
        <v>0</v>
      </c>
      <c r="AC73" s="32">
        <v>-190.26456882954764</v>
      </c>
      <c r="AD73" s="32">
        <v>0</v>
      </c>
      <c r="AE73" s="32">
        <v>0</v>
      </c>
      <c r="AF73" s="32">
        <v>0</v>
      </c>
      <c r="AG73" s="32">
        <v>0</v>
      </c>
      <c r="AH73" s="32">
        <v>5.6537727274471976</v>
      </c>
      <c r="AI73" s="32">
        <v>13.065008839152943</v>
      </c>
      <c r="AJ73" s="32">
        <v>0</v>
      </c>
      <c r="AK73" s="32">
        <v>-162.60731788147896</v>
      </c>
      <c r="AL73" s="32">
        <v>-143.88853631487882</v>
      </c>
      <c r="AM73" s="32">
        <v>43.640183554751601</v>
      </c>
      <c r="AN73" s="32">
        <v>7.5093351156297174</v>
      </c>
      <c r="AO73" s="32">
        <v>0</v>
      </c>
      <c r="AP73" s="32">
        <v>0</v>
      </c>
      <c r="AQ73" s="32">
        <v>51.149518670381319</v>
      </c>
      <c r="AR73" s="32">
        <v>5.6537727274471976</v>
      </c>
      <c r="AS73" s="382">
        <v>9.0469711352328179</v>
      </c>
      <c r="AT73" s="32">
        <v>43.640183554751601</v>
      </c>
      <c r="AU73" s="32">
        <v>8.8888161219470927</v>
      </c>
      <c r="AV73" s="32">
        <v>0</v>
      </c>
      <c r="AW73" s="32">
        <v>0</v>
      </c>
      <c r="AX73" s="32">
        <v>52.528999676698696</v>
      </c>
      <c r="AY73" s="32">
        <v>13.065008839152943</v>
      </c>
      <c r="AZ73" s="382">
        <v>4.020586616006022</v>
      </c>
      <c r="BA73" s="32">
        <v>43.640183554751601</v>
      </c>
      <c r="BB73" s="32">
        <v>16.398151237576812</v>
      </c>
      <c r="BC73" s="32">
        <v>0</v>
      </c>
      <c r="BD73" s="32">
        <v>0</v>
      </c>
      <c r="BE73" s="32">
        <v>60.038334792328413</v>
      </c>
      <c r="BF73" s="32">
        <v>18.718781566600143</v>
      </c>
      <c r="BG73" s="32">
        <v>1.8754527389022013</v>
      </c>
      <c r="BH73" s="382">
        <v>3.2073847637313428</v>
      </c>
      <c r="BI73" s="32">
        <v>4.56918252519952</v>
      </c>
      <c r="BJ73" s="32">
        <v>10.558685846997095</v>
      </c>
      <c r="BK73" s="32">
        <v>0</v>
      </c>
      <c r="BL73" s="32">
        <v>-131.41358012618417</v>
      </c>
      <c r="BM73" s="32">
        <v>-116.28571175398754</v>
      </c>
      <c r="BN73" s="32">
        <v>43.640183554751601</v>
      </c>
      <c r="BO73" s="32">
        <v>0</v>
      </c>
      <c r="BP73" s="32">
        <v>16.398151237576812</v>
      </c>
      <c r="BQ73" s="32">
        <v>0</v>
      </c>
      <c r="BR73" s="32">
        <v>0</v>
      </c>
      <c r="BS73" s="32">
        <v>0</v>
      </c>
      <c r="BT73" s="32">
        <v>0</v>
      </c>
      <c r="BU73" s="32">
        <v>0</v>
      </c>
      <c r="BV73" s="32">
        <v>0</v>
      </c>
      <c r="BW73" s="32">
        <v>0</v>
      </c>
      <c r="BX73" s="32">
        <v>46.376032514668815</v>
      </c>
      <c r="BY73" s="32"/>
      <c r="BZ73" s="32">
        <v>-190.26456882954764</v>
      </c>
      <c r="CA73" s="32">
        <v>0</v>
      </c>
      <c r="CB73" s="32">
        <v>60.038334792328413</v>
      </c>
      <c r="CC73" s="32">
        <v>-143.88853631487882</v>
      </c>
      <c r="CD73" s="382">
        <v>5.3972470271730302</v>
      </c>
      <c r="CE73" s="32">
        <v>-129.53812738728197</v>
      </c>
      <c r="CF73" s="32">
        <v>0.86495738240238373</v>
      </c>
      <c r="CG73" s="32">
        <v>0</v>
      </c>
      <c r="CH73" s="32">
        <v>0.86495738240238373</v>
      </c>
      <c r="CI73" s="32">
        <v>4.3247754538573782E-2</v>
      </c>
      <c r="CJ73" s="32">
        <v>0</v>
      </c>
      <c r="CK73" s="32">
        <v>4.3247754538573782E-2</v>
      </c>
      <c r="CL73" s="32"/>
      <c r="CM73" s="32">
        <v>0</v>
      </c>
      <c r="CN73" s="32"/>
      <c r="CO73" s="32">
        <v>0</v>
      </c>
      <c r="CP73" s="32">
        <v>0</v>
      </c>
      <c r="CQ73" s="32">
        <v>0</v>
      </c>
      <c r="CR73" s="32">
        <v>0</v>
      </c>
      <c r="CS73" s="32">
        <v>0</v>
      </c>
      <c r="CT73" s="32">
        <v>0</v>
      </c>
      <c r="CU73" s="32">
        <v>0</v>
      </c>
      <c r="CV73" s="32">
        <v>9999</v>
      </c>
      <c r="CW73" s="382">
        <v>9999</v>
      </c>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row>
    <row r="74" spans="1:131">
      <c r="A74" s="11" t="s">
        <v>668</v>
      </c>
      <c r="B74" s="11" t="s">
        <v>532</v>
      </c>
      <c r="C74" s="32">
        <v>11.627906976744185</v>
      </c>
      <c r="D74" s="32">
        <v>67.724999999999994</v>
      </c>
      <c r="E74" s="32">
        <v>0</v>
      </c>
      <c r="F74" s="32">
        <v>28.35202601226743</v>
      </c>
      <c r="G74" s="32">
        <v>0</v>
      </c>
      <c r="H74" s="32">
        <v>-37.220328882366076</v>
      </c>
      <c r="I74" s="32" t="s">
        <v>525</v>
      </c>
      <c r="J74" s="32"/>
      <c r="K74" s="32"/>
      <c r="L74" s="32">
        <v>72.607822409864042</v>
      </c>
      <c r="M74" s="32">
        <v>1.6947736787523423E-2</v>
      </c>
      <c r="N74" s="32">
        <v>1.6825415623494804E-2</v>
      </c>
      <c r="O74" s="32">
        <v>0</v>
      </c>
      <c r="P74" s="32">
        <v>0</v>
      </c>
      <c r="Q74" s="32">
        <v>0</v>
      </c>
      <c r="R74" s="32">
        <v>5.6537727274471976</v>
      </c>
      <c r="S74" s="32">
        <v>13.065008839152943</v>
      </c>
      <c r="T74" s="32">
        <v>0</v>
      </c>
      <c r="U74" s="32">
        <v>27.657250948068672</v>
      </c>
      <c r="V74" s="32" t="s">
        <v>610</v>
      </c>
      <c r="W74" s="32" t="s">
        <v>610</v>
      </c>
      <c r="X74" s="32" t="s">
        <v>610</v>
      </c>
      <c r="Y74" s="32" t="s">
        <v>610</v>
      </c>
      <c r="Z74" s="32">
        <v>0</v>
      </c>
      <c r="AA74" s="32">
        <v>0</v>
      </c>
      <c r="AB74" s="32">
        <v>0</v>
      </c>
      <c r="AC74" s="32">
        <v>0</v>
      </c>
      <c r="AD74" s="32">
        <v>0</v>
      </c>
      <c r="AE74" s="32">
        <v>0</v>
      </c>
      <c r="AF74" s="32">
        <v>0</v>
      </c>
      <c r="AG74" s="32">
        <v>-37.220328882366076</v>
      </c>
      <c r="AH74" s="32">
        <v>5.6537727274471976</v>
      </c>
      <c r="AI74" s="32">
        <v>13.065008839152943</v>
      </c>
      <c r="AJ74" s="32">
        <v>0</v>
      </c>
      <c r="AK74" s="32">
        <v>-9.5630779342974037</v>
      </c>
      <c r="AL74" s="32">
        <v>9.155703632302739</v>
      </c>
      <c r="AM74" s="32">
        <v>34.801665366447452</v>
      </c>
      <c r="AN74" s="32">
        <v>5.9884571175274965</v>
      </c>
      <c r="AO74" s="32">
        <v>0</v>
      </c>
      <c r="AP74" s="32">
        <v>0</v>
      </c>
      <c r="AQ74" s="32">
        <v>40.790122483974947</v>
      </c>
      <c r="AR74" s="32">
        <v>5.6537727274471976</v>
      </c>
      <c r="AS74" s="382">
        <v>7.2146731837932547</v>
      </c>
      <c r="AT74" s="32">
        <v>34.801665366447452</v>
      </c>
      <c r="AU74" s="32">
        <v>7.0885495656033806</v>
      </c>
      <c r="AV74" s="32">
        <v>0</v>
      </c>
      <c r="AW74" s="32">
        <v>0</v>
      </c>
      <c r="AX74" s="32">
        <v>41.890214932050831</v>
      </c>
      <c r="AY74" s="32">
        <v>13.065008839152943</v>
      </c>
      <c r="AZ74" s="382">
        <v>3.2062905925111291</v>
      </c>
      <c r="BA74" s="32">
        <v>34.801665366447452</v>
      </c>
      <c r="BB74" s="32">
        <v>13.077006683130877</v>
      </c>
      <c r="BC74" s="32">
        <v>0</v>
      </c>
      <c r="BD74" s="32">
        <v>0</v>
      </c>
      <c r="BE74" s="32">
        <v>47.878672049578327</v>
      </c>
      <c r="BF74" s="32">
        <v>18.718781566600143</v>
      </c>
      <c r="BG74" s="32">
        <v>5.7174510556505487</v>
      </c>
      <c r="BH74" s="382">
        <v>2.5577878495579047</v>
      </c>
      <c r="BI74" s="32">
        <v>5.7296098331866991</v>
      </c>
      <c r="BJ74" s="32">
        <v>13.240256855758261</v>
      </c>
      <c r="BK74" s="32">
        <v>0</v>
      </c>
      <c r="BL74" s="32">
        <v>-9.6913526611851033</v>
      </c>
      <c r="BM74" s="32">
        <v>9.2785140277598614</v>
      </c>
      <c r="BN74" s="32">
        <v>34.801665366447452</v>
      </c>
      <c r="BO74" s="32">
        <v>0</v>
      </c>
      <c r="BP74" s="32">
        <v>13.077006683130877</v>
      </c>
      <c r="BQ74" s="32">
        <v>0</v>
      </c>
      <c r="BR74" s="32">
        <v>0</v>
      </c>
      <c r="BS74" s="32">
        <v>0</v>
      </c>
      <c r="BT74" s="32">
        <v>0</v>
      </c>
      <c r="BU74" s="32">
        <v>0</v>
      </c>
      <c r="BV74" s="32">
        <v>0</v>
      </c>
      <c r="BW74" s="32">
        <v>0</v>
      </c>
      <c r="BX74" s="32">
        <v>46.376032514668815</v>
      </c>
      <c r="BY74" s="32"/>
      <c r="BZ74" s="32">
        <v>0</v>
      </c>
      <c r="CA74" s="32">
        <v>-37.220328882366076</v>
      </c>
      <c r="CB74" s="32">
        <v>47.878672049578327</v>
      </c>
      <c r="CC74" s="32">
        <v>9.155703632302739</v>
      </c>
      <c r="CD74" s="382">
        <v>1.834978033212036</v>
      </c>
      <c r="CE74" s="32">
        <v>-3.9739016055345542</v>
      </c>
      <c r="CF74" s="32">
        <v>0.68977614039683877</v>
      </c>
      <c r="CG74" s="32">
        <v>0</v>
      </c>
      <c r="CH74" s="32">
        <v>0.68977614039683877</v>
      </c>
      <c r="CI74" s="32">
        <v>3.4488715644685433E-2</v>
      </c>
      <c r="CJ74" s="32">
        <v>0</v>
      </c>
      <c r="CK74" s="32">
        <v>3.4488715644685433E-2</v>
      </c>
      <c r="CL74" s="32"/>
      <c r="CM74" s="32">
        <v>0</v>
      </c>
      <c r="CN74" s="32"/>
      <c r="CO74" s="32">
        <v>0</v>
      </c>
      <c r="CP74" s="32">
        <v>0</v>
      </c>
      <c r="CQ74" s="32">
        <v>0</v>
      </c>
      <c r="CR74" s="32">
        <v>0</v>
      </c>
      <c r="CS74" s="32">
        <v>0</v>
      </c>
      <c r="CT74" s="32">
        <v>0</v>
      </c>
      <c r="CU74" s="32">
        <v>0</v>
      </c>
      <c r="CV74" s="32">
        <v>9999</v>
      </c>
      <c r="CW74" s="382">
        <v>9999</v>
      </c>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row>
    <row r="75" spans="1:131">
      <c r="A75" s="11" t="s">
        <v>668</v>
      </c>
      <c r="B75" s="11" t="s">
        <v>533</v>
      </c>
      <c r="C75" s="32">
        <v>11.627906976744185</v>
      </c>
      <c r="D75" s="32">
        <v>67.724999999999994</v>
      </c>
      <c r="E75" s="32">
        <v>0</v>
      </c>
      <c r="F75" s="32">
        <v>28.35202601226743</v>
      </c>
      <c r="G75" s="32">
        <v>-14</v>
      </c>
      <c r="H75" s="32">
        <v>0</v>
      </c>
      <c r="I75" s="32" t="s">
        <v>525</v>
      </c>
      <c r="J75" s="32"/>
      <c r="K75" s="32"/>
      <c r="L75" s="32">
        <v>72.607822409864042</v>
      </c>
      <c r="M75" s="32">
        <v>1.6947736787523423E-2</v>
      </c>
      <c r="N75" s="32">
        <v>1.6825415623494804E-2</v>
      </c>
      <c r="O75" s="32">
        <v>0</v>
      </c>
      <c r="P75" s="32">
        <v>0</v>
      </c>
      <c r="Q75" s="32">
        <v>0</v>
      </c>
      <c r="R75" s="32">
        <v>5.6537727274471976</v>
      </c>
      <c r="S75" s="32">
        <v>13.065008839152943</v>
      </c>
      <c r="T75" s="32">
        <v>0</v>
      </c>
      <c r="U75" s="32">
        <v>27.657250948068672</v>
      </c>
      <c r="V75" s="32" t="s">
        <v>610</v>
      </c>
      <c r="W75" s="32" t="s">
        <v>610</v>
      </c>
      <c r="X75" s="32" t="s">
        <v>610</v>
      </c>
      <c r="Y75" s="32" t="s">
        <v>610</v>
      </c>
      <c r="Z75" s="32">
        <v>0</v>
      </c>
      <c r="AA75" s="32">
        <v>0</v>
      </c>
      <c r="AB75" s="32">
        <v>0</v>
      </c>
      <c r="AC75" s="32">
        <v>-190.26456882954764</v>
      </c>
      <c r="AD75" s="32">
        <v>0</v>
      </c>
      <c r="AE75" s="32">
        <v>0</v>
      </c>
      <c r="AF75" s="32">
        <v>0</v>
      </c>
      <c r="AG75" s="32">
        <v>0</v>
      </c>
      <c r="AH75" s="32">
        <v>5.6537727274471976</v>
      </c>
      <c r="AI75" s="32">
        <v>13.065008839152943</v>
      </c>
      <c r="AJ75" s="32">
        <v>0</v>
      </c>
      <c r="AK75" s="32">
        <v>-162.60731788147896</v>
      </c>
      <c r="AL75" s="32">
        <v>-143.88853631487882</v>
      </c>
      <c r="AM75" s="32">
        <v>34.801665366447452</v>
      </c>
      <c r="AN75" s="32">
        <v>5.9884571175274965</v>
      </c>
      <c r="AO75" s="32">
        <v>0</v>
      </c>
      <c r="AP75" s="32">
        <v>0</v>
      </c>
      <c r="AQ75" s="32">
        <v>40.790122483974947</v>
      </c>
      <c r="AR75" s="32">
        <v>5.6537727274471976</v>
      </c>
      <c r="AS75" s="382">
        <v>7.2146731837932547</v>
      </c>
      <c r="AT75" s="32">
        <v>34.801665366447452</v>
      </c>
      <c r="AU75" s="32">
        <v>7.0885495656033806</v>
      </c>
      <c r="AV75" s="32">
        <v>0</v>
      </c>
      <c r="AW75" s="32">
        <v>0</v>
      </c>
      <c r="AX75" s="32">
        <v>41.890214932050831</v>
      </c>
      <c r="AY75" s="32">
        <v>13.065008839152943</v>
      </c>
      <c r="AZ75" s="382">
        <v>3.2062905925111291</v>
      </c>
      <c r="BA75" s="32">
        <v>34.801665366447452</v>
      </c>
      <c r="BB75" s="32">
        <v>13.077006683130877</v>
      </c>
      <c r="BC75" s="32">
        <v>0</v>
      </c>
      <c r="BD75" s="32">
        <v>0</v>
      </c>
      <c r="BE75" s="32">
        <v>47.878672049578327</v>
      </c>
      <c r="BF75" s="32">
        <v>18.718781566600143</v>
      </c>
      <c r="BG75" s="32">
        <v>5.7174510556505487</v>
      </c>
      <c r="BH75" s="382">
        <v>2.5577878495579047</v>
      </c>
      <c r="BI75" s="32">
        <v>5.7296098331866991</v>
      </c>
      <c r="BJ75" s="32">
        <v>13.240256855758261</v>
      </c>
      <c r="BK75" s="32">
        <v>0</v>
      </c>
      <c r="BL75" s="32">
        <v>-164.78845761854839</v>
      </c>
      <c r="BM75" s="32">
        <v>-145.81859092960343</v>
      </c>
      <c r="BN75" s="32">
        <v>34.801665366447452</v>
      </c>
      <c r="BO75" s="32">
        <v>0</v>
      </c>
      <c r="BP75" s="32">
        <v>13.077006683130877</v>
      </c>
      <c r="BQ75" s="32">
        <v>0</v>
      </c>
      <c r="BR75" s="32">
        <v>0</v>
      </c>
      <c r="BS75" s="32">
        <v>0</v>
      </c>
      <c r="BT75" s="32">
        <v>0</v>
      </c>
      <c r="BU75" s="32">
        <v>0</v>
      </c>
      <c r="BV75" s="32">
        <v>0</v>
      </c>
      <c r="BW75" s="32">
        <v>0</v>
      </c>
      <c r="BX75" s="32">
        <v>46.376032514668815</v>
      </c>
      <c r="BY75" s="32"/>
      <c r="BZ75" s="32">
        <v>-190.26456882954764</v>
      </c>
      <c r="CA75" s="32">
        <v>0</v>
      </c>
      <c r="CB75" s="32">
        <v>47.878672049578327</v>
      </c>
      <c r="CC75" s="32">
        <v>-143.88853631487882</v>
      </c>
      <c r="CD75" s="382">
        <v>5.1350498946584295</v>
      </c>
      <c r="CE75" s="32">
        <v>-159.07100656289782</v>
      </c>
      <c r="CF75" s="32">
        <v>0.68977614039683877</v>
      </c>
      <c r="CG75" s="32">
        <v>0</v>
      </c>
      <c r="CH75" s="32">
        <v>0.68977614039683877</v>
      </c>
      <c r="CI75" s="32">
        <v>3.4488715644685433E-2</v>
      </c>
      <c r="CJ75" s="32">
        <v>0</v>
      </c>
      <c r="CK75" s="32">
        <v>3.4488715644685433E-2</v>
      </c>
      <c r="CL75" s="32"/>
      <c r="CM75" s="32">
        <v>0</v>
      </c>
      <c r="CN75" s="32"/>
      <c r="CO75" s="32">
        <v>0</v>
      </c>
      <c r="CP75" s="32">
        <v>0</v>
      </c>
      <c r="CQ75" s="32">
        <v>0</v>
      </c>
      <c r="CR75" s="32">
        <v>0</v>
      </c>
      <c r="CS75" s="32">
        <v>0</v>
      </c>
      <c r="CT75" s="32">
        <v>0</v>
      </c>
      <c r="CU75" s="32">
        <v>0</v>
      </c>
      <c r="CV75" s="32">
        <v>9999</v>
      </c>
      <c r="CW75" s="382">
        <v>9999</v>
      </c>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row>
    <row r="76" spans="1:131">
      <c r="A76" s="11" t="s">
        <v>669</v>
      </c>
      <c r="B76" s="11" t="s">
        <v>839</v>
      </c>
      <c r="C76" s="32">
        <v>11.627906976744185</v>
      </c>
      <c r="D76" s="32">
        <v>197.8</v>
      </c>
      <c r="E76" s="32">
        <v>0</v>
      </c>
      <c r="F76" s="32">
        <v>81.005788606478362</v>
      </c>
      <c r="G76" s="32">
        <v>0</v>
      </c>
      <c r="H76" s="32">
        <v>-77.340943132189253</v>
      </c>
      <c r="I76" s="32" t="s">
        <v>525</v>
      </c>
      <c r="J76" s="32"/>
      <c r="K76" s="32"/>
      <c r="L76" s="32">
        <v>212.06094164150772</v>
      </c>
      <c r="M76" s="32">
        <v>4.9498151887370001E-2</v>
      </c>
      <c r="N76" s="32">
        <v>4.9140896424175309E-2</v>
      </c>
      <c r="O76" s="32">
        <v>0</v>
      </c>
      <c r="P76" s="32">
        <v>0</v>
      </c>
      <c r="Q76" s="32">
        <v>0</v>
      </c>
      <c r="R76" s="32">
        <v>16.153636364134851</v>
      </c>
      <c r="S76" s="32">
        <v>37.328596683294116</v>
      </c>
      <c r="T76" s="32">
        <v>0</v>
      </c>
      <c r="U76" s="32">
        <v>79.020716994481901</v>
      </c>
      <c r="V76" s="32" t="s">
        <v>610</v>
      </c>
      <c r="W76" s="32" t="s">
        <v>610</v>
      </c>
      <c r="X76" s="32" t="s">
        <v>610</v>
      </c>
      <c r="Y76" s="32" t="s">
        <v>610</v>
      </c>
      <c r="Z76" s="32">
        <v>0</v>
      </c>
      <c r="AA76" s="32">
        <v>0</v>
      </c>
      <c r="AB76" s="32">
        <v>0</v>
      </c>
      <c r="AC76" s="32">
        <v>0</v>
      </c>
      <c r="AD76" s="32">
        <v>0</v>
      </c>
      <c r="AE76" s="32">
        <v>0</v>
      </c>
      <c r="AF76" s="32">
        <v>0</v>
      </c>
      <c r="AG76" s="32">
        <v>-77.340943132189253</v>
      </c>
      <c r="AH76" s="32">
        <v>16.153636364134851</v>
      </c>
      <c r="AI76" s="32">
        <v>37.328596683294116</v>
      </c>
      <c r="AJ76" s="32">
        <v>0</v>
      </c>
      <c r="AK76" s="32">
        <v>1.6797738622926488</v>
      </c>
      <c r="AL76" s="32">
        <v>55.162006909721612</v>
      </c>
      <c r="AM76" s="32">
        <v>101.64295916549729</v>
      </c>
      <c r="AN76" s="32">
        <v>17.490096978175551</v>
      </c>
      <c r="AO76" s="32">
        <v>0</v>
      </c>
      <c r="AP76" s="32">
        <v>0</v>
      </c>
      <c r="AQ76" s="32">
        <v>119.13305614367283</v>
      </c>
      <c r="AR76" s="32">
        <v>16.153636364134851</v>
      </c>
      <c r="AS76" s="382">
        <v>7.374999254544214</v>
      </c>
      <c r="AT76" s="32">
        <v>101.64295916549729</v>
      </c>
      <c r="AU76" s="32">
        <v>20.703065397952734</v>
      </c>
      <c r="AV76" s="32">
        <v>0</v>
      </c>
      <c r="AW76" s="32">
        <v>0</v>
      </c>
      <c r="AX76" s="32">
        <v>122.34602456345002</v>
      </c>
      <c r="AY76" s="32">
        <v>37.328596683294116</v>
      </c>
      <c r="AZ76" s="382">
        <v>3.2775414945669321</v>
      </c>
      <c r="BA76" s="32">
        <v>101.64295916549729</v>
      </c>
      <c r="BB76" s="32">
        <v>38.193162376128285</v>
      </c>
      <c r="BC76" s="32">
        <v>0</v>
      </c>
      <c r="BD76" s="32">
        <v>0</v>
      </c>
      <c r="BE76" s="32">
        <v>139.83612154162557</v>
      </c>
      <c r="BF76" s="32">
        <v>53.482233047428963</v>
      </c>
      <c r="BG76" s="32">
        <v>5.3050626493691251</v>
      </c>
      <c r="BH76" s="382">
        <v>2.6146275795480811</v>
      </c>
      <c r="BI76" s="32">
        <v>5.6050530976826405</v>
      </c>
      <c r="BJ76" s="32">
        <v>12.952425184980903</v>
      </c>
      <c r="BK76" s="32">
        <v>0</v>
      </c>
      <c r="BL76" s="32">
        <v>0.58285462653807851</v>
      </c>
      <c r="BM76" s="32">
        <v>19.140332909201621</v>
      </c>
      <c r="BN76" s="32">
        <v>101.64295916549729</v>
      </c>
      <c r="BO76" s="32">
        <v>0</v>
      </c>
      <c r="BP76" s="32">
        <v>38.193162376128285</v>
      </c>
      <c r="BQ76" s="32">
        <v>0</v>
      </c>
      <c r="BR76" s="32">
        <v>0</v>
      </c>
      <c r="BS76" s="32">
        <v>0</v>
      </c>
      <c r="BT76" s="32">
        <v>0</v>
      </c>
      <c r="BU76" s="32">
        <v>0</v>
      </c>
      <c r="BV76" s="32">
        <v>0</v>
      </c>
      <c r="BW76" s="32">
        <v>0</v>
      </c>
      <c r="BX76" s="32">
        <v>132.50295004191088</v>
      </c>
      <c r="BY76" s="32"/>
      <c r="BZ76" s="32">
        <v>0</v>
      </c>
      <c r="CA76" s="32">
        <v>-77.340943132189253</v>
      </c>
      <c r="CB76" s="32">
        <v>139.83612154162557</v>
      </c>
      <c r="CC76" s="32">
        <v>55.162006909721626</v>
      </c>
      <c r="CD76" s="382">
        <v>1.6390356939609376</v>
      </c>
      <c r="CE76" s="32">
        <v>5.887917275907208</v>
      </c>
      <c r="CF76" s="32">
        <v>2.0145842830637801</v>
      </c>
      <c r="CG76" s="32">
        <v>0</v>
      </c>
      <c r="CH76" s="32">
        <v>2.0145842830637801</v>
      </c>
      <c r="CI76" s="32">
        <v>0.10072894727971618</v>
      </c>
      <c r="CJ76" s="32">
        <v>0</v>
      </c>
      <c r="CK76" s="32">
        <v>0.10072894727971618</v>
      </c>
      <c r="CL76" s="32"/>
      <c r="CM76" s="32">
        <v>0</v>
      </c>
      <c r="CN76" s="32"/>
      <c r="CO76" s="32">
        <v>0</v>
      </c>
      <c r="CP76" s="32">
        <v>0</v>
      </c>
      <c r="CQ76" s="32">
        <v>0</v>
      </c>
      <c r="CR76" s="32">
        <v>0</v>
      </c>
      <c r="CS76" s="32">
        <v>0</v>
      </c>
      <c r="CT76" s="32">
        <v>0</v>
      </c>
      <c r="CU76" s="32">
        <v>0</v>
      </c>
      <c r="CV76" s="32">
        <v>9999</v>
      </c>
      <c r="CW76" s="382">
        <v>9999</v>
      </c>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row>
    <row r="77" spans="1:131">
      <c r="A77" s="11" t="s">
        <v>669</v>
      </c>
      <c r="B77" s="11" t="s">
        <v>840</v>
      </c>
      <c r="C77" s="32">
        <v>11.627906976744185</v>
      </c>
      <c r="D77" s="32">
        <v>197.8</v>
      </c>
      <c r="E77" s="32">
        <v>0</v>
      </c>
      <c r="F77" s="32">
        <v>81.005788606478362</v>
      </c>
      <c r="G77" s="32">
        <v>-28</v>
      </c>
      <c r="H77" s="32">
        <v>0</v>
      </c>
      <c r="I77" s="32" t="s">
        <v>525</v>
      </c>
      <c r="J77" s="32"/>
      <c r="K77" s="32"/>
      <c r="L77" s="32">
        <v>212.06094164150772</v>
      </c>
      <c r="M77" s="32">
        <v>4.9498151887370001E-2</v>
      </c>
      <c r="N77" s="32">
        <v>4.9140896424175309E-2</v>
      </c>
      <c r="O77" s="32">
        <v>0</v>
      </c>
      <c r="P77" s="32">
        <v>0</v>
      </c>
      <c r="Q77" s="32">
        <v>0</v>
      </c>
      <c r="R77" s="32">
        <v>16.153636364134851</v>
      </c>
      <c r="S77" s="32">
        <v>37.328596683294116</v>
      </c>
      <c r="T77" s="32">
        <v>0</v>
      </c>
      <c r="U77" s="32">
        <v>79.020716994481901</v>
      </c>
      <c r="V77" s="32" t="s">
        <v>610</v>
      </c>
      <c r="W77" s="32" t="s">
        <v>610</v>
      </c>
      <c r="X77" s="32" t="s">
        <v>610</v>
      </c>
      <c r="Y77" s="32" t="s">
        <v>610</v>
      </c>
      <c r="Z77" s="32">
        <v>0</v>
      </c>
      <c r="AA77" s="32">
        <v>0</v>
      </c>
      <c r="AB77" s="32">
        <v>0</v>
      </c>
      <c r="AC77" s="32">
        <v>-380.52913765909528</v>
      </c>
      <c r="AD77" s="32">
        <v>0</v>
      </c>
      <c r="AE77" s="32">
        <v>0</v>
      </c>
      <c r="AF77" s="32">
        <v>0</v>
      </c>
      <c r="AG77" s="32">
        <v>0</v>
      </c>
      <c r="AH77" s="32">
        <v>16.153636364134851</v>
      </c>
      <c r="AI77" s="32">
        <v>37.328596683294116</v>
      </c>
      <c r="AJ77" s="32">
        <v>0</v>
      </c>
      <c r="AK77" s="32">
        <v>-301.50842066461337</v>
      </c>
      <c r="AL77" s="32">
        <v>-248.02618761718441</v>
      </c>
      <c r="AM77" s="32">
        <v>101.64295916549729</v>
      </c>
      <c r="AN77" s="32">
        <v>17.490096978175551</v>
      </c>
      <c r="AO77" s="32">
        <v>0</v>
      </c>
      <c r="AP77" s="32">
        <v>0</v>
      </c>
      <c r="AQ77" s="32">
        <v>119.13305614367283</v>
      </c>
      <c r="AR77" s="32">
        <v>16.153636364134851</v>
      </c>
      <c r="AS77" s="382">
        <v>7.374999254544214</v>
      </c>
      <c r="AT77" s="32">
        <v>101.64295916549729</v>
      </c>
      <c r="AU77" s="32">
        <v>20.703065397952734</v>
      </c>
      <c r="AV77" s="32">
        <v>0</v>
      </c>
      <c r="AW77" s="32">
        <v>0</v>
      </c>
      <c r="AX77" s="32">
        <v>122.34602456345002</v>
      </c>
      <c r="AY77" s="32">
        <v>37.328596683294116</v>
      </c>
      <c r="AZ77" s="382">
        <v>3.2775414945669321</v>
      </c>
      <c r="BA77" s="32">
        <v>101.64295916549729</v>
      </c>
      <c r="BB77" s="32">
        <v>38.193162376128285</v>
      </c>
      <c r="BC77" s="32">
        <v>0</v>
      </c>
      <c r="BD77" s="32">
        <v>0</v>
      </c>
      <c r="BE77" s="32">
        <v>139.83612154162557</v>
      </c>
      <c r="BF77" s="32">
        <v>53.482233047428963</v>
      </c>
      <c r="BG77" s="32">
        <v>5.3050626493691251</v>
      </c>
      <c r="BH77" s="382">
        <v>2.6146275795480811</v>
      </c>
      <c r="BI77" s="32">
        <v>5.6050530976826405</v>
      </c>
      <c r="BJ77" s="32">
        <v>12.952425184980903</v>
      </c>
      <c r="BK77" s="32">
        <v>0</v>
      </c>
      <c r="BL77" s="32">
        <v>-104.61859293649529</v>
      </c>
      <c r="BM77" s="32">
        <v>-86.061114653831751</v>
      </c>
      <c r="BN77" s="32">
        <v>101.64295916549729</v>
      </c>
      <c r="BO77" s="32">
        <v>0</v>
      </c>
      <c r="BP77" s="32">
        <v>38.193162376128285</v>
      </c>
      <c r="BQ77" s="32">
        <v>0</v>
      </c>
      <c r="BR77" s="32">
        <v>0</v>
      </c>
      <c r="BS77" s="32">
        <v>0</v>
      </c>
      <c r="BT77" s="32">
        <v>0</v>
      </c>
      <c r="BU77" s="32">
        <v>0</v>
      </c>
      <c r="BV77" s="32">
        <v>0</v>
      </c>
      <c r="BW77" s="32">
        <v>0</v>
      </c>
      <c r="BX77" s="32">
        <v>132.50295004191088</v>
      </c>
      <c r="BY77" s="32"/>
      <c r="BZ77" s="32">
        <v>-380.52913765909528</v>
      </c>
      <c r="CA77" s="32">
        <v>0</v>
      </c>
      <c r="CB77" s="32">
        <v>139.83612154162557</v>
      </c>
      <c r="CC77" s="32">
        <v>-248.02618761718441</v>
      </c>
      <c r="CD77" s="382">
        <v>3.9271975381388002</v>
      </c>
      <c r="CE77" s="32">
        <v>-99.313530287126156</v>
      </c>
      <c r="CF77" s="32">
        <v>2.0145842830637801</v>
      </c>
      <c r="CG77" s="32">
        <v>0</v>
      </c>
      <c r="CH77" s="32">
        <v>2.0145842830637801</v>
      </c>
      <c r="CI77" s="32">
        <v>0.10072894727971618</v>
      </c>
      <c r="CJ77" s="32">
        <v>0</v>
      </c>
      <c r="CK77" s="32">
        <v>0.10072894727971618</v>
      </c>
      <c r="CL77" s="32"/>
      <c r="CM77" s="32">
        <v>0</v>
      </c>
      <c r="CN77" s="32"/>
      <c r="CO77" s="32">
        <v>0</v>
      </c>
      <c r="CP77" s="32">
        <v>0</v>
      </c>
      <c r="CQ77" s="32">
        <v>0</v>
      </c>
      <c r="CR77" s="32">
        <v>0</v>
      </c>
      <c r="CS77" s="32">
        <v>0</v>
      </c>
      <c r="CT77" s="32">
        <v>0</v>
      </c>
      <c r="CU77" s="32">
        <v>0</v>
      </c>
      <c r="CV77" s="32">
        <v>9999</v>
      </c>
      <c r="CW77" s="382">
        <v>9999</v>
      </c>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row>
    <row r="78" spans="1:131">
      <c r="A78" s="11" t="s">
        <v>670</v>
      </c>
      <c r="B78" s="11" t="s">
        <v>841</v>
      </c>
      <c r="C78" s="32">
        <v>11.627906976744185</v>
      </c>
      <c r="D78" s="32">
        <v>333.25</v>
      </c>
      <c r="E78" s="32">
        <v>0</v>
      </c>
      <c r="F78" s="32">
        <v>81.005788606478362</v>
      </c>
      <c r="G78" s="32">
        <v>0</v>
      </c>
      <c r="H78" s="32">
        <v>-77.340943132189253</v>
      </c>
      <c r="I78" s="32" t="s">
        <v>525</v>
      </c>
      <c r="J78" s="32"/>
      <c r="K78" s="32"/>
      <c r="L78" s="32">
        <v>357.27658646123581</v>
      </c>
      <c r="M78" s="32">
        <v>8.3393625462416854E-2</v>
      </c>
      <c r="N78" s="32">
        <v>8.2791727671164911E-2</v>
      </c>
      <c r="O78" s="32">
        <v>0</v>
      </c>
      <c r="P78" s="32">
        <v>0</v>
      </c>
      <c r="Q78" s="32">
        <v>0</v>
      </c>
      <c r="R78" s="32">
        <v>16.153636364134851</v>
      </c>
      <c r="S78" s="32">
        <v>37.328596683294116</v>
      </c>
      <c r="T78" s="32">
        <v>0</v>
      </c>
      <c r="U78" s="32">
        <v>79.020716994481901</v>
      </c>
      <c r="V78" s="32" t="s">
        <v>610</v>
      </c>
      <c r="W78" s="32" t="s">
        <v>610</v>
      </c>
      <c r="X78" s="32" t="s">
        <v>610</v>
      </c>
      <c r="Y78" s="32" t="s">
        <v>610</v>
      </c>
      <c r="Z78" s="32">
        <v>0</v>
      </c>
      <c r="AA78" s="32">
        <v>0</v>
      </c>
      <c r="AB78" s="32">
        <v>0</v>
      </c>
      <c r="AC78" s="32">
        <v>0</v>
      </c>
      <c r="AD78" s="32">
        <v>0</v>
      </c>
      <c r="AE78" s="32">
        <v>0</v>
      </c>
      <c r="AF78" s="32">
        <v>0</v>
      </c>
      <c r="AG78" s="32">
        <v>-77.340943132189253</v>
      </c>
      <c r="AH78" s="32">
        <v>16.153636364134851</v>
      </c>
      <c r="AI78" s="32">
        <v>37.328596683294116</v>
      </c>
      <c r="AJ78" s="32">
        <v>0</v>
      </c>
      <c r="AK78" s="32">
        <v>1.6797738622926488</v>
      </c>
      <c r="AL78" s="32">
        <v>55.162006909721612</v>
      </c>
      <c r="AM78" s="32">
        <v>171.24628989839229</v>
      </c>
      <c r="AN78" s="32">
        <v>29.467011213230535</v>
      </c>
      <c r="AO78" s="32">
        <v>0</v>
      </c>
      <c r="AP78" s="32">
        <v>0</v>
      </c>
      <c r="AQ78" s="32">
        <v>200.71330111162283</v>
      </c>
      <c r="AR78" s="32">
        <v>16.153636364134851</v>
      </c>
      <c r="AS78" s="382">
        <v>12.425270483199498</v>
      </c>
      <c r="AT78" s="32">
        <v>171.24628989839229</v>
      </c>
      <c r="AU78" s="32">
        <v>34.880164529159487</v>
      </c>
      <c r="AV78" s="32">
        <v>0</v>
      </c>
      <c r="AW78" s="32">
        <v>0</v>
      </c>
      <c r="AX78" s="32">
        <v>206.12645442755178</v>
      </c>
      <c r="AY78" s="32">
        <v>37.328596683294116</v>
      </c>
      <c r="AZ78" s="382">
        <v>5.5219449093247253</v>
      </c>
      <c r="BA78" s="32">
        <v>171.24628989839229</v>
      </c>
      <c r="BB78" s="32">
        <v>64.347175742390021</v>
      </c>
      <c r="BC78" s="32">
        <v>0</v>
      </c>
      <c r="BD78" s="32">
        <v>0</v>
      </c>
      <c r="BE78" s="32">
        <v>235.59346564078231</v>
      </c>
      <c r="BF78" s="32">
        <v>53.482233047428963</v>
      </c>
      <c r="BG78" s="32">
        <v>-2.2376543300360527</v>
      </c>
      <c r="BH78" s="382">
        <v>4.4050790742386168</v>
      </c>
      <c r="BI78" s="32">
        <v>3.3268702257213092</v>
      </c>
      <c r="BJ78" s="32">
        <v>7.6878910775370528</v>
      </c>
      <c r="BK78" s="32">
        <v>0</v>
      </c>
      <c r="BL78" s="32">
        <v>0.34595242349356925</v>
      </c>
      <c r="BM78" s="32">
        <v>11.36071372675193</v>
      </c>
      <c r="BN78" s="32">
        <v>171.24628989839229</v>
      </c>
      <c r="BO78" s="32">
        <v>0</v>
      </c>
      <c r="BP78" s="32">
        <v>64.347175742390021</v>
      </c>
      <c r="BQ78" s="32">
        <v>0</v>
      </c>
      <c r="BR78" s="32">
        <v>0</v>
      </c>
      <c r="BS78" s="32">
        <v>0</v>
      </c>
      <c r="BT78" s="32">
        <v>0</v>
      </c>
      <c r="BU78" s="32">
        <v>0</v>
      </c>
      <c r="BV78" s="32">
        <v>0</v>
      </c>
      <c r="BW78" s="32">
        <v>0</v>
      </c>
      <c r="BX78" s="32">
        <v>132.50295004191088</v>
      </c>
      <c r="BY78" s="32"/>
      <c r="BZ78" s="32">
        <v>0</v>
      </c>
      <c r="CA78" s="32">
        <v>-77.340943132189253</v>
      </c>
      <c r="CB78" s="32">
        <v>235.59346564078231</v>
      </c>
      <c r="CC78" s="32">
        <v>55.162006909721626</v>
      </c>
      <c r="CD78" s="382">
        <v>2.3617165404543066</v>
      </c>
      <c r="CE78" s="32">
        <v>-1.8917019065424776</v>
      </c>
      <c r="CF78" s="32">
        <v>3.394136563857463</v>
      </c>
      <c r="CG78" s="32">
        <v>0</v>
      </c>
      <c r="CH78" s="32">
        <v>3.394136563857463</v>
      </c>
      <c r="CI78" s="32">
        <v>0.16970637856908702</v>
      </c>
      <c r="CJ78" s="32">
        <v>0</v>
      </c>
      <c r="CK78" s="32">
        <v>0.16970637856908702</v>
      </c>
      <c r="CL78" s="32"/>
      <c r="CM78" s="32">
        <v>0</v>
      </c>
      <c r="CN78" s="32"/>
      <c r="CO78" s="32">
        <v>0</v>
      </c>
      <c r="CP78" s="32">
        <v>0</v>
      </c>
      <c r="CQ78" s="32">
        <v>0</v>
      </c>
      <c r="CR78" s="32">
        <v>0</v>
      </c>
      <c r="CS78" s="32">
        <v>0</v>
      </c>
      <c r="CT78" s="32">
        <v>0</v>
      </c>
      <c r="CU78" s="32">
        <v>0</v>
      </c>
      <c r="CV78" s="32">
        <v>9999</v>
      </c>
      <c r="CW78" s="382">
        <v>9999</v>
      </c>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row>
    <row r="79" spans="1:131">
      <c r="A79" s="11" t="s">
        <v>670</v>
      </c>
      <c r="B79" s="11" t="s">
        <v>842</v>
      </c>
      <c r="C79" s="32">
        <v>11.627906976744185</v>
      </c>
      <c r="D79" s="32">
        <v>333.25</v>
      </c>
      <c r="E79" s="32">
        <v>0</v>
      </c>
      <c r="F79" s="32">
        <v>81.005788606478362</v>
      </c>
      <c r="G79" s="32">
        <v>-28</v>
      </c>
      <c r="H79" s="32">
        <v>0</v>
      </c>
      <c r="I79" s="32" t="s">
        <v>525</v>
      </c>
      <c r="J79" s="32"/>
      <c r="K79" s="32"/>
      <c r="L79" s="32">
        <v>357.27658646123581</v>
      </c>
      <c r="M79" s="32">
        <v>8.3393625462416854E-2</v>
      </c>
      <c r="N79" s="32">
        <v>8.2791727671164911E-2</v>
      </c>
      <c r="O79" s="32">
        <v>0</v>
      </c>
      <c r="P79" s="32">
        <v>0</v>
      </c>
      <c r="Q79" s="32">
        <v>0</v>
      </c>
      <c r="R79" s="32">
        <v>16.153636364134851</v>
      </c>
      <c r="S79" s="32">
        <v>37.328596683294116</v>
      </c>
      <c r="T79" s="32">
        <v>0</v>
      </c>
      <c r="U79" s="32">
        <v>79.020716994481901</v>
      </c>
      <c r="V79" s="32" t="s">
        <v>610</v>
      </c>
      <c r="W79" s="32" t="s">
        <v>610</v>
      </c>
      <c r="X79" s="32" t="s">
        <v>610</v>
      </c>
      <c r="Y79" s="32" t="s">
        <v>610</v>
      </c>
      <c r="Z79" s="32">
        <v>0</v>
      </c>
      <c r="AA79" s="32">
        <v>0</v>
      </c>
      <c r="AB79" s="32">
        <v>0</v>
      </c>
      <c r="AC79" s="32">
        <v>-380.52913765909528</v>
      </c>
      <c r="AD79" s="32">
        <v>0</v>
      </c>
      <c r="AE79" s="32">
        <v>0</v>
      </c>
      <c r="AF79" s="32">
        <v>0</v>
      </c>
      <c r="AG79" s="32">
        <v>0</v>
      </c>
      <c r="AH79" s="32">
        <v>16.153636364134851</v>
      </c>
      <c r="AI79" s="32">
        <v>37.328596683294116</v>
      </c>
      <c r="AJ79" s="32">
        <v>0</v>
      </c>
      <c r="AK79" s="32">
        <v>-301.50842066461337</v>
      </c>
      <c r="AL79" s="32">
        <v>-248.02618761718441</v>
      </c>
      <c r="AM79" s="32">
        <v>171.24628989839229</v>
      </c>
      <c r="AN79" s="32">
        <v>29.467011213230535</v>
      </c>
      <c r="AO79" s="32">
        <v>0</v>
      </c>
      <c r="AP79" s="32">
        <v>0</v>
      </c>
      <c r="AQ79" s="32">
        <v>200.71330111162283</v>
      </c>
      <c r="AR79" s="32">
        <v>16.153636364134851</v>
      </c>
      <c r="AS79" s="382">
        <v>12.425270483199498</v>
      </c>
      <c r="AT79" s="32">
        <v>171.24628989839229</v>
      </c>
      <c r="AU79" s="32">
        <v>34.880164529159487</v>
      </c>
      <c r="AV79" s="32">
        <v>0</v>
      </c>
      <c r="AW79" s="32">
        <v>0</v>
      </c>
      <c r="AX79" s="32">
        <v>206.12645442755178</v>
      </c>
      <c r="AY79" s="32">
        <v>37.328596683294116</v>
      </c>
      <c r="AZ79" s="382">
        <v>5.5219449093247253</v>
      </c>
      <c r="BA79" s="32">
        <v>171.24628989839229</v>
      </c>
      <c r="BB79" s="32">
        <v>64.347175742390021</v>
      </c>
      <c r="BC79" s="32">
        <v>0</v>
      </c>
      <c r="BD79" s="32">
        <v>0</v>
      </c>
      <c r="BE79" s="32">
        <v>235.59346564078231</v>
      </c>
      <c r="BF79" s="32">
        <v>53.482233047428963</v>
      </c>
      <c r="BG79" s="32">
        <v>-2.2376543300360527</v>
      </c>
      <c r="BH79" s="382">
        <v>4.4050790742386168</v>
      </c>
      <c r="BI79" s="32">
        <v>3.3268702257213092</v>
      </c>
      <c r="BJ79" s="32">
        <v>7.6878910775370528</v>
      </c>
      <c r="BK79" s="32">
        <v>0</v>
      </c>
      <c r="BL79" s="32">
        <v>-62.096197097790757</v>
      </c>
      <c r="BM79" s="32">
        <v>-51.081435794532396</v>
      </c>
      <c r="BN79" s="32">
        <v>171.24628989839229</v>
      </c>
      <c r="BO79" s="32">
        <v>0</v>
      </c>
      <c r="BP79" s="32">
        <v>64.347175742390021</v>
      </c>
      <c r="BQ79" s="32">
        <v>0</v>
      </c>
      <c r="BR79" s="32">
        <v>0</v>
      </c>
      <c r="BS79" s="32">
        <v>0</v>
      </c>
      <c r="BT79" s="32">
        <v>0</v>
      </c>
      <c r="BU79" s="32">
        <v>0</v>
      </c>
      <c r="BV79" s="32">
        <v>0</v>
      </c>
      <c r="BW79" s="32">
        <v>0</v>
      </c>
      <c r="BX79" s="32">
        <v>132.50295004191088</v>
      </c>
      <c r="BY79" s="32"/>
      <c r="BZ79" s="32">
        <v>-380.52913765909528</v>
      </c>
      <c r="CA79" s="32">
        <v>0</v>
      </c>
      <c r="CB79" s="32">
        <v>235.59346564078231</v>
      </c>
      <c r="CC79" s="32">
        <v>-248.02618761718441</v>
      </c>
      <c r="CD79" s="382">
        <v>4.649878384632169</v>
      </c>
      <c r="CE79" s="32">
        <v>-64.333851427826815</v>
      </c>
      <c r="CF79" s="32">
        <v>3.394136563857463</v>
      </c>
      <c r="CG79" s="32">
        <v>0</v>
      </c>
      <c r="CH79" s="32">
        <v>3.394136563857463</v>
      </c>
      <c r="CI79" s="32">
        <v>0.16970637856908702</v>
      </c>
      <c r="CJ79" s="32">
        <v>0</v>
      </c>
      <c r="CK79" s="32">
        <v>0.16970637856908702</v>
      </c>
      <c r="CL79" s="32"/>
      <c r="CM79" s="32">
        <v>0</v>
      </c>
      <c r="CN79" s="32"/>
      <c r="CO79" s="32">
        <v>0</v>
      </c>
      <c r="CP79" s="32">
        <v>0</v>
      </c>
      <c r="CQ79" s="32">
        <v>0</v>
      </c>
      <c r="CR79" s="32">
        <v>0</v>
      </c>
      <c r="CS79" s="32">
        <v>0</v>
      </c>
      <c r="CT79" s="32">
        <v>0</v>
      </c>
      <c r="CU79" s="32">
        <v>0</v>
      </c>
      <c r="CV79" s="32">
        <v>9999</v>
      </c>
      <c r="CW79" s="382">
        <v>9999</v>
      </c>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row>
    <row r="80" spans="1:131">
      <c r="A80" s="11" t="s">
        <v>671</v>
      </c>
      <c r="B80" s="11" t="s">
        <v>952</v>
      </c>
      <c r="C80" s="32">
        <v>11.627906976744185</v>
      </c>
      <c r="D80" s="32">
        <v>576.20000000000005</v>
      </c>
      <c r="E80" s="32">
        <v>0</v>
      </c>
      <c r="F80" s="32">
        <v>162.01157721295672</v>
      </c>
      <c r="G80" s="32">
        <v>0</v>
      </c>
      <c r="H80" s="32">
        <v>-84.572314159883035</v>
      </c>
      <c r="I80" s="32" t="s">
        <v>525</v>
      </c>
      <c r="J80" s="32"/>
      <c r="K80" s="32"/>
      <c r="L80" s="32">
        <v>617.74274304265293</v>
      </c>
      <c r="M80" s="32">
        <v>0.14419026854146913</v>
      </c>
      <c r="N80" s="32">
        <v>0.14314956784433677</v>
      </c>
      <c r="O80" s="32">
        <v>0</v>
      </c>
      <c r="P80" s="32">
        <v>0</v>
      </c>
      <c r="Q80" s="32">
        <v>0</v>
      </c>
      <c r="R80" s="32">
        <v>32.307272728269702</v>
      </c>
      <c r="S80" s="32">
        <v>74.657193366588231</v>
      </c>
      <c r="T80" s="32">
        <v>0</v>
      </c>
      <c r="U80" s="32">
        <v>158.0414339889638</v>
      </c>
      <c r="V80" s="32" t="s">
        <v>610</v>
      </c>
      <c r="W80" s="32" t="s">
        <v>610</v>
      </c>
      <c r="X80" s="32" t="s">
        <v>610</v>
      </c>
      <c r="Y80" s="32" t="s">
        <v>610</v>
      </c>
      <c r="Z80" s="32">
        <v>0</v>
      </c>
      <c r="AA80" s="32">
        <v>0</v>
      </c>
      <c r="AB80" s="32">
        <v>0</v>
      </c>
      <c r="AC80" s="32">
        <v>0</v>
      </c>
      <c r="AD80" s="32">
        <v>0</v>
      </c>
      <c r="AE80" s="32">
        <v>0</v>
      </c>
      <c r="AF80" s="32">
        <v>0</v>
      </c>
      <c r="AG80" s="32">
        <v>-84.572314159883035</v>
      </c>
      <c r="AH80" s="32">
        <v>32.307272728269702</v>
      </c>
      <c r="AI80" s="32">
        <v>74.657193366588231</v>
      </c>
      <c r="AJ80" s="32">
        <v>0</v>
      </c>
      <c r="AK80" s="32">
        <v>73.469119829080768</v>
      </c>
      <c r="AL80" s="32">
        <v>180.43358592393869</v>
      </c>
      <c r="AM80" s="32">
        <v>296.09035930818806</v>
      </c>
      <c r="AN80" s="32">
        <v>50.949412936424423</v>
      </c>
      <c r="AO80" s="32">
        <v>0</v>
      </c>
      <c r="AP80" s="32">
        <v>0</v>
      </c>
      <c r="AQ80" s="32">
        <v>347.03977224461249</v>
      </c>
      <c r="AR80" s="32">
        <v>32.307272728269702</v>
      </c>
      <c r="AS80" s="382">
        <v>10.74184674031441</v>
      </c>
      <c r="AT80" s="32">
        <v>296.09035930818806</v>
      </c>
      <c r="AU80" s="32">
        <v>60.308929637514488</v>
      </c>
      <c r="AV80" s="32">
        <v>0</v>
      </c>
      <c r="AW80" s="32">
        <v>0</v>
      </c>
      <c r="AX80" s="32">
        <v>356.39928894570255</v>
      </c>
      <c r="AY80" s="32">
        <v>74.657193366588231</v>
      </c>
      <c r="AZ80" s="382">
        <v>4.7738104377387964</v>
      </c>
      <c r="BA80" s="32">
        <v>296.09035930818806</v>
      </c>
      <c r="BB80" s="32">
        <v>111.2583425739389</v>
      </c>
      <c r="BC80" s="32">
        <v>0</v>
      </c>
      <c r="BD80" s="32">
        <v>0</v>
      </c>
      <c r="BE80" s="32">
        <v>407.34870188212699</v>
      </c>
      <c r="BF80" s="32">
        <v>106.96446609485793</v>
      </c>
      <c r="BG80" s="32">
        <v>-0.51146039445079372</v>
      </c>
      <c r="BH80" s="382">
        <v>3.8082619093417729</v>
      </c>
      <c r="BI80" s="32">
        <v>3.8482454103492749</v>
      </c>
      <c r="BJ80" s="32">
        <v>8.8927098284943504</v>
      </c>
      <c r="BK80" s="32">
        <v>0</v>
      </c>
      <c r="BL80" s="32">
        <v>8.7511937501696746</v>
      </c>
      <c r="BM80" s="32">
        <v>21.492148989013302</v>
      </c>
      <c r="BN80" s="32">
        <v>296.09035930818806</v>
      </c>
      <c r="BO80" s="32">
        <v>0</v>
      </c>
      <c r="BP80" s="32">
        <v>111.2583425739389</v>
      </c>
      <c r="BQ80" s="32">
        <v>0</v>
      </c>
      <c r="BR80" s="32">
        <v>0</v>
      </c>
      <c r="BS80" s="32">
        <v>0</v>
      </c>
      <c r="BT80" s="32">
        <v>0</v>
      </c>
      <c r="BU80" s="32">
        <v>0</v>
      </c>
      <c r="BV80" s="32">
        <v>0</v>
      </c>
      <c r="BW80" s="32">
        <v>0</v>
      </c>
      <c r="BX80" s="32">
        <v>265.00590008382176</v>
      </c>
      <c r="BY80" s="32"/>
      <c r="BZ80" s="32">
        <v>0</v>
      </c>
      <c r="CA80" s="32">
        <v>-84.572314159883035</v>
      </c>
      <c r="CB80" s="32">
        <v>407.34870188212699</v>
      </c>
      <c r="CC80" s="32">
        <v>180.43358592393872</v>
      </c>
      <c r="CD80" s="382">
        <v>1.8562643921754749</v>
      </c>
      <c r="CE80" s="32">
        <v>8.239733355718883</v>
      </c>
      <c r="CF80" s="32">
        <v>5.8685716071857978</v>
      </c>
      <c r="CG80" s="32">
        <v>0</v>
      </c>
      <c r="CH80" s="32">
        <v>5.8685716071857978</v>
      </c>
      <c r="CI80" s="32">
        <v>0.29342780294526022</v>
      </c>
      <c r="CJ80" s="32">
        <v>0</v>
      </c>
      <c r="CK80" s="32">
        <v>0.29342780294526022</v>
      </c>
      <c r="CL80" s="32"/>
      <c r="CM80" s="32">
        <v>0</v>
      </c>
      <c r="CN80" s="32"/>
      <c r="CO80" s="32">
        <v>0</v>
      </c>
      <c r="CP80" s="32">
        <v>0</v>
      </c>
      <c r="CQ80" s="32">
        <v>0</v>
      </c>
      <c r="CR80" s="32">
        <v>0</v>
      </c>
      <c r="CS80" s="32">
        <v>0</v>
      </c>
      <c r="CT80" s="32">
        <v>0</v>
      </c>
      <c r="CU80" s="32">
        <v>0</v>
      </c>
      <c r="CV80" s="32">
        <v>9999</v>
      </c>
      <c r="CW80" s="382">
        <v>9999</v>
      </c>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row>
    <row r="81" spans="1:131">
      <c r="A81" s="11" t="s">
        <v>671</v>
      </c>
      <c r="B81" s="11" t="s">
        <v>953</v>
      </c>
      <c r="C81" s="32">
        <v>11.627906976744185</v>
      </c>
      <c r="D81" s="32">
        <v>576.20000000000005</v>
      </c>
      <c r="E81" s="32">
        <v>0</v>
      </c>
      <c r="F81" s="32">
        <v>162.01157721295672</v>
      </c>
      <c r="G81" s="32">
        <v>-28</v>
      </c>
      <c r="H81" s="32">
        <v>0</v>
      </c>
      <c r="I81" s="32" t="s">
        <v>525</v>
      </c>
      <c r="J81" s="32"/>
      <c r="K81" s="32"/>
      <c r="L81" s="32">
        <v>617.74274304265293</v>
      </c>
      <c r="M81" s="32">
        <v>0.14419026854146913</v>
      </c>
      <c r="N81" s="32">
        <v>0.14314956784433677</v>
      </c>
      <c r="O81" s="32">
        <v>0</v>
      </c>
      <c r="P81" s="32">
        <v>0</v>
      </c>
      <c r="Q81" s="32">
        <v>0</v>
      </c>
      <c r="R81" s="32">
        <v>32.307272728269702</v>
      </c>
      <c r="S81" s="32">
        <v>74.657193366588231</v>
      </c>
      <c r="T81" s="32">
        <v>0</v>
      </c>
      <c r="U81" s="32">
        <v>158.0414339889638</v>
      </c>
      <c r="V81" s="32" t="s">
        <v>610</v>
      </c>
      <c r="W81" s="32" t="s">
        <v>610</v>
      </c>
      <c r="X81" s="32" t="s">
        <v>610</v>
      </c>
      <c r="Y81" s="32" t="s">
        <v>610</v>
      </c>
      <c r="Z81" s="32">
        <v>0</v>
      </c>
      <c r="AA81" s="32">
        <v>0</v>
      </c>
      <c r="AB81" s="32">
        <v>0</v>
      </c>
      <c r="AC81" s="32">
        <v>-380.52913765909528</v>
      </c>
      <c r="AD81" s="32">
        <v>0</v>
      </c>
      <c r="AE81" s="32">
        <v>0</v>
      </c>
      <c r="AF81" s="32">
        <v>0</v>
      </c>
      <c r="AG81" s="32">
        <v>0</v>
      </c>
      <c r="AH81" s="32">
        <v>32.307272728269702</v>
      </c>
      <c r="AI81" s="32">
        <v>74.657193366588231</v>
      </c>
      <c r="AJ81" s="32">
        <v>0</v>
      </c>
      <c r="AK81" s="32">
        <v>-222.48770367013148</v>
      </c>
      <c r="AL81" s="32">
        <v>-115.52323757527355</v>
      </c>
      <c r="AM81" s="32">
        <v>296.09035930818806</v>
      </c>
      <c r="AN81" s="32">
        <v>50.949412936424423</v>
      </c>
      <c r="AO81" s="32">
        <v>0</v>
      </c>
      <c r="AP81" s="32">
        <v>0</v>
      </c>
      <c r="AQ81" s="32">
        <v>347.03977224461249</v>
      </c>
      <c r="AR81" s="32">
        <v>32.307272728269702</v>
      </c>
      <c r="AS81" s="382">
        <v>10.74184674031441</v>
      </c>
      <c r="AT81" s="32">
        <v>296.09035930818806</v>
      </c>
      <c r="AU81" s="32">
        <v>60.308929637514488</v>
      </c>
      <c r="AV81" s="32">
        <v>0</v>
      </c>
      <c r="AW81" s="32">
        <v>0</v>
      </c>
      <c r="AX81" s="32">
        <v>356.39928894570255</v>
      </c>
      <c r="AY81" s="32">
        <v>74.657193366588231</v>
      </c>
      <c r="AZ81" s="382">
        <v>4.7738104377387964</v>
      </c>
      <c r="BA81" s="32">
        <v>296.09035930818806</v>
      </c>
      <c r="BB81" s="32">
        <v>111.2583425739389</v>
      </c>
      <c r="BC81" s="32">
        <v>0</v>
      </c>
      <c r="BD81" s="32">
        <v>0</v>
      </c>
      <c r="BE81" s="32">
        <v>407.34870188212699</v>
      </c>
      <c r="BF81" s="32">
        <v>106.96446609485793</v>
      </c>
      <c r="BG81" s="32">
        <v>-0.51146039445079372</v>
      </c>
      <c r="BH81" s="382">
        <v>3.8082619093417729</v>
      </c>
      <c r="BI81" s="32">
        <v>3.8482454103492749</v>
      </c>
      <c r="BJ81" s="32">
        <v>8.8927098284943504</v>
      </c>
      <c r="BK81" s="32">
        <v>0</v>
      </c>
      <c r="BL81" s="32">
        <v>-26.501379169605578</v>
      </c>
      <c r="BM81" s="32">
        <v>-13.760423930761952</v>
      </c>
      <c r="BN81" s="32">
        <v>296.09035930818806</v>
      </c>
      <c r="BO81" s="32">
        <v>0</v>
      </c>
      <c r="BP81" s="32">
        <v>111.2583425739389</v>
      </c>
      <c r="BQ81" s="32">
        <v>0</v>
      </c>
      <c r="BR81" s="32">
        <v>0</v>
      </c>
      <c r="BS81" s="32">
        <v>0</v>
      </c>
      <c r="BT81" s="32">
        <v>0</v>
      </c>
      <c r="BU81" s="32">
        <v>0</v>
      </c>
      <c r="BV81" s="32">
        <v>0</v>
      </c>
      <c r="BW81" s="32">
        <v>0</v>
      </c>
      <c r="BX81" s="32">
        <v>265.00590008382176</v>
      </c>
      <c r="BY81" s="32"/>
      <c r="BZ81" s="32">
        <v>-380.52913765909528</v>
      </c>
      <c r="CA81" s="32">
        <v>0</v>
      </c>
      <c r="CB81" s="32">
        <v>407.34870188212699</v>
      </c>
      <c r="CC81" s="32">
        <v>-115.52323757527353</v>
      </c>
      <c r="CD81" s="382">
        <v>2.973057729250614</v>
      </c>
      <c r="CE81" s="32">
        <v>-27.012839564056364</v>
      </c>
      <c r="CF81" s="32">
        <v>5.8685716071857978</v>
      </c>
      <c r="CG81" s="32">
        <v>0</v>
      </c>
      <c r="CH81" s="32">
        <v>5.8685716071857978</v>
      </c>
      <c r="CI81" s="32">
        <v>0.29342780294526022</v>
      </c>
      <c r="CJ81" s="32">
        <v>0</v>
      </c>
      <c r="CK81" s="32">
        <v>0.29342780294526022</v>
      </c>
      <c r="CL81" s="32"/>
      <c r="CM81" s="32">
        <v>0</v>
      </c>
      <c r="CN81" s="32"/>
      <c r="CO81" s="32">
        <v>0</v>
      </c>
      <c r="CP81" s="32">
        <v>0</v>
      </c>
      <c r="CQ81" s="32">
        <v>0</v>
      </c>
      <c r="CR81" s="32">
        <v>0</v>
      </c>
      <c r="CS81" s="32">
        <v>0</v>
      </c>
      <c r="CT81" s="32">
        <v>0</v>
      </c>
      <c r="CU81" s="32">
        <v>0</v>
      </c>
      <c r="CV81" s="32">
        <v>9999</v>
      </c>
      <c r="CW81" s="382">
        <v>9999</v>
      </c>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row>
    <row r="82" spans="1:131">
      <c r="A82" s="11" t="s">
        <v>672</v>
      </c>
      <c r="B82" s="11" t="s">
        <v>869</v>
      </c>
      <c r="C82" s="32">
        <v>11.627906976744185</v>
      </c>
      <c r="D82" s="32">
        <v>1459.85</v>
      </c>
      <c r="E82" s="32">
        <v>0</v>
      </c>
      <c r="F82" s="32">
        <v>486.0347316388702</v>
      </c>
      <c r="G82" s="32">
        <v>0</v>
      </c>
      <c r="H82" s="32">
        <v>-86.610201248072983</v>
      </c>
      <c r="I82" s="32" t="s">
        <v>525</v>
      </c>
      <c r="J82" s="32"/>
      <c r="K82" s="32"/>
      <c r="L82" s="32">
        <v>1565.101949723736</v>
      </c>
      <c r="M82" s="32">
        <v>0.36531788186439379</v>
      </c>
      <c r="N82" s="32">
        <v>0.36268118121755466</v>
      </c>
      <c r="O82" s="32">
        <v>0</v>
      </c>
      <c r="P82" s="32">
        <v>0</v>
      </c>
      <c r="Q82" s="32">
        <v>0</v>
      </c>
      <c r="R82" s="32">
        <v>96.921818184809098</v>
      </c>
      <c r="S82" s="32">
        <v>223.97158009976471</v>
      </c>
      <c r="T82" s="32">
        <v>0</v>
      </c>
      <c r="U82" s="32">
        <v>474.12430196689149</v>
      </c>
      <c r="V82" s="32" t="s">
        <v>610</v>
      </c>
      <c r="W82" s="32" t="s">
        <v>610</v>
      </c>
      <c r="X82" s="32" t="s">
        <v>610</v>
      </c>
      <c r="Y82" s="32" t="s">
        <v>610</v>
      </c>
      <c r="Z82" s="32">
        <v>0</v>
      </c>
      <c r="AA82" s="32">
        <v>0</v>
      </c>
      <c r="AB82" s="32">
        <v>0</v>
      </c>
      <c r="AC82" s="32">
        <v>0</v>
      </c>
      <c r="AD82" s="32">
        <v>0</v>
      </c>
      <c r="AE82" s="32">
        <v>0</v>
      </c>
      <c r="AF82" s="32">
        <v>0</v>
      </c>
      <c r="AG82" s="32">
        <v>-86.610201248072983</v>
      </c>
      <c r="AH82" s="32">
        <v>96.921818184809098</v>
      </c>
      <c r="AI82" s="32">
        <v>223.97158009976471</v>
      </c>
      <c r="AJ82" s="32">
        <v>0</v>
      </c>
      <c r="AK82" s="32">
        <v>387.5141007188185</v>
      </c>
      <c r="AL82" s="32">
        <v>708.40749900339233</v>
      </c>
      <c r="AM82" s="32">
        <v>750.16923123231277</v>
      </c>
      <c r="AN82" s="32">
        <v>129.08452008892601</v>
      </c>
      <c r="AO82" s="32">
        <v>0</v>
      </c>
      <c r="AP82" s="32">
        <v>0</v>
      </c>
      <c r="AQ82" s="32">
        <v>879.25375132123872</v>
      </c>
      <c r="AR82" s="32">
        <v>96.921818184809098</v>
      </c>
      <c r="AS82" s="382">
        <v>9.0717835033252321</v>
      </c>
      <c r="AT82" s="32">
        <v>750.16923123231277</v>
      </c>
      <c r="AU82" s="32">
        <v>152.79762396967291</v>
      </c>
      <c r="AV82" s="32">
        <v>0</v>
      </c>
      <c r="AW82" s="32">
        <v>0</v>
      </c>
      <c r="AX82" s="32">
        <v>902.96685520198571</v>
      </c>
      <c r="AY82" s="32">
        <v>223.97158009976471</v>
      </c>
      <c r="AZ82" s="382">
        <v>4.0316135413241847</v>
      </c>
      <c r="BA82" s="32">
        <v>750.16923123231277</v>
      </c>
      <c r="BB82" s="32">
        <v>281.8821440585989</v>
      </c>
      <c r="BC82" s="32">
        <v>0</v>
      </c>
      <c r="BD82" s="32">
        <v>0</v>
      </c>
      <c r="BE82" s="32">
        <v>1032.0513752909117</v>
      </c>
      <c r="BF82" s="32">
        <v>320.89339828457378</v>
      </c>
      <c r="BG82" s="32">
        <v>1.8340762842759475</v>
      </c>
      <c r="BH82" s="382">
        <v>3.2161813886107771</v>
      </c>
      <c r="BI82" s="32">
        <v>4.5566852870704242</v>
      </c>
      <c r="BJ82" s="32">
        <v>10.529806630499943</v>
      </c>
      <c r="BK82" s="32">
        <v>0</v>
      </c>
      <c r="BL82" s="32">
        <v>18.218599633684168</v>
      </c>
      <c r="BM82" s="32">
        <v>33.305091551254534</v>
      </c>
      <c r="BN82" s="32">
        <v>750.16923123231277</v>
      </c>
      <c r="BO82" s="32">
        <v>0</v>
      </c>
      <c r="BP82" s="32">
        <v>281.8821440585989</v>
      </c>
      <c r="BQ82" s="32">
        <v>0</v>
      </c>
      <c r="BR82" s="32">
        <v>0</v>
      </c>
      <c r="BS82" s="32">
        <v>0</v>
      </c>
      <c r="BT82" s="32">
        <v>0</v>
      </c>
      <c r="BU82" s="32">
        <v>0</v>
      </c>
      <c r="BV82" s="32">
        <v>0</v>
      </c>
      <c r="BW82" s="32">
        <v>0</v>
      </c>
      <c r="BX82" s="32">
        <v>795.01770025146527</v>
      </c>
      <c r="BY82" s="32"/>
      <c r="BZ82" s="32">
        <v>0</v>
      </c>
      <c r="CA82" s="32">
        <v>-86.610201248072983</v>
      </c>
      <c r="CB82" s="32">
        <v>1032.0513752909117</v>
      </c>
      <c r="CC82" s="32">
        <v>708.40749900339233</v>
      </c>
      <c r="CD82" s="382">
        <v>1.4070901518106458</v>
      </c>
      <c r="CE82" s="32">
        <v>20.052675917960119</v>
      </c>
      <c r="CF82" s="32">
        <v>14.868507915220775</v>
      </c>
      <c r="CG82" s="32">
        <v>0</v>
      </c>
      <c r="CH82" s="32">
        <v>14.868507915220775</v>
      </c>
      <c r="CI82" s="32">
        <v>0.74342342611877466</v>
      </c>
      <c r="CJ82" s="32">
        <v>0</v>
      </c>
      <c r="CK82" s="32">
        <v>0.74342342611877466</v>
      </c>
      <c r="CL82" s="32"/>
      <c r="CM82" s="32">
        <v>0</v>
      </c>
      <c r="CN82" s="32"/>
      <c r="CO82" s="32">
        <v>0</v>
      </c>
      <c r="CP82" s="32">
        <v>0</v>
      </c>
      <c r="CQ82" s="32">
        <v>0</v>
      </c>
      <c r="CR82" s="32">
        <v>0</v>
      </c>
      <c r="CS82" s="32">
        <v>0</v>
      </c>
      <c r="CT82" s="32">
        <v>0</v>
      </c>
      <c r="CU82" s="32">
        <v>0</v>
      </c>
      <c r="CV82" s="32">
        <v>9999</v>
      </c>
      <c r="CW82" s="382">
        <v>9999</v>
      </c>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row>
    <row r="83" spans="1:131">
      <c r="A83" s="11" t="s">
        <v>672</v>
      </c>
      <c r="B83" s="11" t="s">
        <v>870</v>
      </c>
      <c r="C83" s="32">
        <v>11.627906976744185</v>
      </c>
      <c r="D83" s="32">
        <v>1459.85</v>
      </c>
      <c r="E83" s="32">
        <v>0</v>
      </c>
      <c r="F83" s="32">
        <v>486.0347316388702</v>
      </c>
      <c r="G83" s="32">
        <v>-28</v>
      </c>
      <c r="H83" s="32">
        <v>0</v>
      </c>
      <c r="I83" s="32" t="s">
        <v>525</v>
      </c>
      <c r="J83" s="32"/>
      <c r="K83" s="32"/>
      <c r="L83" s="32">
        <v>1565.101949723736</v>
      </c>
      <c r="M83" s="32">
        <v>0.36531788186439379</v>
      </c>
      <c r="N83" s="32">
        <v>0.36268118121755466</v>
      </c>
      <c r="O83" s="32">
        <v>0</v>
      </c>
      <c r="P83" s="32">
        <v>0</v>
      </c>
      <c r="Q83" s="32">
        <v>0</v>
      </c>
      <c r="R83" s="32">
        <v>96.921818184809098</v>
      </c>
      <c r="S83" s="32">
        <v>223.97158009976471</v>
      </c>
      <c r="T83" s="32">
        <v>0</v>
      </c>
      <c r="U83" s="32">
        <v>474.12430196689149</v>
      </c>
      <c r="V83" s="32" t="s">
        <v>610</v>
      </c>
      <c r="W83" s="32" t="s">
        <v>610</v>
      </c>
      <c r="X83" s="32" t="s">
        <v>610</v>
      </c>
      <c r="Y83" s="32" t="s">
        <v>610</v>
      </c>
      <c r="Z83" s="32">
        <v>0</v>
      </c>
      <c r="AA83" s="32">
        <v>0</v>
      </c>
      <c r="AB83" s="32">
        <v>0</v>
      </c>
      <c r="AC83" s="32">
        <v>-380.52913765909528</v>
      </c>
      <c r="AD83" s="32">
        <v>0</v>
      </c>
      <c r="AE83" s="32">
        <v>0</v>
      </c>
      <c r="AF83" s="32">
        <v>0</v>
      </c>
      <c r="AG83" s="32">
        <v>0</v>
      </c>
      <c r="AH83" s="32">
        <v>96.921818184809098</v>
      </c>
      <c r="AI83" s="32">
        <v>223.97158009976471</v>
      </c>
      <c r="AJ83" s="32">
        <v>0</v>
      </c>
      <c r="AK83" s="32">
        <v>93.59516430779621</v>
      </c>
      <c r="AL83" s="32">
        <v>414.48856259236999</v>
      </c>
      <c r="AM83" s="32">
        <v>750.16923123231277</v>
      </c>
      <c r="AN83" s="32">
        <v>129.08452008892601</v>
      </c>
      <c r="AO83" s="32">
        <v>0</v>
      </c>
      <c r="AP83" s="32">
        <v>0</v>
      </c>
      <c r="AQ83" s="32">
        <v>879.25375132123872</v>
      </c>
      <c r="AR83" s="32">
        <v>96.921818184809098</v>
      </c>
      <c r="AS83" s="382">
        <v>9.0717835033252321</v>
      </c>
      <c r="AT83" s="32">
        <v>750.16923123231277</v>
      </c>
      <c r="AU83" s="32">
        <v>152.79762396967291</v>
      </c>
      <c r="AV83" s="32">
        <v>0</v>
      </c>
      <c r="AW83" s="32">
        <v>0</v>
      </c>
      <c r="AX83" s="32">
        <v>902.96685520198571</v>
      </c>
      <c r="AY83" s="32">
        <v>223.97158009976471</v>
      </c>
      <c r="AZ83" s="382">
        <v>4.0316135413241847</v>
      </c>
      <c r="BA83" s="32">
        <v>750.16923123231277</v>
      </c>
      <c r="BB83" s="32">
        <v>281.8821440585989</v>
      </c>
      <c r="BC83" s="32">
        <v>0</v>
      </c>
      <c r="BD83" s="32">
        <v>0</v>
      </c>
      <c r="BE83" s="32">
        <v>1032.0513752909117</v>
      </c>
      <c r="BF83" s="32">
        <v>320.89339828457378</v>
      </c>
      <c r="BG83" s="32">
        <v>1.8340762842759475</v>
      </c>
      <c r="BH83" s="382">
        <v>3.2161813886107771</v>
      </c>
      <c r="BI83" s="32">
        <v>4.5566852870704242</v>
      </c>
      <c r="BJ83" s="32">
        <v>10.529806630499943</v>
      </c>
      <c r="BK83" s="32">
        <v>0</v>
      </c>
      <c r="BL83" s="32">
        <v>4.4002858812353374</v>
      </c>
      <c r="BM83" s="32">
        <v>19.486777798805701</v>
      </c>
      <c r="BN83" s="32">
        <v>750.16923123231277</v>
      </c>
      <c r="BO83" s="32">
        <v>0</v>
      </c>
      <c r="BP83" s="32">
        <v>281.8821440585989</v>
      </c>
      <c r="BQ83" s="32">
        <v>0</v>
      </c>
      <c r="BR83" s="32">
        <v>0</v>
      </c>
      <c r="BS83" s="32">
        <v>0</v>
      </c>
      <c r="BT83" s="32">
        <v>0</v>
      </c>
      <c r="BU83" s="32">
        <v>0</v>
      </c>
      <c r="BV83" s="32">
        <v>0</v>
      </c>
      <c r="BW83" s="32">
        <v>0</v>
      </c>
      <c r="BX83" s="32">
        <v>795.01770025146527</v>
      </c>
      <c r="BY83" s="32"/>
      <c r="BZ83" s="32">
        <v>-380.52913765909528</v>
      </c>
      <c r="CA83" s="32">
        <v>0</v>
      </c>
      <c r="CB83" s="32">
        <v>1032.0513752909117</v>
      </c>
      <c r="CC83" s="32">
        <v>414.48856259236999</v>
      </c>
      <c r="CD83" s="382">
        <v>1.7767912745882333</v>
      </c>
      <c r="CE83" s="32">
        <v>6.2343621655112882</v>
      </c>
      <c r="CF83" s="32">
        <v>14.868507915220775</v>
      </c>
      <c r="CG83" s="32">
        <v>0</v>
      </c>
      <c r="CH83" s="32">
        <v>14.868507915220775</v>
      </c>
      <c r="CI83" s="32">
        <v>0.74342342611877466</v>
      </c>
      <c r="CJ83" s="32">
        <v>0</v>
      </c>
      <c r="CK83" s="32">
        <v>0.74342342611877466</v>
      </c>
      <c r="CL83" s="32"/>
      <c r="CM83" s="32">
        <v>0</v>
      </c>
      <c r="CN83" s="32"/>
      <c r="CO83" s="32">
        <v>0</v>
      </c>
      <c r="CP83" s="32">
        <v>0</v>
      </c>
      <c r="CQ83" s="32">
        <v>0</v>
      </c>
      <c r="CR83" s="32">
        <v>0</v>
      </c>
      <c r="CS83" s="32">
        <v>0</v>
      </c>
      <c r="CT83" s="32">
        <v>0</v>
      </c>
      <c r="CU83" s="32">
        <v>0</v>
      </c>
      <c r="CV83" s="32">
        <v>9999</v>
      </c>
      <c r="CW83" s="382">
        <v>9999</v>
      </c>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row>
    <row r="84" spans="1:131">
      <c r="A84" s="11"/>
      <c r="B84" s="1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row>
    <row r="85" spans="1:131">
      <c r="A85" s="11"/>
      <c r="B85" s="11"/>
      <c r="C85" s="32"/>
      <c r="D85" s="32"/>
      <c r="E85" s="32"/>
      <c r="F85" s="32"/>
      <c r="G85" s="32"/>
      <c r="H85" s="32"/>
      <c r="I85" s="32"/>
      <c r="J85" s="32"/>
      <c r="K85" s="32"/>
      <c r="L85" s="32"/>
      <c r="M85" s="32"/>
      <c r="N85" s="32"/>
      <c r="O85" s="32"/>
      <c r="P85" s="32"/>
      <c r="Q85" s="32"/>
      <c r="R85" s="32"/>
      <c r="S85" s="32"/>
      <c r="T85" s="32"/>
      <c r="U85" s="32"/>
      <c r="V85" s="32"/>
      <c r="W85" s="32"/>
      <c r="X85" s="32"/>
      <c r="Y85" s="32"/>
      <c r="Z85" s="32"/>
      <c r="AA85" s="32"/>
      <c r="AB85" s="32"/>
      <c r="AC85" s="32"/>
      <c r="AD85" s="32"/>
      <c r="AE85" s="32"/>
      <c r="AF85" s="32"/>
      <c r="AG85" s="32"/>
      <c r="AH85" s="32"/>
      <c r="AI85" s="32"/>
      <c r="AJ85" s="32"/>
      <c r="AK85" s="32"/>
      <c r="AL85" s="32"/>
      <c r="AM85" s="32"/>
      <c r="AN85" s="32"/>
      <c r="AO85" s="32"/>
      <c r="AP85" s="32"/>
      <c r="AQ85" s="32"/>
      <c r="AR85" s="32"/>
      <c r="AS85" s="32"/>
      <c r="AT85" s="32"/>
      <c r="AU85" s="32"/>
      <c r="AV85" s="32"/>
      <c r="AW85" s="32"/>
      <c r="AX85" s="32"/>
      <c r="AY85" s="32"/>
      <c r="AZ85" s="32"/>
      <c r="BA85" s="32"/>
      <c r="BB85" s="32"/>
      <c r="BC85" s="32"/>
      <c r="BD85" s="32"/>
      <c r="BE85" s="32"/>
      <c r="BF85" s="32"/>
      <c r="BG85" s="32"/>
      <c r="BH85" s="32"/>
      <c r="BI85" s="32"/>
      <c r="BJ85" s="32"/>
      <c r="BK85" s="32"/>
      <c r="BL85" s="32"/>
      <c r="BM85" s="32"/>
      <c r="BN85" s="32"/>
      <c r="BO85" s="32"/>
      <c r="BP85" s="32"/>
      <c r="BQ85" s="32"/>
      <c r="BR85" s="32"/>
      <c r="BS85" s="32"/>
      <c r="BT85" s="32"/>
      <c r="BU85" s="32"/>
      <c r="BV85" s="32"/>
      <c r="BW85" s="32"/>
      <c r="BX85" s="32"/>
      <c r="BY85" s="32"/>
      <c r="BZ85" s="32"/>
      <c r="CA85" s="32"/>
      <c r="CB85" s="32"/>
      <c r="CC85" s="32"/>
      <c r="CD85" s="32"/>
      <c r="CE85" s="32"/>
      <c r="CF85" s="32"/>
      <c r="CG85" s="32"/>
      <c r="CH85" s="32"/>
      <c r="CI85" s="32"/>
      <c r="CJ85" s="32"/>
      <c r="CK85" s="32"/>
      <c r="CL85" s="32"/>
      <c r="CM85" s="32"/>
      <c r="CN85" s="32"/>
      <c r="CO85" s="32"/>
      <c r="CP85" s="32"/>
      <c r="CQ85" s="32"/>
      <c r="CR85" s="32"/>
      <c r="CS85" s="32"/>
      <c r="CT85" s="32"/>
      <c r="CU85" s="32"/>
      <c r="CV85" s="32"/>
      <c r="CW85" s="32"/>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row>
    <row r="86" spans="1:131" ht="13.5" thickBot="1">
      <c r="A86" s="367" t="s">
        <v>611</v>
      </c>
      <c r="B86" s="369"/>
      <c r="C86" s="32"/>
      <c r="D86" s="32"/>
      <c r="E86" s="32"/>
      <c r="F86" s="32"/>
      <c r="G86" s="32"/>
      <c r="H86" s="32"/>
      <c r="I86" s="32"/>
      <c r="J86" s="32"/>
      <c r="K86" s="32"/>
      <c r="L86" s="32"/>
      <c r="M86" s="32"/>
      <c r="N86" s="32"/>
      <c r="O86" s="32"/>
      <c r="P86" s="32"/>
      <c r="Q86" s="32"/>
      <c r="R86" s="32"/>
      <c r="S86" s="32"/>
      <c r="T86" s="32"/>
      <c r="U86" s="32"/>
      <c r="V86" s="32"/>
      <c r="W86" s="32"/>
      <c r="X86" s="32"/>
      <c r="Y86" s="32"/>
      <c r="Z86" s="32"/>
      <c r="AA86" s="32"/>
      <c r="AB86" s="32"/>
      <c r="AC86" s="32"/>
      <c r="AD86" s="32"/>
      <c r="AE86" s="32"/>
      <c r="AF86" s="32"/>
      <c r="AG86" s="32"/>
      <c r="AH86" s="32"/>
      <c r="AI86" s="32"/>
      <c r="AJ86" s="32"/>
      <c r="AK86" s="32"/>
      <c r="AL86" s="32"/>
      <c r="AM86" s="32"/>
      <c r="AN86" s="32"/>
      <c r="AO86" s="32"/>
      <c r="AP86" s="32"/>
      <c r="AQ86" s="32"/>
      <c r="AR86" s="32"/>
      <c r="AS86" s="32"/>
      <c r="AT86" s="32"/>
      <c r="AU86" s="32"/>
      <c r="AV86" s="32"/>
      <c r="AW86" s="32"/>
      <c r="AX86" s="32"/>
      <c r="AY86" s="32"/>
      <c r="AZ86" s="32"/>
      <c r="BA86" s="32"/>
      <c r="BB86" s="32"/>
      <c r="BC86" s="32"/>
      <c r="BD86" s="32"/>
      <c r="BE86" s="32"/>
      <c r="BF86" s="32"/>
      <c r="BG86" s="32"/>
      <c r="BH86" s="32"/>
      <c r="BI86" s="32"/>
      <c r="BJ86" s="32"/>
      <c r="BK86" s="32"/>
      <c r="BL86" s="32"/>
      <c r="BM86" s="32"/>
      <c r="BN86" s="32"/>
      <c r="BO86" s="32"/>
      <c r="BP86" s="32"/>
      <c r="BQ86" s="32"/>
      <c r="BR86" s="32"/>
      <c r="BS86" s="32"/>
      <c r="BT86" s="32"/>
      <c r="BU86" s="32"/>
      <c r="BV86" s="32"/>
      <c r="BW86" s="32"/>
      <c r="BX86" s="32"/>
      <c r="BY86" s="32"/>
      <c r="BZ86" s="32"/>
      <c r="CA86" s="32"/>
      <c r="CB86" s="32"/>
      <c r="CC86" s="32"/>
      <c r="CD86" s="32"/>
      <c r="CE86" s="32"/>
      <c r="CF86" s="32"/>
      <c r="CG86" s="32"/>
      <c r="CH86" s="32"/>
      <c r="CI86" s="32"/>
      <c r="CJ86" s="32"/>
      <c r="CK86" s="32"/>
      <c r="CL86" s="32"/>
      <c r="CM86" s="32"/>
      <c r="CN86" s="32"/>
      <c r="CO86" s="32"/>
      <c r="CP86" s="32"/>
      <c r="CQ86" s="32"/>
      <c r="CR86" s="32"/>
      <c r="CS86" s="32"/>
      <c r="CT86" s="32"/>
      <c r="CU86" s="32"/>
      <c r="CV86" s="32"/>
      <c r="CW86" s="32"/>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row>
    <row r="87" spans="1:131" ht="26.25" thickBot="1">
      <c r="A87" s="372" t="s">
        <v>291</v>
      </c>
      <c r="B87" s="373"/>
      <c r="C87" s="374" t="s">
        <v>292</v>
      </c>
      <c r="D87" s="375"/>
      <c r="E87" s="375"/>
      <c r="F87" s="375"/>
      <c r="G87" s="375"/>
      <c r="H87" s="375"/>
      <c r="I87" s="375"/>
      <c r="J87" s="375"/>
      <c r="K87" s="376"/>
      <c r="L87" s="374" t="s">
        <v>102</v>
      </c>
      <c r="M87" s="375"/>
      <c r="N87" s="375"/>
      <c r="O87" s="375"/>
      <c r="P87" s="375"/>
      <c r="Q87" s="376"/>
      <c r="R87" s="374" t="s">
        <v>293</v>
      </c>
      <c r="S87" s="375"/>
      <c r="T87" s="375"/>
      <c r="U87" s="376"/>
      <c r="V87" s="374" t="s">
        <v>294</v>
      </c>
      <c r="W87" s="375"/>
      <c r="X87" s="375"/>
      <c r="Y87" s="376"/>
      <c r="Z87" s="374" t="s">
        <v>295</v>
      </c>
      <c r="AA87" s="375"/>
      <c r="AB87" s="375"/>
      <c r="AC87" s="376"/>
      <c r="AD87" s="374" t="s">
        <v>296</v>
      </c>
      <c r="AE87" s="375"/>
      <c r="AF87" s="375"/>
      <c r="AG87" s="376"/>
      <c r="AH87" s="374" t="s">
        <v>297</v>
      </c>
      <c r="AI87" s="375"/>
      <c r="AJ87" s="375"/>
      <c r="AK87" s="375"/>
      <c r="AL87" s="376"/>
      <c r="AM87" s="374" t="s">
        <v>298</v>
      </c>
      <c r="AN87" s="375"/>
      <c r="AO87" s="375"/>
      <c r="AP87" s="375"/>
      <c r="AQ87" s="375"/>
      <c r="AR87" s="375"/>
      <c r="AS87" s="376"/>
      <c r="AT87" s="374" t="s">
        <v>299</v>
      </c>
      <c r="AU87" s="375"/>
      <c r="AV87" s="375"/>
      <c r="AW87" s="375"/>
      <c r="AX87" s="375"/>
      <c r="AY87" s="375"/>
      <c r="AZ87" s="376"/>
      <c r="BA87" s="374" t="s">
        <v>300</v>
      </c>
      <c r="BB87" s="375"/>
      <c r="BC87" s="375"/>
      <c r="BD87" s="375"/>
      <c r="BE87" s="375"/>
      <c r="BF87" s="376"/>
      <c r="BG87" s="374" t="s">
        <v>301</v>
      </c>
      <c r="BH87" s="376"/>
      <c r="BI87" s="374" t="s">
        <v>302</v>
      </c>
      <c r="BJ87" s="375"/>
      <c r="BK87" s="375"/>
      <c r="BL87" s="375"/>
      <c r="BM87" s="376"/>
      <c r="BN87" s="374" t="s">
        <v>303</v>
      </c>
      <c r="BO87" s="375"/>
      <c r="BP87" s="375"/>
      <c r="BQ87" s="375"/>
      <c r="BR87" s="375"/>
      <c r="BS87" s="375"/>
      <c r="BT87" s="375"/>
      <c r="BU87" s="375"/>
      <c r="BV87" s="375"/>
      <c r="BW87" s="375"/>
      <c r="BX87" s="375"/>
      <c r="BY87" s="375"/>
      <c r="BZ87" s="375"/>
      <c r="CA87" s="375"/>
      <c r="CB87" s="375"/>
      <c r="CC87" s="376"/>
      <c r="CD87" s="374" t="s">
        <v>304</v>
      </c>
      <c r="CE87" s="376"/>
      <c r="CF87" s="374" t="s">
        <v>305</v>
      </c>
      <c r="CG87" s="375"/>
      <c r="CH87" s="375"/>
      <c r="CI87" s="375"/>
      <c r="CJ87" s="375"/>
      <c r="CK87" s="376"/>
      <c r="CL87" s="377"/>
      <c r="CM87" s="374" t="s">
        <v>15</v>
      </c>
      <c r="CN87" s="375"/>
      <c r="CO87" s="375"/>
      <c r="CP87" s="376"/>
      <c r="CQ87" s="374" t="s">
        <v>306</v>
      </c>
      <c r="CR87" s="375"/>
      <c r="CS87" s="375"/>
      <c r="CT87" s="375"/>
      <c r="CU87" s="376"/>
      <c r="CV87" s="374" t="s">
        <v>307</v>
      </c>
      <c r="CW87" s="376"/>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row>
    <row r="88" spans="1:131" ht="127.5">
      <c r="A88" s="378" t="s">
        <v>308</v>
      </c>
      <c r="B88" s="379" t="s">
        <v>309</v>
      </c>
      <c r="C88" s="380" t="s">
        <v>8</v>
      </c>
      <c r="D88" s="380" t="s">
        <v>310</v>
      </c>
      <c r="E88" s="380" t="s">
        <v>311</v>
      </c>
      <c r="F88" s="380" t="s">
        <v>312</v>
      </c>
      <c r="G88" s="380" t="s">
        <v>313</v>
      </c>
      <c r="H88" s="380" t="s">
        <v>314</v>
      </c>
      <c r="I88" s="380" t="s">
        <v>315</v>
      </c>
      <c r="J88" s="380" t="s">
        <v>316</v>
      </c>
      <c r="K88" s="380" t="s">
        <v>317</v>
      </c>
      <c r="L88" s="380" t="s">
        <v>318</v>
      </c>
      <c r="M88" s="380" t="s">
        <v>319</v>
      </c>
      <c r="N88" s="380" t="s">
        <v>320</v>
      </c>
      <c r="O88" s="380" t="s">
        <v>321</v>
      </c>
      <c r="P88" s="380" t="s">
        <v>322</v>
      </c>
      <c r="Q88" s="380" t="s">
        <v>323</v>
      </c>
      <c r="R88" s="380" t="s">
        <v>324</v>
      </c>
      <c r="S88" s="380" t="s">
        <v>325</v>
      </c>
      <c r="T88" s="380" t="s">
        <v>326</v>
      </c>
      <c r="U88" s="380" t="s">
        <v>327</v>
      </c>
      <c r="V88" s="380" t="s">
        <v>324</v>
      </c>
      <c r="W88" s="380" t="s">
        <v>325</v>
      </c>
      <c r="X88" s="380" t="s">
        <v>326</v>
      </c>
      <c r="Y88" s="380" t="s">
        <v>327</v>
      </c>
      <c r="Z88" s="380" t="s">
        <v>324</v>
      </c>
      <c r="AA88" s="380" t="s">
        <v>325</v>
      </c>
      <c r="AB88" s="380" t="s">
        <v>326</v>
      </c>
      <c r="AC88" s="380" t="s">
        <v>327</v>
      </c>
      <c r="AD88" s="380" t="s">
        <v>324</v>
      </c>
      <c r="AE88" s="380" t="s">
        <v>325</v>
      </c>
      <c r="AF88" s="380" t="s">
        <v>326</v>
      </c>
      <c r="AG88" s="380" t="s">
        <v>327</v>
      </c>
      <c r="AH88" s="380" t="s">
        <v>324</v>
      </c>
      <c r="AI88" s="380" t="s">
        <v>325</v>
      </c>
      <c r="AJ88" s="380" t="s">
        <v>326</v>
      </c>
      <c r="AK88" s="380" t="s">
        <v>327</v>
      </c>
      <c r="AL88" s="380" t="s">
        <v>156</v>
      </c>
      <c r="AM88" s="380" t="s">
        <v>328</v>
      </c>
      <c r="AN88" s="380" t="s">
        <v>329</v>
      </c>
      <c r="AO88" s="380" t="s">
        <v>330</v>
      </c>
      <c r="AP88" s="380" t="s">
        <v>331</v>
      </c>
      <c r="AQ88" s="380" t="s">
        <v>332</v>
      </c>
      <c r="AR88" s="380" t="s">
        <v>333</v>
      </c>
      <c r="AS88" s="380" t="s">
        <v>334</v>
      </c>
      <c r="AT88" s="380" t="s">
        <v>335</v>
      </c>
      <c r="AU88" s="380" t="s">
        <v>336</v>
      </c>
      <c r="AV88" s="380" t="s">
        <v>337</v>
      </c>
      <c r="AW88" s="380" t="s">
        <v>338</v>
      </c>
      <c r="AX88" s="380" t="s">
        <v>339</v>
      </c>
      <c r="AY88" s="380" t="s">
        <v>340</v>
      </c>
      <c r="AZ88" s="380" t="s">
        <v>341</v>
      </c>
      <c r="BA88" s="380" t="s">
        <v>342</v>
      </c>
      <c r="BB88" s="380" t="s">
        <v>343</v>
      </c>
      <c r="BC88" s="380" t="s">
        <v>344</v>
      </c>
      <c r="BD88" s="380" t="s">
        <v>345</v>
      </c>
      <c r="BE88" s="380" t="s">
        <v>346</v>
      </c>
      <c r="BF88" s="380" t="s">
        <v>347</v>
      </c>
      <c r="BG88" s="380" t="s">
        <v>348</v>
      </c>
      <c r="BH88" s="380" t="s">
        <v>349</v>
      </c>
      <c r="BI88" s="380" t="s">
        <v>350</v>
      </c>
      <c r="BJ88" s="380" t="s">
        <v>351</v>
      </c>
      <c r="BK88" s="380" t="s">
        <v>352</v>
      </c>
      <c r="BL88" s="380" t="s">
        <v>353</v>
      </c>
      <c r="BM88" s="380" t="s">
        <v>354</v>
      </c>
      <c r="BN88" s="380" t="s">
        <v>355</v>
      </c>
      <c r="BO88" s="380" t="s">
        <v>356</v>
      </c>
      <c r="BP88" s="380" t="s">
        <v>357</v>
      </c>
      <c r="BQ88" s="380" t="s">
        <v>358</v>
      </c>
      <c r="BR88" s="380" t="s">
        <v>359</v>
      </c>
      <c r="BS88" s="380" t="s">
        <v>360</v>
      </c>
      <c r="BT88" s="380" t="s">
        <v>361</v>
      </c>
      <c r="BU88" s="380" t="s">
        <v>362</v>
      </c>
      <c r="BV88" s="380" t="s">
        <v>363</v>
      </c>
      <c r="BW88" s="380" t="s">
        <v>364</v>
      </c>
      <c r="BX88" s="380" t="s">
        <v>365</v>
      </c>
      <c r="BY88" s="380" t="s">
        <v>366</v>
      </c>
      <c r="BZ88" s="380" t="s">
        <v>367</v>
      </c>
      <c r="CA88" s="380" t="s">
        <v>368</v>
      </c>
      <c r="CB88" s="380" t="s">
        <v>369</v>
      </c>
      <c r="CC88" s="380" t="s">
        <v>370</v>
      </c>
      <c r="CD88" s="380" t="s">
        <v>371</v>
      </c>
      <c r="CE88" s="380" t="s">
        <v>372</v>
      </c>
      <c r="CF88" s="380" t="s">
        <v>373</v>
      </c>
      <c r="CG88" s="380" t="s">
        <v>374</v>
      </c>
      <c r="CH88" s="380" t="s">
        <v>375</v>
      </c>
      <c r="CI88" s="380" t="s">
        <v>607</v>
      </c>
      <c r="CJ88" s="380" t="s">
        <v>608</v>
      </c>
      <c r="CK88" s="380" t="s">
        <v>609</v>
      </c>
      <c r="CL88" s="380"/>
      <c r="CM88" s="380" t="s">
        <v>376</v>
      </c>
      <c r="CN88" s="380" t="s">
        <v>377</v>
      </c>
      <c r="CO88" s="380" t="s">
        <v>378</v>
      </c>
      <c r="CP88" s="380" t="s">
        <v>379</v>
      </c>
      <c r="CQ88" s="380" t="s">
        <v>380</v>
      </c>
      <c r="CR88" s="380" t="s">
        <v>381</v>
      </c>
      <c r="CS88" s="380" t="s">
        <v>382</v>
      </c>
      <c r="CT88" s="380" t="s">
        <v>383</v>
      </c>
      <c r="CU88" s="380" t="s">
        <v>384</v>
      </c>
      <c r="CV88" s="380" t="s">
        <v>385</v>
      </c>
      <c r="CW88" s="380" t="s">
        <v>386</v>
      </c>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row>
    <row r="89" spans="1:131">
      <c r="A89" s="11" t="s">
        <v>663</v>
      </c>
      <c r="B89" s="11"/>
      <c r="C89" s="32">
        <v>11.627906976744187</v>
      </c>
      <c r="D89" s="32">
        <v>305.29999999999995</v>
      </c>
      <c r="E89" s="32">
        <v>0</v>
      </c>
      <c r="F89" s="32">
        <v>-8.5918959509302795</v>
      </c>
      <c r="G89" s="32">
        <v>-28</v>
      </c>
      <c r="H89" s="32">
        <v>-74.440657764732151</v>
      </c>
      <c r="I89" s="32"/>
      <c r="J89" s="32"/>
      <c r="K89" s="32"/>
      <c r="L89" s="32">
        <v>327.31145340319665</v>
      </c>
      <c r="M89" s="32">
        <v>7.6399321391375424E-2</v>
      </c>
      <c r="N89" s="32">
        <v>7.5847905350357528E-2</v>
      </c>
      <c r="O89" s="32">
        <v>0</v>
      </c>
      <c r="P89" s="32">
        <v>0</v>
      </c>
      <c r="Q89" s="32">
        <v>0</v>
      </c>
      <c r="R89" s="32">
        <v>-1.713338827476222</v>
      </c>
      <c r="S89" s="32">
        <v>-3.9592654329329573</v>
      </c>
      <c r="T89" s="32">
        <v>0</v>
      </c>
      <c r="U89" s="32">
        <v>-8.3813489142453612</v>
      </c>
      <c r="V89" s="32">
        <v>-0.51551375705581681</v>
      </c>
      <c r="W89" s="32">
        <v>-1.2028654331302391</v>
      </c>
      <c r="X89" s="32">
        <v>0</v>
      </c>
      <c r="Y89" s="32">
        <v>0</v>
      </c>
      <c r="Z89" s="32">
        <v>0</v>
      </c>
      <c r="AA89" s="32">
        <v>0</v>
      </c>
      <c r="AB89" s="32">
        <v>0</v>
      </c>
      <c r="AC89" s="32">
        <v>-380.52913765909528</v>
      </c>
      <c r="AD89" s="32">
        <v>0</v>
      </c>
      <c r="AE89" s="32">
        <v>0</v>
      </c>
      <c r="AF89" s="32">
        <v>0</v>
      </c>
      <c r="AG89" s="32">
        <v>-74.440657764732151</v>
      </c>
      <c r="AH89" s="32">
        <v>-2.2288525845320386</v>
      </c>
      <c r="AI89" s="32">
        <v>-5.1621308660631966</v>
      </c>
      <c r="AJ89" s="32">
        <v>0</v>
      </c>
      <c r="AK89" s="32">
        <v>-463.3511443380728</v>
      </c>
      <c r="AL89" s="32">
        <v>-470.74212778866803</v>
      </c>
      <c r="AM89" s="32">
        <v>156.88369784239811</v>
      </c>
      <c r="AN89" s="32">
        <v>26.995584466314426</v>
      </c>
      <c r="AO89" s="32">
        <v>0</v>
      </c>
      <c r="AP89" s="32">
        <v>0</v>
      </c>
      <c r="AQ89" s="32">
        <v>183.87928230871253</v>
      </c>
      <c r="AR89" s="32">
        <v>-2.2288525845320386</v>
      </c>
      <c r="AS89" s="382">
        <v>9999</v>
      </c>
      <c r="AT89" s="32">
        <v>156.88369784239811</v>
      </c>
      <c r="AU89" s="32">
        <v>31.954731375100945</v>
      </c>
      <c r="AV89" s="32">
        <v>0</v>
      </c>
      <c r="AW89" s="32">
        <v>0</v>
      </c>
      <c r="AX89" s="32">
        <v>188.83842921749905</v>
      </c>
      <c r="AY89" s="32">
        <v>-5.1621308660631966</v>
      </c>
      <c r="AZ89" s="382">
        <v>9999</v>
      </c>
      <c r="BA89" s="32">
        <v>156.88369784239811</v>
      </c>
      <c r="BB89" s="32">
        <v>58.950315841415375</v>
      </c>
      <c r="BC89" s="32">
        <v>0</v>
      </c>
      <c r="BD89" s="32">
        <v>0</v>
      </c>
      <c r="BE89" s="32">
        <v>215.83401368381348</v>
      </c>
      <c r="BF89" s="32">
        <v>-7.3909834505952352</v>
      </c>
      <c r="BG89" s="32">
        <v>-14.913956936814882</v>
      </c>
      <c r="BH89" s="382">
        <v>9999</v>
      </c>
      <c r="BI89" s="32">
        <v>-0.50106060356014992</v>
      </c>
      <c r="BJ89" s="32">
        <v>-1.1604806999603181</v>
      </c>
      <c r="BK89" s="32">
        <v>0</v>
      </c>
      <c r="BL89" s="32">
        <v>-104.16436046669537</v>
      </c>
      <c r="BM89" s="32">
        <v>-105.82590177021584</v>
      </c>
      <c r="BN89" s="32">
        <v>156.88369784239811</v>
      </c>
      <c r="BO89" s="32">
        <v>0</v>
      </c>
      <c r="BP89" s="32">
        <v>58.950315841415375</v>
      </c>
      <c r="BQ89" s="32">
        <v>0</v>
      </c>
      <c r="BR89" s="32">
        <v>0</v>
      </c>
      <c r="BS89" s="32">
        <v>0</v>
      </c>
      <c r="BT89" s="32">
        <v>0</v>
      </c>
      <c r="BU89" s="32">
        <v>0</v>
      </c>
      <c r="BV89" s="32">
        <v>0</v>
      </c>
      <c r="BW89" s="32">
        <v>0</v>
      </c>
      <c r="BX89" s="32">
        <v>-14.053953174654541</v>
      </c>
      <c r="BY89" s="32">
        <v>-1.7183791901860559</v>
      </c>
      <c r="BZ89" s="32">
        <v>-380.52913765909528</v>
      </c>
      <c r="CA89" s="32">
        <v>-74.440657764732151</v>
      </c>
      <c r="CB89" s="32">
        <v>215.83401368381348</v>
      </c>
      <c r="CC89" s="32">
        <v>-470.74212778866809</v>
      </c>
      <c r="CD89" s="382">
        <v>9999</v>
      </c>
      <c r="CE89" s="32">
        <v>-119.07831740351027</v>
      </c>
      <c r="CF89" s="32">
        <v>3.109467045598445</v>
      </c>
      <c r="CG89" s="32">
        <v>0</v>
      </c>
      <c r="CH89" s="32">
        <v>3.109467045598445</v>
      </c>
      <c r="CI89" s="32">
        <v>0.15547294036651843</v>
      </c>
      <c r="CJ89" s="32">
        <v>0</v>
      </c>
      <c r="CK89" s="32">
        <v>0.15547294036651843</v>
      </c>
      <c r="CL89" s="32"/>
      <c r="CM89" s="32">
        <v>0</v>
      </c>
      <c r="CN89" s="32"/>
      <c r="CO89" s="32">
        <v>0</v>
      </c>
      <c r="CP89" s="32">
        <v>0</v>
      </c>
      <c r="CQ89" s="32">
        <v>0</v>
      </c>
      <c r="CR89" s="32">
        <v>0</v>
      </c>
      <c r="CS89" s="32">
        <v>0</v>
      </c>
      <c r="CT89" s="32">
        <v>0</v>
      </c>
      <c r="CU89" s="32">
        <v>0</v>
      </c>
      <c r="CV89" s="32">
        <v>9999</v>
      </c>
      <c r="CW89" s="382">
        <v>9999</v>
      </c>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row>
    <row r="90" spans="1:131">
      <c r="A90" s="11" t="s">
        <v>665</v>
      </c>
      <c r="B90" s="11"/>
      <c r="C90" s="32">
        <v>11.627906976744185</v>
      </c>
      <c r="D90" s="32">
        <v>666.5</v>
      </c>
      <c r="E90" s="32">
        <v>0</v>
      </c>
      <c r="F90" s="32">
        <v>2.0115772129567233</v>
      </c>
      <c r="G90" s="32">
        <v>-28</v>
      </c>
      <c r="H90" s="32">
        <v>-77.340943132189253</v>
      </c>
      <c r="I90" s="32"/>
      <c r="J90" s="32"/>
      <c r="K90" s="32"/>
      <c r="L90" s="32">
        <v>714.55317292247162</v>
      </c>
      <c r="M90" s="32">
        <v>0.16678725092483371</v>
      </c>
      <c r="N90" s="32">
        <v>0.16558345534232982</v>
      </c>
      <c r="O90" s="32">
        <v>0</v>
      </c>
      <c r="P90" s="32">
        <v>0</v>
      </c>
      <c r="Q90" s="32">
        <v>0</v>
      </c>
      <c r="R90" s="32">
        <v>0.40113536792213955</v>
      </c>
      <c r="S90" s="32">
        <v>0.92696282292301724</v>
      </c>
      <c r="T90" s="32">
        <v>0</v>
      </c>
      <c r="U90" s="32">
        <v>1.962282898445723</v>
      </c>
      <c r="V90" s="32">
        <v>0.1206946327774034</v>
      </c>
      <c r="W90" s="32">
        <v>0.28162080981394128</v>
      </c>
      <c r="X90" s="32">
        <v>0</v>
      </c>
      <c r="Y90" s="32">
        <v>0</v>
      </c>
      <c r="Z90" s="32">
        <v>0</v>
      </c>
      <c r="AA90" s="32">
        <v>0</v>
      </c>
      <c r="AB90" s="32">
        <v>0</v>
      </c>
      <c r="AC90" s="32">
        <v>-380.52913765909528</v>
      </c>
      <c r="AD90" s="32">
        <v>0</v>
      </c>
      <c r="AE90" s="32">
        <v>0</v>
      </c>
      <c r="AF90" s="32">
        <v>0</v>
      </c>
      <c r="AG90" s="32">
        <v>-77.340943132189253</v>
      </c>
      <c r="AH90" s="32">
        <v>0.521830000699543</v>
      </c>
      <c r="AI90" s="32">
        <v>1.2085836327369586</v>
      </c>
      <c r="AJ90" s="32">
        <v>0</v>
      </c>
      <c r="AK90" s="32">
        <v>-455.9077978928388</v>
      </c>
      <c r="AL90" s="32">
        <v>-454.17738425940229</v>
      </c>
      <c r="AM90" s="32">
        <v>342.49257979678458</v>
      </c>
      <c r="AN90" s="32">
        <v>58.93402242646107</v>
      </c>
      <c r="AO90" s="32">
        <v>0</v>
      </c>
      <c r="AP90" s="32">
        <v>0</v>
      </c>
      <c r="AQ90" s="32">
        <v>401.42660222324565</v>
      </c>
      <c r="AR90" s="32">
        <v>0.521830000699543</v>
      </c>
      <c r="AS90" s="382">
        <v>769.26700589293512</v>
      </c>
      <c r="AT90" s="32">
        <v>342.49257979678458</v>
      </c>
      <c r="AU90" s="32">
        <v>69.760329058318973</v>
      </c>
      <c r="AV90" s="32">
        <v>0</v>
      </c>
      <c r="AW90" s="32">
        <v>0</v>
      </c>
      <c r="AX90" s="32">
        <v>412.25290885510356</v>
      </c>
      <c r="AY90" s="32">
        <v>1.2085836327369586</v>
      </c>
      <c r="AZ90" s="382">
        <v>341.10416332671622</v>
      </c>
      <c r="BA90" s="32">
        <v>342.49257979678458</v>
      </c>
      <c r="BB90" s="32">
        <v>128.69435148478004</v>
      </c>
      <c r="BC90" s="32">
        <v>0</v>
      </c>
      <c r="BD90" s="32">
        <v>0</v>
      </c>
      <c r="BE90" s="32">
        <v>471.18693128156463</v>
      </c>
      <c r="BF90" s="32">
        <v>1.7304136334365015</v>
      </c>
      <c r="BG90" s="32">
        <v>-13.074224745945859</v>
      </c>
      <c r="BH90" s="382">
        <v>272.29728324886958</v>
      </c>
      <c r="BI90" s="32">
        <v>5.373590976920628E-2</v>
      </c>
      <c r="BJ90" s="32">
        <v>0.12445497757934795</v>
      </c>
      <c r="BK90" s="32">
        <v>0</v>
      </c>
      <c r="BL90" s="32">
        <v>-46.947512135763205</v>
      </c>
      <c r="BM90" s="32">
        <v>-46.769321248414656</v>
      </c>
      <c r="BN90" s="32">
        <v>342.49257979678458</v>
      </c>
      <c r="BO90" s="32">
        <v>0</v>
      </c>
      <c r="BP90" s="32">
        <v>128.69435148478004</v>
      </c>
      <c r="BQ90" s="32">
        <v>0</v>
      </c>
      <c r="BR90" s="32">
        <v>0</v>
      </c>
      <c r="BS90" s="32">
        <v>0</v>
      </c>
      <c r="BT90" s="32">
        <v>0</v>
      </c>
      <c r="BU90" s="32">
        <v>0</v>
      </c>
      <c r="BV90" s="32">
        <v>0</v>
      </c>
      <c r="BW90" s="32">
        <v>0</v>
      </c>
      <c r="BX90" s="32">
        <v>3.2903810892908796</v>
      </c>
      <c r="BY90" s="32">
        <v>0.40231544259134466</v>
      </c>
      <c r="BZ90" s="32">
        <v>-380.52913765909528</v>
      </c>
      <c r="CA90" s="32">
        <v>-77.340943132189253</v>
      </c>
      <c r="CB90" s="32">
        <v>471.18693128156463</v>
      </c>
      <c r="CC90" s="32">
        <v>-454.17738425940229</v>
      </c>
      <c r="CD90" s="382">
        <v>251.59311198510389</v>
      </c>
      <c r="CE90" s="32">
        <v>-60.021736881709074</v>
      </c>
      <c r="CF90" s="32">
        <v>6.788273127714926</v>
      </c>
      <c r="CG90" s="32">
        <v>0</v>
      </c>
      <c r="CH90" s="32">
        <v>6.788273127714926</v>
      </c>
      <c r="CI90" s="32">
        <v>0.33941275713817404</v>
      </c>
      <c r="CJ90" s="32">
        <v>0</v>
      </c>
      <c r="CK90" s="32">
        <v>0.33941275713817404</v>
      </c>
      <c r="CL90" s="32"/>
      <c r="CM90" s="32">
        <v>0</v>
      </c>
      <c r="CN90" s="32"/>
      <c r="CO90" s="32">
        <v>0</v>
      </c>
      <c r="CP90" s="32">
        <v>0</v>
      </c>
      <c r="CQ90" s="32">
        <v>0</v>
      </c>
      <c r="CR90" s="32">
        <v>0</v>
      </c>
      <c r="CS90" s="32">
        <v>0</v>
      </c>
      <c r="CT90" s="32">
        <v>0</v>
      </c>
      <c r="CU90" s="32">
        <v>0</v>
      </c>
      <c r="CV90" s="32">
        <v>9999</v>
      </c>
      <c r="CW90" s="382">
        <v>9999</v>
      </c>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row>
    <row r="91" spans="1:131">
      <c r="A91" s="11" t="s">
        <v>664</v>
      </c>
      <c r="B91" s="11"/>
      <c r="C91" s="32">
        <v>11.627906976744185</v>
      </c>
      <c r="D91" s="32">
        <v>395.6</v>
      </c>
      <c r="E91" s="32">
        <v>0</v>
      </c>
      <c r="F91" s="32">
        <v>2.0115772129567233</v>
      </c>
      <c r="G91" s="32">
        <v>-28</v>
      </c>
      <c r="H91" s="32">
        <v>-77.340943132189253</v>
      </c>
      <c r="I91" s="32"/>
      <c r="J91" s="32"/>
      <c r="K91" s="32"/>
      <c r="L91" s="32">
        <v>424.12188328301545</v>
      </c>
      <c r="M91" s="32">
        <v>9.8996303774740002E-2</v>
      </c>
      <c r="N91" s="32">
        <v>9.8281792848350619E-2</v>
      </c>
      <c r="O91" s="32">
        <v>0</v>
      </c>
      <c r="P91" s="32">
        <v>0</v>
      </c>
      <c r="Q91" s="32">
        <v>0</v>
      </c>
      <c r="R91" s="32">
        <v>0.40113536792213955</v>
      </c>
      <c r="S91" s="32">
        <v>0.92696282292301724</v>
      </c>
      <c r="T91" s="32">
        <v>0</v>
      </c>
      <c r="U91" s="32">
        <v>1.962282898445723</v>
      </c>
      <c r="V91" s="32">
        <v>0.1206946327774034</v>
      </c>
      <c r="W91" s="32">
        <v>0.28162080981394128</v>
      </c>
      <c r="X91" s="32">
        <v>0</v>
      </c>
      <c r="Y91" s="32">
        <v>0</v>
      </c>
      <c r="Z91" s="32">
        <v>0</v>
      </c>
      <c r="AA91" s="32">
        <v>0</v>
      </c>
      <c r="AB91" s="32">
        <v>0</v>
      </c>
      <c r="AC91" s="32">
        <v>-380.52913765909528</v>
      </c>
      <c r="AD91" s="32">
        <v>0</v>
      </c>
      <c r="AE91" s="32">
        <v>0</v>
      </c>
      <c r="AF91" s="32">
        <v>0</v>
      </c>
      <c r="AG91" s="32">
        <v>-77.340943132189253</v>
      </c>
      <c r="AH91" s="32">
        <v>0.521830000699543</v>
      </c>
      <c r="AI91" s="32">
        <v>1.2085836327369586</v>
      </c>
      <c r="AJ91" s="32">
        <v>0</v>
      </c>
      <c r="AK91" s="32">
        <v>-455.9077978928388</v>
      </c>
      <c r="AL91" s="32">
        <v>-454.17738425940229</v>
      </c>
      <c r="AM91" s="32">
        <v>203.28591833099458</v>
      </c>
      <c r="AN91" s="32">
        <v>34.980193956351101</v>
      </c>
      <c r="AO91" s="32">
        <v>0</v>
      </c>
      <c r="AP91" s="32">
        <v>0</v>
      </c>
      <c r="AQ91" s="32">
        <v>238.26611228734566</v>
      </c>
      <c r="AR91" s="32">
        <v>0.521830000699543</v>
      </c>
      <c r="AS91" s="382">
        <v>456.59719059451601</v>
      </c>
      <c r="AT91" s="32">
        <v>203.28591833099458</v>
      </c>
      <c r="AU91" s="32">
        <v>41.406130795905469</v>
      </c>
      <c r="AV91" s="32">
        <v>0</v>
      </c>
      <c r="AW91" s="32">
        <v>0</v>
      </c>
      <c r="AX91" s="32">
        <v>244.69204912690003</v>
      </c>
      <c r="AY91" s="32">
        <v>1.2085836327369586</v>
      </c>
      <c r="AZ91" s="382">
        <v>202.46182597456695</v>
      </c>
      <c r="BA91" s="32">
        <v>203.28591833099458</v>
      </c>
      <c r="BB91" s="32">
        <v>76.38632475225657</v>
      </c>
      <c r="BC91" s="32">
        <v>0</v>
      </c>
      <c r="BD91" s="32">
        <v>0</v>
      </c>
      <c r="BE91" s="32">
        <v>279.67224308325115</v>
      </c>
      <c r="BF91" s="32">
        <v>1.7304136334365015</v>
      </c>
      <c r="BG91" s="32">
        <v>-12.952202725261527</v>
      </c>
      <c r="BH91" s="382">
        <v>161.62161328319993</v>
      </c>
      <c r="BI91" s="32">
        <v>9.0533326241597531E-2</v>
      </c>
      <c r="BJ91" s="32">
        <v>0.20967958179129273</v>
      </c>
      <c r="BK91" s="32">
        <v>0</v>
      </c>
      <c r="BL91" s="32">
        <v>-79.096351967861921</v>
      </c>
      <c r="BM91" s="32">
        <v>-78.796139059829031</v>
      </c>
      <c r="BN91" s="32">
        <v>203.28591833099458</v>
      </c>
      <c r="BO91" s="32">
        <v>0</v>
      </c>
      <c r="BP91" s="32">
        <v>76.38632475225657</v>
      </c>
      <c r="BQ91" s="32">
        <v>0</v>
      </c>
      <c r="BR91" s="32">
        <v>0</v>
      </c>
      <c r="BS91" s="32">
        <v>0</v>
      </c>
      <c r="BT91" s="32">
        <v>0</v>
      </c>
      <c r="BU91" s="32">
        <v>0</v>
      </c>
      <c r="BV91" s="32">
        <v>0</v>
      </c>
      <c r="BW91" s="32">
        <v>0</v>
      </c>
      <c r="BX91" s="32">
        <v>3.2903810892908796</v>
      </c>
      <c r="BY91" s="32">
        <v>0.40231544259134466</v>
      </c>
      <c r="BZ91" s="32">
        <v>-380.52913765909528</v>
      </c>
      <c r="CA91" s="32">
        <v>-77.340943132189253</v>
      </c>
      <c r="CB91" s="32">
        <v>279.67224308325115</v>
      </c>
      <c r="CC91" s="32">
        <v>-454.17738425940229</v>
      </c>
      <c r="CD91" s="382">
        <v>199.73001233832747</v>
      </c>
      <c r="CE91" s="32">
        <v>-92.048554693123435</v>
      </c>
      <c r="CF91" s="32">
        <v>4.0291685661275602</v>
      </c>
      <c r="CG91" s="32">
        <v>0</v>
      </c>
      <c r="CH91" s="32">
        <v>4.0291685661275602</v>
      </c>
      <c r="CI91" s="32">
        <v>0.20145789455943236</v>
      </c>
      <c r="CJ91" s="32">
        <v>0</v>
      </c>
      <c r="CK91" s="32">
        <v>0.20145789455943236</v>
      </c>
      <c r="CL91" s="32"/>
      <c r="CM91" s="32">
        <v>0</v>
      </c>
      <c r="CN91" s="32"/>
      <c r="CO91" s="32">
        <v>0</v>
      </c>
      <c r="CP91" s="32">
        <v>0</v>
      </c>
      <c r="CQ91" s="32">
        <v>0</v>
      </c>
      <c r="CR91" s="32">
        <v>0</v>
      </c>
      <c r="CS91" s="32">
        <v>0</v>
      </c>
      <c r="CT91" s="32">
        <v>0</v>
      </c>
      <c r="CU91" s="32">
        <v>0</v>
      </c>
      <c r="CV91" s="32">
        <v>9999</v>
      </c>
      <c r="CW91" s="382">
        <v>9999</v>
      </c>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row>
    <row r="92" spans="1:131">
      <c r="A92" s="11" t="s">
        <v>666</v>
      </c>
      <c r="B92" s="11"/>
      <c r="C92" s="32">
        <v>11.627906976744185</v>
      </c>
      <c r="D92" s="32">
        <v>1152.4000000000001</v>
      </c>
      <c r="E92" s="32">
        <v>0</v>
      </c>
      <c r="F92" s="32">
        <v>134.02315442591345</v>
      </c>
      <c r="G92" s="32">
        <v>-28</v>
      </c>
      <c r="H92" s="32">
        <v>-84.572314159883035</v>
      </c>
      <c r="I92" s="32"/>
      <c r="J92" s="32"/>
      <c r="K92" s="32"/>
      <c r="L92" s="32">
        <v>1235.4854860853059</v>
      </c>
      <c r="M92" s="32">
        <v>0.28838053708293826</v>
      </c>
      <c r="N92" s="32">
        <v>0.28629913568867355</v>
      </c>
      <c r="O92" s="32">
        <v>0</v>
      </c>
      <c r="P92" s="32">
        <v>0</v>
      </c>
      <c r="Q92" s="32">
        <v>0</v>
      </c>
      <c r="R92" s="32">
        <v>26.726007341126671</v>
      </c>
      <c r="S92" s="32">
        <v>61.759737962574029</v>
      </c>
      <c r="T92" s="32">
        <v>0</v>
      </c>
      <c r="U92" s="32">
        <v>130.73887605793738</v>
      </c>
      <c r="V92" s="32">
        <v>8.0413892655548072</v>
      </c>
      <c r="W92" s="32">
        <v>18.763241619627884</v>
      </c>
      <c r="X92" s="32">
        <v>0</v>
      </c>
      <c r="Y92" s="32">
        <v>0</v>
      </c>
      <c r="Z92" s="32">
        <v>0</v>
      </c>
      <c r="AA92" s="32">
        <v>0</v>
      </c>
      <c r="AB92" s="32">
        <v>0</v>
      </c>
      <c r="AC92" s="32">
        <v>-380.52913765909528</v>
      </c>
      <c r="AD92" s="32">
        <v>0</v>
      </c>
      <c r="AE92" s="32">
        <v>0</v>
      </c>
      <c r="AF92" s="32">
        <v>0</v>
      </c>
      <c r="AG92" s="32">
        <v>-84.572314159883035</v>
      </c>
      <c r="AH92" s="32">
        <v>34.76739660668148</v>
      </c>
      <c r="AI92" s="32">
        <v>80.522979582201913</v>
      </c>
      <c r="AJ92" s="32">
        <v>0</v>
      </c>
      <c r="AK92" s="32">
        <v>-334.36257576104094</v>
      </c>
      <c r="AL92" s="32">
        <v>-219.07219957215756</v>
      </c>
      <c r="AM92" s="32">
        <v>592.18071861637611</v>
      </c>
      <c r="AN92" s="32">
        <v>101.89882587284885</v>
      </c>
      <c r="AO92" s="32">
        <v>0</v>
      </c>
      <c r="AP92" s="32">
        <v>0</v>
      </c>
      <c r="AQ92" s="32">
        <v>694.07954448922499</v>
      </c>
      <c r="AR92" s="32">
        <v>34.76739660668148</v>
      </c>
      <c r="AS92" s="382">
        <v>19.963517899865966</v>
      </c>
      <c r="AT92" s="32">
        <v>592.18071861637611</v>
      </c>
      <c r="AU92" s="32">
        <v>120.61785927502898</v>
      </c>
      <c r="AV92" s="32">
        <v>0</v>
      </c>
      <c r="AW92" s="32">
        <v>0</v>
      </c>
      <c r="AX92" s="32">
        <v>712.7985778914051</v>
      </c>
      <c r="AY92" s="32">
        <v>80.522979582201913</v>
      </c>
      <c r="AZ92" s="382">
        <v>8.8521137890053421</v>
      </c>
      <c r="BA92" s="32">
        <v>592.18071861637611</v>
      </c>
      <c r="BB92" s="32">
        <v>222.51668514787781</v>
      </c>
      <c r="BC92" s="32">
        <v>0</v>
      </c>
      <c r="BD92" s="32">
        <v>0</v>
      </c>
      <c r="BE92" s="32">
        <v>814.69740376425398</v>
      </c>
      <c r="BF92" s="32">
        <v>115.29037618888339</v>
      </c>
      <c r="BG92" s="32">
        <v>-6.38607218242658</v>
      </c>
      <c r="BH92" s="382">
        <v>7.0664823092390021</v>
      </c>
      <c r="BI92" s="32">
        <v>2.0706401859848449</v>
      </c>
      <c r="BJ92" s="32">
        <v>4.7957032648829978</v>
      </c>
      <c r="BK92" s="32">
        <v>0</v>
      </c>
      <c r="BL92" s="32">
        <v>-19.913616020566845</v>
      </c>
      <c r="BM92" s="32">
        <v>-13.047272569699</v>
      </c>
      <c r="BN92" s="32">
        <v>592.18071861637611</v>
      </c>
      <c r="BO92" s="32">
        <v>0</v>
      </c>
      <c r="BP92" s="32">
        <v>222.51668514787781</v>
      </c>
      <c r="BQ92" s="32">
        <v>0</v>
      </c>
      <c r="BR92" s="32">
        <v>0</v>
      </c>
      <c r="BS92" s="32">
        <v>0</v>
      </c>
      <c r="BT92" s="32">
        <v>0</v>
      </c>
      <c r="BU92" s="32">
        <v>0</v>
      </c>
      <c r="BV92" s="32">
        <v>0</v>
      </c>
      <c r="BW92" s="32">
        <v>0</v>
      </c>
      <c r="BX92" s="32">
        <v>219.22462136163807</v>
      </c>
      <c r="BY92" s="32">
        <v>26.804630885182689</v>
      </c>
      <c r="BZ92" s="32">
        <v>-380.52913765909528</v>
      </c>
      <c r="CA92" s="32">
        <v>-84.572314159883035</v>
      </c>
      <c r="CB92" s="32">
        <v>814.69740376425398</v>
      </c>
      <c r="CC92" s="32">
        <v>-219.07219957215756</v>
      </c>
      <c r="CD92" s="382">
        <v>5.2018158161913037</v>
      </c>
      <c r="CE92" s="32">
        <v>-26.299688202993423</v>
      </c>
      <c r="CF92" s="32">
        <v>11.737143214371596</v>
      </c>
      <c r="CG92" s="32">
        <v>0</v>
      </c>
      <c r="CH92" s="32">
        <v>11.737143214371596</v>
      </c>
      <c r="CI92" s="32">
        <v>0.58685560589052044</v>
      </c>
      <c r="CJ92" s="32">
        <v>0</v>
      </c>
      <c r="CK92" s="32">
        <v>0.58685560589052044</v>
      </c>
      <c r="CL92" s="32"/>
      <c r="CM92" s="32">
        <v>0</v>
      </c>
      <c r="CN92" s="32"/>
      <c r="CO92" s="32">
        <v>0</v>
      </c>
      <c r="CP92" s="32">
        <v>0</v>
      </c>
      <c r="CQ92" s="32">
        <v>0</v>
      </c>
      <c r="CR92" s="32">
        <v>0</v>
      </c>
      <c r="CS92" s="32">
        <v>0</v>
      </c>
      <c r="CT92" s="32">
        <v>0</v>
      </c>
      <c r="CU92" s="32">
        <v>0</v>
      </c>
      <c r="CV92" s="32">
        <v>9999</v>
      </c>
      <c r="CW92" s="382">
        <v>9999</v>
      </c>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row>
    <row r="93" spans="1:131">
      <c r="A93" s="11" t="s">
        <v>668</v>
      </c>
      <c r="B93" s="11"/>
      <c r="C93" s="32">
        <v>11.627906976744187</v>
      </c>
      <c r="D93" s="32">
        <v>305.29999999999995</v>
      </c>
      <c r="E93" s="32">
        <v>0</v>
      </c>
      <c r="F93" s="32">
        <v>113.40810404906972</v>
      </c>
      <c r="G93" s="32">
        <v>-28</v>
      </c>
      <c r="H93" s="32">
        <v>-74.440657764732151</v>
      </c>
      <c r="I93" s="32"/>
      <c r="J93" s="32"/>
      <c r="K93" s="32"/>
      <c r="L93" s="32">
        <v>327.31145340319665</v>
      </c>
      <c r="M93" s="32">
        <v>7.6399321391375424E-2</v>
      </c>
      <c r="N93" s="32">
        <v>7.5847905350357528E-2</v>
      </c>
      <c r="O93" s="32">
        <v>0</v>
      </c>
      <c r="P93" s="32">
        <v>0</v>
      </c>
      <c r="Q93" s="32">
        <v>0</v>
      </c>
      <c r="R93" s="32">
        <v>22.61509090978879</v>
      </c>
      <c r="S93" s="32">
        <v>52.260035356611773</v>
      </c>
      <c r="T93" s="32">
        <v>0</v>
      </c>
      <c r="U93" s="32">
        <v>110.62900379227469</v>
      </c>
      <c r="V93" s="32">
        <v>6.8044862429441837</v>
      </c>
      <c r="W93" s="32">
        <v>15.877134566869762</v>
      </c>
      <c r="X93" s="32">
        <v>0</v>
      </c>
      <c r="Y93" s="32">
        <v>0</v>
      </c>
      <c r="Z93" s="32">
        <v>0</v>
      </c>
      <c r="AA93" s="32">
        <v>0</v>
      </c>
      <c r="AB93" s="32">
        <v>0</v>
      </c>
      <c r="AC93" s="32">
        <v>-380.52913765909528</v>
      </c>
      <c r="AD93" s="32">
        <v>0</v>
      </c>
      <c r="AE93" s="32">
        <v>0</v>
      </c>
      <c r="AF93" s="32">
        <v>0</v>
      </c>
      <c r="AG93" s="32">
        <v>-74.440657764732151</v>
      </c>
      <c r="AH93" s="32">
        <v>29.419577152732973</v>
      </c>
      <c r="AI93" s="32">
        <v>68.137169923481537</v>
      </c>
      <c r="AJ93" s="32">
        <v>0</v>
      </c>
      <c r="AK93" s="32">
        <v>-344.34079163155275</v>
      </c>
      <c r="AL93" s="32">
        <v>-246.78404455533823</v>
      </c>
      <c r="AM93" s="32">
        <v>156.88369784239811</v>
      </c>
      <c r="AN93" s="32">
        <v>26.995584466314426</v>
      </c>
      <c r="AO93" s="32">
        <v>0</v>
      </c>
      <c r="AP93" s="32">
        <v>0</v>
      </c>
      <c r="AQ93" s="32">
        <v>183.87928230871253</v>
      </c>
      <c r="AR93" s="32">
        <v>29.419577152732973</v>
      </c>
      <c r="AS93" s="382">
        <v>6.2502353910151562</v>
      </c>
      <c r="AT93" s="32">
        <v>156.88369784239811</v>
      </c>
      <c r="AU93" s="32">
        <v>31.954731375100945</v>
      </c>
      <c r="AV93" s="32">
        <v>0</v>
      </c>
      <c r="AW93" s="32">
        <v>0</v>
      </c>
      <c r="AX93" s="32">
        <v>188.83842921749905</v>
      </c>
      <c r="AY93" s="32">
        <v>68.137169923481537</v>
      </c>
      <c r="AZ93" s="382">
        <v>2.7714451514432694</v>
      </c>
      <c r="BA93" s="32">
        <v>156.88369784239811</v>
      </c>
      <c r="BB93" s="32">
        <v>58.950315841415375</v>
      </c>
      <c r="BC93" s="32">
        <v>0</v>
      </c>
      <c r="BD93" s="32">
        <v>0</v>
      </c>
      <c r="BE93" s="32">
        <v>215.83401368381348</v>
      </c>
      <c r="BF93" s="32">
        <v>97.556747076214521</v>
      </c>
      <c r="BG93" s="32">
        <v>8.6789776363219229</v>
      </c>
      <c r="BH93" s="382">
        <v>2.2123945309000197</v>
      </c>
      <c r="BI93" s="32">
        <v>6.6137128973595809</v>
      </c>
      <c r="BJ93" s="32">
        <v>15.317680372256754</v>
      </c>
      <c r="BK93" s="32">
        <v>0</v>
      </c>
      <c r="BL93" s="32">
        <v>-77.410056673402892</v>
      </c>
      <c r="BM93" s="32">
        <v>-55.478663403786555</v>
      </c>
      <c r="BN93" s="32">
        <v>156.88369784239811</v>
      </c>
      <c r="BO93" s="32">
        <v>0</v>
      </c>
      <c r="BP93" s="32">
        <v>58.950315841415375</v>
      </c>
      <c r="BQ93" s="32">
        <v>0</v>
      </c>
      <c r="BR93" s="32">
        <v>0</v>
      </c>
      <c r="BS93" s="32">
        <v>0</v>
      </c>
      <c r="BT93" s="32">
        <v>0</v>
      </c>
      <c r="BU93" s="32">
        <v>0</v>
      </c>
      <c r="BV93" s="32">
        <v>0</v>
      </c>
      <c r="BW93" s="32">
        <v>0</v>
      </c>
      <c r="BX93" s="32">
        <v>185.50413005867526</v>
      </c>
      <c r="BY93" s="32">
        <v>22.681620809813946</v>
      </c>
      <c r="BZ93" s="32">
        <v>-380.52913765909528</v>
      </c>
      <c r="CA93" s="32">
        <v>-74.440657764732151</v>
      </c>
      <c r="CB93" s="32">
        <v>215.83401368381348</v>
      </c>
      <c r="CC93" s="32">
        <v>-246.78404455533823</v>
      </c>
      <c r="CD93" s="382">
        <v>3.2221408348517913</v>
      </c>
      <c r="CE93" s="32">
        <v>-68.731079037080974</v>
      </c>
      <c r="CF93" s="32">
        <v>3.109467045598445</v>
      </c>
      <c r="CG93" s="32">
        <v>0</v>
      </c>
      <c r="CH93" s="32">
        <v>3.109467045598445</v>
      </c>
      <c r="CI93" s="32">
        <v>0.15547294036651843</v>
      </c>
      <c r="CJ93" s="32">
        <v>0</v>
      </c>
      <c r="CK93" s="32">
        <v>0.15547294036651843</v>
      </c>
      <c r="CL93" s="32"/>
      <c r="CM93" s="32">
        <v>0</v>
      </c>
      <c r="CN93" s="32"/>
      <c r="CO93" s="32">
        <v>0</v>
      </c>
      <c r="CP93" s="32">
        <v>0</v>
      </c>
      <c r="CQ93" s="32">
        <v>0</v>
      </c>
      <c r="CR93" s="32">
        <v>0</v>
      </c>
      <c r="CS93" s="32">
        <v>0</v>
      </c>
      <c r="CT93" s="32">
        <v>0</v>
      </c>
      <c r="CU93" s="32">
        <v>0</v>
      </c>
      <c r="CV93" s="32">
        <v>9999</v>
      </c>
      <c r="CW93" s="382">
        <v>9999</v>
      </c>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row>
    <row r="94" spans="1:131">
      <c r="A94" s="11" t="s">
        <v>670</v>
      </c>
      <c r="B94" s="11"/>
      <c r="C94" s="32">
        <v>11.627906976744185</v>
      </c>
      <c r="D94" s="32">
        <v>666.5</v>
      </c>
      <c r="E94" s="32">
        <v>0</v>
      </c>
      <c r="F94" s="32">
        <v>162.01157721295672</v>
      </c>
      <c r="G94" s="32">
        <v>-28</v>
      </c>
      <c r="H94" s="32">
        <v>-77.340943132189253</v>
      </c>
      <c r="I94" s="32"/>
      <c r="J94" s="32"/>
      <c r="K94" s="32"/>
      <c r="L94" s="32">
        <v>714.55317292247162</v>
      </c>
      <c r="M94" s="32">
        <v>0.16678725092483371</v>
      </c>
      <c r="N94" s="32">
        <v>0.16558345534232982</v>
      </c>
      <c r="O94" s="32">
        <v>0</v>
      </c>
      <c r="P94" s="32">
        <v>0</v>
      </c>
      <c r="Q94" s="32">
        <v>0</v>
      </c>
      <c r="R94" s="32">
        <v>32.307272728269702</v>
      </c>
      <c r="S94" s="32">
        <v>74.657193366588231</v>
      </c>
      <c r="T94" s="32">
        <v>0</v>
      </c>
      <c r="U94" s="32">
        <v>158.0414339889638</v>
      </c>
      <c r="V94" s="32">
        <v>9.7206946327774038</v>
      </c>
      <c r="W94" s="32">
        <v>22.681620809813943</v>
      </c>
      <c r="X94" s="32">
        <v>0</v>
      </c>
      <c r="Y94" s="32">
        <v>0</v>
      </c>
      <c r="Z94" s="32">
        <v>0</v>
      </c>
      <c r="AA94" s="32">
        <v>0</v>
      </c>
      <c r="AB94" s="32">
        <v>0</v>
      </c>
      <c r="AC94" s="32">
        <v>-380.52913765909528</v>
      </c>
      <c r="AD94" s="32">
        <v>0</v>
      </c>
      <c r="AE94" s="32">
        <v>0</v>
      </c>
      <c r="AF94" s="32">
        <v>0</v>
      </c>
      <c r="AG94" s="32">
        <v>-77.340943132189253</v>
      </c>
      <c r="AH94" s="32">
        <v>42.027967361047104</v>
      </c>
      <c r="AI94" s="32">
        <v>97.338814176402167</v>
      </c>
      <c r="AJ94" s="32">
        <v>0</v>
      </c>
      <c r="AK94" s="32">
        <v>-299.82864680232075</v>
      </c>
      <c r="AL94" s="32">
        <v>-160.46186526487145</v>
      </c>
      <c r="AM94" s="32">
        <v>342.49257979678458</v>
      </c>
      <c r="AN94" s="32">
        <v>58.93402242646107</v>
      </c>
      <c r="AO94" s="32">
        <v>0</v>
      </c>
      <c r="AP94" s="32">
        <v>0</v>
      </c>
      <c r="AQ94" s="32">
        <v>401.42660222324565</v>
      </c>
      <c r="AR94" s="32">
        <v>42.027967361047104</v>
      </c>
      <c r="AS94" s="382">
        <v>9.5514160552837239</v>
      </c>
      <c r="AT94" s="32">
        <v>342.49257979678458</v>
      </c>
      <c r="AU94" s="32">
        <v>69.760329058318973</v>
      </c>
      <c r="AV94" s="32">
        <v>0</v>
      </c>
      <c r="AW94" s="32">
        <v>0</v>
      </c>
      <c r="AX94" s="32">
        <v>412.25290885510356</v>
      </c>
      <c r="AY94" s="32">
        <v>97.338814176402167</v>
      </c>
      <c r="AZ94" s="382">
        <v>4.2352366046703489</v>
      </c>
      <c r="BA94" s="32">
        <v>342.49257979678458</v>
      </c>
      <c r="BB94" s="32">
        <v>128.69435148478004</v>
      </c>
      <c r="BC94" s="32">
        <v>0</v>
      </c>
      <c r="BD94" s="32">
        <v>0</v>
      </c>
      <c r="BE94" s="32">
        <v>471.18693128156463</v>
      </c>
      <c r="BF94" s="32">
        <v>139.36678153744927</v>
      </c>
      <c r="BG94" s="32">
        <v>1.0990030039660381</v>
      </c>
      <c r="BH94" s="382">
        <v>3.3809127690514393</v>
      </c>
      <c r="BI94" s="32">
        <v>4.3278674259219372</v>
      </c>
      <c r="BJ94" s="32">
        <v>10.023551211338519</v>
      </c>
      <c r="BK94" s="32">
        <v>0</v>
      </c>
      <c r="BL94" s="32">
        <v>-30.875122337148593</v>
      </c>
      <c r="BM94" s="32">
        <v>-16.523703699888138</v>
      </c>
      <c r="BN94" s="32">
        <v>342.49257979678458</v>
      </c>
      <c r="BO94" s="32">
        <v>0</v>
      </c>
      <c r="BP94" s="32">
        <v>128.69435148478004</v>
      </c>
      <c r="BQ94" s="32">
        <v>0</v>
      </c>
      <c r="BR94" s="32">
        <v>0</v>
      </c>
      <c r="BS94" s="32">
        <v>0</v>
      </c>
      <c r="BT94" s="32">
        <v>0</v>
      </c>
      <c r="BU94" s="32">
        <v>0</v>
      </c>
      <c r="BV94" s="32">
        <v>0</v>
      </c>
      <c r="BW94" s="32">
        <v>0</v>
      </c>
      <c r="BX94" s="32">
        <v>265.00590008382176</v>
      </c>
      <c r="BY94" s="32">
        <v>32.402315442591345</v>
      </c>
      <c r="BZ94" s="32">
        <v>-380.52913765909528</v>
      </c>
      <c r="CA94" s="32">
        <v>-77.340943132189253</v>
      </c>
      <c r="CB94" s="32">
        <v>471.18693128156463</v>
      </c>
      <c r="CC94" s="32">
        <v>-160.46186526487142</v>
      </c>
      <c r="CD94" s="382">
        <v>3.1238444789711561</v>
      </c>
      <c r="CE94" s="32">
        <v>-29.77611933318255</v>
      </c>
      <c r="CF94" s="32">
        <v>6.788273127714926</v>
      </c>
      <c r="CG94" s="32">
        <v>0</v>
      </c>
      <c r="CH94" s="32">
        <v>6.788273127714926</v>
      </c>
      <c r="CI94" s="32">
        <v>0.33941275713817404</v>
      </c>
      <c r="CJ94" s="32">
        <v>0</v>
      </c>
      <c r="CK94" s="32">
        <v>0.33941275713817404</v>
      </c>
      <c r="CL94" s="32"/>
      <c r="CM94" s="32">
        <v>0</v>
      </c>
      <c r="CN94" s="32"/>
      <c r="CO94" s="32">
        <v>0</v>
      </c>
      <c r="CP94" s="32">
        <v>0</v>
      </c>
      <c r="CQ94" s="32">
        <v>0</v>
      </c>
      <c r="CR94" s="32">
        <v>0</v>
      </c>
      <c r="CS94" s="32">
        <v>0</v>
      </c>
      <c r="CT94" s="32">
        <v>0</v>
      </c>
      <c r="CU94" s="32">
        <v>0</v>
      </c>
      <c r="CV94" s="32">
        <v>9999</v>
      </c>
      <c r="CW94" s="382">
        <v>9999</v>
      </c>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row>
    <row r="95" spans="1:131">
      <c r="A95" s="11" t="s">
        <v>667</v>
      </c>
      <c r="B95" s="11"/>
      <c r="C95" s="32">
        <v>11.627906976744184</v>
      </c>
      <c r="D95" s="32">
        <v>2919.7</v>
      </c>
      <c r="E95" s="32">
        <v>0</v>
      </c>
      <c r="F95" s="32">
        <v>532.0694632777404</v>
      </c>
      <c r="G95" s="32">
        <v>-28</v>
      </c>
      <c r="H95" s="32">
        <v>-86.610201248072983</v>
      </c>
      <c r="I95" s="32"/>
      <c r="J95" s="32"/>
      <c r="K95" s="32"/>
      <c r="L95" s="32">
        <v>3130.2038994474719</v>
      </c>
      <c r="M95" s="32">
        <v>0.73063576372878758</v>
      </c>
      <c r="N95" s="32">
        <v>0.72536236243510932</v>
      </c>
      <c r="O95" s="32">
        <v>0</v>
      </c>
      <c r="P95" s="32">
        <v>0</v>
      </c>
      <c r="Q95" s="32">
        <v>0</v>
      </c>
      <c r="R95" s="32">
        <v>106.10175862866241</v>
      </c>
      <c r="S95" s="32">
        <v>245.18502620445005</v>
      </c>
      <c r="T95" s="32">
        <v>0</v>
      </c>
      <c r="U95" s="32">
        <v>519.03093843485806</v>
      </c>
      <c r="V95" s="32">
        <v>31.924167796664424</v>
      </c>
      <c r="W95" s="32">
        <v>74.489724858883662</v>
      </c>
      <c r="X95" s="32">
        <v>0</v>
      </c>
      <c r="Y95" s="32">
        <v>0</v>
      </c>
      <c r="Z95" s="32">
        <v>0</v>
      </c>
      <c r="AA95" s="32">
        <v>0</v>
      </c>
      <c r="AB95" s="32">
        <v>0</v>
      </c>
      <c r="AC95" s="32">
        <v>-380.52913765909528</v>
      </c>
      <c r="AD95" s="32">
        <v>0</v>
      </c>
      <c r="AE95" s="32">
        <v>0</v>
      </c>
      <c r="AF95" s="32">
        <v>0</v>
      </c>
      <c r="AG95" s="32">
        <v>-86.610201248072983</v>
      </c>
      <c r="AH95" s="32">
        <v>138.02592642532684</v>
      </c>
      <c r="AI95" s="32">
        <v>319.6747510633337</v>
      </c>
      <c r="AJ95" s="32">
        <v>0</v>
      </c>
      <c r="AK95" s="32">
        <v>51.891599527689792</v>
      </c>
      <c r="AL95" s="32">
        <v>509.59227701635029</v>
      </c>
      <c r="AM95" s="32">
        <v>1500.3384624646255</v>
      </c>
      <c r="AN95" s="32">
        <v>258.16904017785203</v>
      </c>
      <c r="AO95" s="32">
        <v>0</v>
      </c>
      <c r="AP95" s="32">
        <v>0</v>
      </c>
      <c r="AQ95" s="32">
        <v>1758.5075026424774</v>
      </c>
      <c r="AR95" s="32">
        <v>138.02592642532684</v>
      </c>
      <c r="AS95" s="382">
        <v>12.740414414779128</v>
      </c>
      <c r="AT95" s="32">
        <v>1500.3384624646255</v>
      </c>
      <c r="AU95" s="32">
        <v>305.59524793934582</v>
      </c>
      <c r="AV95" s="32">
        <v>0</v>
      </c>
      <c r="AW95" s="32">
        <v>0</v>
      </c>
      <c r="AX95" s="32">
        <v>1805.9337104039714</v>
      </c>
      <c r="AY95" s="32">
        <v>319.6747510633337</v>
      </c>
      <c r="AZ95" s="382">
        <v>5.6492847946135765</v>
      </c>
      <c r="BA95" s="32">
        <v>1500.3384624646255</v>
      </c>
      <c r="BB95" s="32">
        <v>563.76428811719779</v>
      </c>
      <c r="BC95" s="32">
        <v>0</v>
      </c>
      <c r="BD95" s="32">
        <v>0</v>
      </c>
      <c r="BE95" s="32">
        <v>2064.1027505818233</v>
      </c>
      <c r="BF95" s="32">
        <v>457.70067748866052</v>
      </c>
      <c r="BG95" s="32">
        <v>-2.4932388965458538</v>
      </c>
      <c r="BH95" s="382">
        <v>4.5097218599440705</v>
      </c>
      <c r="BI95" s="32">
        <v>3.2445775365939626</v>
      </c>
      <c r="BJ95" s="32">
        <v>7.5145992001546054</v>
      </c>
      <c r="BK95" s="32">
        <v>0</v>
      </c>
      <c r="BL95" s="32">
        <v>1.2198166136313509</v>
      </c>
      <c r="BM95" s="32">
        <v>11.978993350379918</v>
      </c>
      <c r="BN95" s="32">
        <v>1500.3384624646255</v>
      </c>
      <c r="BO95" s="32">
        <v>0</v>
      </c>
      <c r="BP95" s="32">
        <v>563.76428811719779</v>
      </c>
      <c r="BQ95" s="32">
        <v>0</v>
      </c>
      <c r="BR95" s="32">
        <v>0</v>
      </c>
      <c r="BS95" s="32">
        <v>0</v>
      </c>
      <c r="BT95" s="32">
        <v>0</v>
      </c>
      <c r="BU95" s="32">
        <v>0</v>
      </c>
      <c r="BV95" s="32">
        <v>0</v>
      </c>
      <c r="BW95" s="32">
        <v>0</v>
      </c>
      <c r="BX95" s="32">
        <v>870.31772326797045</v>
      </c>
      <c r="BY95" s="32">
        <v>106.41389265554808</v>
      </c>
      <c r="BZ95" s="32">
        <v>-380.52913765909528</v>
      </c>
      <c r="CA95" s="32">
        <v>-86.610201248072983</v>
      </c>
      <c r="CB95" s="32">
        <v>2064.1027505818233</v>
      </c>
      <c r="CC95" s="32">
        <v>509.59227701635024</v>
      </c>
      <c r="CD95" s="382">
        <v>2.5915431099214019</v>
      </c>
      <c r="CE95" s="32">
        <v>-1.273422282914503</v>
      </c>
      <c r="CF95" s="32">
        <v>29.73701583044155</v>
      </c>
      <c r="CG95" s="32">
        <v>0</v>
      </c>
      <c r="CH95" s="32">
        <v>29.73701583044155</v>
      </c>
      <c r="CI95" s="32">
        <v>1.4868468522375493</v>
      </c>
      <c r="CJ95" s="32">
        <v>0</v>
      </c>
      <c r="CK95" s="32">
        <v>1.4868468522375493</v>
      </c>
      <c r="CL95" s="32"/>
      <c r="CM95" s="32">
        <v>0</v>
      </c>
      <c r="CN95" s="32"/>
      <c r="CO95" s="32">
        <v>0</v>
      </c>
      <c r="CP95" s="32">
        <v>0</v>
      </c>
      <c r="CQ95" s="32">
        <v>0</v>
      </c>
      <c r="CR95" s="32">
        <v>0</v>
      </c>
      <c r="CS95" s="32">
        <v>0</v>
      </c>
      <c r="CT95" s="32">
        <v>0</v>
      </c>
      <c r="CU95" s="32">
        <v>0</v>
      </c>
      <c r="CV95" s="32">
        <v>9999</v>
      </c>
      <c r="CW95" s="382">
        <v>9999</v>
      </c>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row>
    <row r="96" spans="1:131">
      <c r="A96" s="11" t="s">
        <v>669</v>
      </c>
      <c r="B96" s="11"/>
      <c r="C96" s="32">
        <v>11.627906976744185</v>
      </c>
      <c r="D96" s="32">
        <v>395.6</v>
      </c>
      <c r="E96" s="32">
        <v>0</v>
      </c>
      <c r="F96" s="32">
        <v>162.01157721295672</v>
      </c>
      <c r="G96" s="32">
        <v>-28</v>
      </c>
      <c r="H96" s="32">
        <v>-77.340943132189253</v>
      </c>
      <c r="I96" s="32"/>
      <c r="J96" s="32"/>
      <c r="K96" s="32"/>
      <c r="L96" s="32">
        <v>424.12188328301545</v>
      </c>
      <c r="M96" s="32">
        <v>9.8996303774740002E-2</v>
      </c>
      <c r="N96" s="32">
        <v>9.8281792848350619E-2</v>
      </c>
      <c r="O96" s="32">
        <v>0</v>
      </c>
      <c r="P96" s="32">
        <v>0</v>
      </c>
      <c r="Q96" s="32">
        <v>0</v>
      </c>
      <c r="R96" s="32">
        <v>32.307272728269702</v>
      </c>
      <c r="S96" s="32">
        <v>74.657193366588231</v>
      </c>
      <c r="T96" s="32">
        <v>0</v>
      </c>
      <c r="U96" s="32">
        <v>158.0414339889638</v>
      </c>
      <c r="V96" s="32">
        <v>9.7206946327774038</v>
      </c>
      <c r="W96" s="32">
        <v>22.681620809813943</v>
      </c>
      <c r="X96" s="32">
        <v>0</v>
      </c>
      <c r="Y96" s="32">
        <v>0</v>
      </c>
      <c r="Z96" s="32">
        <v>0</v>
      </c>
      <c r="AA96" s="32">
        <v>0</v>
      </c>
      <c r="AB96" s="32">
        <v>0</v>
      </c>
      <c r="AC96" s="32">
        <v>-380.52913765909528</v>
      </c>
      <c r="AD96" s="32">
        <v>0</v>
      </c>
      <c r="AE96" s="32">
        <v>0</v>
      </c>
      <c r="AF96" s="32">
        <v>0</v>
      </c>
      <c r="AG96" s="32">
        <v>-77.340943132189253</v>
      </c>
      <c r="AH96" s="32">
        <v>42.027967361047104</v>
      </c>
      <c r="AI96" s="32">
        <v>97.338814176402167</v>
      </c>
      <c r="AJ96" s="32">
        <v>0</v>
      </c>
      <c r="AK96" s="32">
        <v>-299.82864680232075</v>
      </c>
      <c r="AL96" s="32">
        <v>-160.46186526487145</v>
      </c>
      <c r="AM96" s="32">
        <v>203.28591833099458</v>
      </c>
      <c r="AN96" s="32">
        <v>34.980193956351101</v>
      </c>
      <c r="AO96" s="32">
        <v>0</v>
      </c>
      <c r="AP96" s="32">
        <v>0</v>
      </c>
      <c r="AQ96" s="32">
        <v>238.26611228734566</v>
      </c>
      <c r="AR96" s="32">
        <v>42.027967361047104</v>
      </c>
      <c r="AS96" s="382">
        <v>5.6692275941038845</v>
      </c>
      <c r="AT96" s="32">
        <v>203.28591833099458</v>
      </c>
      <c r="AU96" s="32">
        <v>41.406130795905469</v>
      </c>
      <c r="AV96" s="32">
        <v>0</v>
      </c>
      <c r="AW96" s="32">
        <v>0</v>
      </c>
      <c r="AX96" s="32">
        <v>244.69204912690003</v>
      </c>
      <c r="AY96" s="32">
        <v>97.338814176402167</v>
      </c>
      <c r="AZ96" s="382">
        <v>2.5138178556753026</v>
      </c>
      <c r="BA96" s="32">
        <v>203.28591833099458</v>
      </c>
      <c r="BB96" s="32">
        <v>76.38632475225657</v>
      </c>
      <c r="BC96" s="32">
        <v>0</v>
      </c>
      <c r="BD96" s="32">
        <v>0</v>
      </c>
      <c r="BE96" s="32">
        <v>279.67224308325115</v>
      </c>
      <c r="BF96" s="32">
        <v>139.36678153744927</v>
      </c>
      <c r="BG96" s="32">
        <v>10.926604896872652</v>
      </c>
      <c r="BH96" s="382">
        <v>2.0067353209853698</v>
      </c>
      <c r="BI96" s="32">
        <v>7.2915157719336987</v>
      </c>
      <c r="BJ96" s="32">
        <v>16.887504758233373</v>
      </c>
      <c r="BK96" s="32">
        <v>0</v>
      </c>
      <c r="BL96" s="32">
        <v>-52.017869154978605</v>
      </c>
      <c r="BM96" s="32">
        <v>-27.838848624811533</v>
      </c>
      <c r="BN96" s="32">
        <v>203.28591833099458</v>
      </c>
      <c r="BO96" s="32">
        <v>0</v>
      </c>
      <c r="BP96" s="32">
        <v>76.38632475225657</v>
      </c>
      <c r="BQ96" s="32">
        <v>0</v>
      </c>
      <c r="BR96" s="32">
        <v>0</v>
      </c>
      <c r="BS96" s="32">
        <v>0</v>
      </c>
      <c r="BT96" s="32">
        <v>0</v>
      </c>
      <c r="BU96" s="32">
        <v>0</v>
      </c>
      <c r="BV96" s="32">
        <v>0</v>
      </c>
      <c r="BW96" s="32">
        <v>0</v>
      </c>
      <c r="BX96" s="32">
        <v>265.00590008382176</v>
      </c>
      <c r="BY96" s="32">
        <v>32.402315442591345</v>
      </c>
      <c r="BZ96" s="32">
        <v>-380.52913765909528</v>
      </c>
      <c r="CA96" s="32">
        <v>-77.340943132189253</v>
      </c>
      <c r="CB96" s="32">
        <v>279.67224308325115</v>
      </c>
      <c r="CC96" s="32">
        <v>-160.46186526487142</v>
      </c>
      <c r="CD96" s="382">
        <v>2.4798989583024276</v>
      </c>
      <c r="CE96" s="32">
        <v>-41.091264258105952</v>
      </c>
      <c r="CF96" s="32">
        <v>4.0291685661275602</v>
      </c>
      <c r="CG96" s="32">
        <v>0</v>
      </c>
      <c r="CH96" s="32">
        <v>4.0291685661275602</v>
      </c>
      <c r="CI96" s="32">
        <v>0.20145789455943236</v>
      </c>
      <c r="CJ96" s="32">
        <v>0</v>
      </c>
      <c r="CK96" s="32">
        <v>0.20145789455943236</v>
      </c>
      <c r="CL96" s="32"/>
      <c r="CM96" s="32">
        <v>0</v>
      </c>
      <c r="CN96" s="32"/>
      <c r="CO96" s="32">
        <v>0</v>
      </c>
      <c r="CP96" s="32">
        <v>0</v>
      </c>
      <c r="CQ96" s="32">
        <v>0</v>
      </c>
      <c r="CR96" s="32">
        <v>0</v>
      </c>
      <c r="CS96" s="32">
        <v>0</v>
      </c>
      <c r="CT96" s="32">
        <v>0</v>
      </c>
      <c r="CU96" s="32">
        <v>0</v>
      </c>
      <c r="CV96" s="32">
        <v>9999</v>
      </c>
      <c r="CW96" s="382">
        <v>9999</v>
      </c>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row>
    <row r="97" spans="1:131">
      <c r="A97" s="11" t="s">
        <v>671</v>
      </c>
      <c r="B97" s="11"/>
      <c r="C97" s="32">
        <v>11.627906976744185</v>
      </c>
      <c r="D97" s="32">
        <v>1152.4000000000001</v>
      </c>
      <c r="E97" s="32">
        <v>0</v>
      </c>
      <c r="F97" s="32">
        <v>324.02315442591345</v>
      </c>
      <c r="G97" s="32">
        <v>-28</v>
      </c>
      <c r="H97" s="32">
        <v>-84.572314159883035</v>
      </c>
      <c r="I97" s="32"/>
      <c r="J97" s="32"/>
      <c r="K97" s="32"/>
      <c r="L97" s="32">
        <v>1235.4854860853059</v>
      </c>
      <c r="M97" s="32">
        <v>0.28838053708293826</v>
      </c>
      <c r="N97" s="32">
        <v>0.28629913568867355</v>
      </c>
      <c r="O97" s="32">
        <v>0</v>
      </c>
      <c r="P97" s="32">
        <v>0</v>
      </c>
      <c r="Q97" s="32">
        <v>0</v>
      </c>
      <c r="R97" s="32">
        <v>64.614545456539403</v>
      </c>
      <c r="S97" s="32">
        <v>149.31438673317646</v>
      </c>
      <c r="T97" s="32">
        <v>0</v>
      </c>
      <c r="U97" s="32">
        <v>316.08286797792761</v>
      </c>
      <c r="V97" s="32">
        <v>19.441389265554808</v>
      </c>
      <c r="W97" s="32">
        <v>45.363241619627885</v>
      </c>
      <c r="X97" s="32">
        <v>0</v>
      </c>
      <c r="Y97" s="32">
        <v>0</v>
      </c>
      <c r="Z97" s="32">
        <v>0</v>
      </c>
      <c r="AA97" s="32">
        <v>0</v>
      </c>
      <c r="AB97" s="32">
        <v>0</v>
      </c>
      <c r="AC97" s="32">
        <v>-380.52913765909528</v>
      </c>
      <c r="AD97" s="32">
        <v>0</v>
      </c>
      <c r="AE97" s="32">
        <v>0</v>
      </c>
      <c r="AF97" s="32">
        <v>0</v>
      </c>
      <c r="AG97" s="32">
        <v>-84.572314159883035</v>
      </c>
      <c r="AH97" s="32">
        <v>84.055934722094207</v>
      </c>
      <c r="AI97" s="32">
        <v>194.67762835280433</v>
      </c>
      <c r="AJ97" s="32">
        <v>0</v>
      </c>
      <c r="AK97" s="32">
        <v>-149.01858384105071</v>
      </c>
      <c r="AL97" s="32">
        <v>129.71497923384788</v>
      </c>
      <c r="AM97" s="32">
        <v>592.18071861637611</v>
      </c>
      <c r="AN97" s="32">
        <v>101.89882587284885</v>
      </c>
      <c r="AO97" s="32">
        <v>0</v>
      </c>
      <c r="AP97" s="32">
        <v>0</v>
      </c>
      <c r="AQ97" s="32">
        <v>694.07954448922499</v>
      </c>
      <c r="AR97" s="32">
        <v>84.055934722094207</v>
      </c>
      <c r="AS97" s="382">
        <v>8.2573532348904486</v>
      </c>
      <c r="AT97" s="32">
        <v>592.18071861637611</v>
      </c>
      <c r="AU97" s="32">
        <v>120.61785927502898</v>
      </c>
      <c r="AV97" s="32">
        <v>0</v>
      </c>
      <c r="AW97" s="32">
        <v>0</v>
      </c>
      <c r="AX97" s="32">
        <v>712.7985778914051</v>
      </c>
      <c r="AY97" s="32">
        <v>194.67762835280433</v>
      </c>
      <c r="AZ97" s="382">
        <v>3.6614303550053351</v>
      </c>
      <c r="BA97" s="32">
        <v>592.18071861637611</v>
      </c>
      <c r="BB97" s="32">
        <v>222.51668514787781</v>
      </c>
      <c r="BC97" s="32">
        <v>0</v>
      </c>
      <c r="BD97" s="32">
        <v>0</v>
      </c>
      <c r="BE97" s="32">
        <v>814.69740376425398</v>
      </c>
      <c r="BF97" s="32">
        <v>278.73356307489854</v>
      </c>
      <c r="BG97" s="32">
        <v>3.3481059247307288</v>
      </c>
      <c r="BH97" s="382">
        <v>2.9228536196960841</v>
      </c>
      <c r="BI97" s="32">
        <v>5.0061153061037329</v>
      </c>
      <c r="BJ97" s="32">
        <v>11.59440625192142</v>
      </c>
      <c r="BK97" s="32">
        <v>0</v>
      </c>
      <c r="BL97" s="32">
        <v>-8.8750927097179524</v>
      </c>
      <c r="BM97" s="32">
        <v>7.7254288483072031</v>
      </c>
      <c r="BN97" s="32">
        <v>592.18071861637611</v>
      </c>
      <c r="BO97" s="32">
        <v>0</v>
      </c>
      <c r="BP97" s="32">
        <v>222.51668514787781</v>
      </c>
      <c r="BQ97" s="32">
        <v>0</v>
      </c>
      <c r="BR97" s="32">
        <v>0</v>
      </c>
      <c r="BS97" s="32">
        <v>0</v>
      </c>
      <c r="BT97" s="32">
        <v>0</v>
      </c>
      <c r="BU97" s="32">
        <v>0</v>
      </c>
      <c r="BV97" s="32">
        <v>0</v>
      </c>
      <c r="BW97" s="32">
        <v>0</v>
      </c>
      <c r="BX97" s="32">
        <v>530.01180016764351</v>
      </c>
      <c r="BY97" s="32">
        <v>64.804630885182689</v>
      </c>
      <c r="BZ97" s="32">
        <v>-380.52913765909528</v>
      </c>
      <c r="CA97" s="32">
        <v>-84.572314159883035</v>
      </c>
      <c r="CB97" s="32">
        <v>814.69740376425398</v>
      </c>
      <c r="CC97" s="32">
        <v>129.71497923384788</v>
      </c>
      <c r="CD97" s="382">
        <v>2.1515862521114051</v>
      </c>
      <c r="CE97" s="32">
        <v>-5.5269867849872165</v>
      </c>
      <c r="CF97" s="32">
        <v>11.737143214371596</v>
      </c>
      <c r="CG97" s="32">
        <v>0</v>
      </c>
      <c r="CH97" s="32">
        <v>11.737143214371596</v>
      </c>
      <c r="CI97" s="32">
        <v>0.58685560589052044</v>
      </c>
      <c r="CJ97" s="32">
        <v>0</v>
      </c>
      <c r="CK97" s="32">
        <v>0.58685560589052044</v>
      </c>
      <c r="CL97" s="32"/>
      <c r="CM97" s="32">
        <v>0</v>
      </c>
      <c r="CN97" s="32"/>
      <c r="CO97" s="32">
        <v>0</v>
      </c>
      <c r="CP97" s="32">
        <v>0</v>
      </c>
      <c r="CQ97" s="32">
        <v>0</v>
      </c>
      <c r="CR97" s="32">
        <v>0</v>
      </c>
      <c r="CS97" s="32">
        <v>0</v>
      </c>
      <c r="CT97" s="32">
        <v>0</v>
      </c>
      <c r="CU97" s="32">
        <v>0</v>
      </c>
      <c r="CV97" s="32">
        <v>9999</v>
      </c>
      <c r="CW97" s="382">
        <v>9999</v>
      </c>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row>
    <row r="98" spans="1:131">
      <c r="A98" s="11" t="s">
        <v>672</v>
      </c>
      <c r="B98" s="11"/>
      <c r="C98" s="32">
        <v>11.627906976744184</v>
      </c>
      <c r="D98" s="32">
        <v>2919.7</v>
      </c>
      <c r="E98" s="32">
        <v>0</v>
      </c>
      <c r="F98" s="32">
        <v>972.0694632777404</v>
      </c>
      <c r="G98" s="32">
        <v>-28</v>
      </c>
      <c r="H98" s="32">
        <v>-86.610201248072983</v>
      </c>
      <c r="I98" s="32"/>
      <c r="J98" s="32"/>
      <c r="K98" s="32"/>
      <c r="L98" s="32">
        <v>3130.2038994474719</v>
      </c>
      <c r="M98" s="32">
        <v>0.73063576372878758</v>
      </c>
      <c r="N98" s="32">
        <v>0.72536236243510932</v>
      </c>
      <c r="O98" s="32">
        <v>0</v>
      </c>
      <c r="P98" s="32">
        <v>0</v>
      </c>
      <c r="Q98" s="32">
        <v>0</v>
      </c>
      <c r="R98" s="32">
        <v>193.8436363696182</v>
      </c>
      <c r="S98" s="32">
        <v>447.94316019952942</v>
      </c>
      <c r="T98" s="32">
        <v>0</v>
      </c>
      <c r="U98" s="32">
        <v>948.24860393378299</v>
      </c>
      <c r="V98" s="32">
        <v>58.324167796664426</v>
      </c>
      <c r="W98" s="32">
        <v>136.08972485888364</v>
      </c>
      <c r="X98" s="32">
        <v>0</v>
      </c>
      <c r="Y98" s="32">
        <v>0</v>
      </c>
      <c r="Z98" s="32">
        <v>0</v>
      </c>
      <c r="AA98" s="32">
        <v>0</v>
      </c>
      <c r="AB98" s="32">
        <v>0</v>
      </c>
      <c r="AC98" s="32">
        <v>-380.52913765909528</v>
      </c>
      <c r="AD98" s="32">
        <v>0</v>
      </c>
      <c r="AE98" s="32">
        <v>0</v>
      </c>
      <c r="AF98" s="32">
        <v>0</v>
      </c>
      <c r="AG98" s="32">
        <v>-86.610201248072983</v>
      </c>
      <c r="AH98" s="32">
        <v>252.16780416628262</v>
      </c>
      <c r="AI98" s="32">
        <v>584.03288505841306</v>
      </c>
      <c r="AJ98" s="32">
        <v>0</v>
      </c>
      <c r="AK98" s="32">
        <v>481.10926502661471</v>
      </c>
      <c r="AL98" s="32">
        <v>1317.3099542513103</v>
      </c>
      <c r="AM98" s="32">
        <v>1500.3384624646255</v>
      </c>
      <c r="AN98" s="32">
        <v>258.16904017785203</v>
      </c>
      <c r="AO98" s="32">
        <v>0</v>
      </c>
      <c r="AP98" s="32">
        <v>0</v>
      </c>
      <c r="AQ98" s="32">
        <v>1758.5075026424774</v>
      </c>
      <c r="AR98" s="32">
        <v>252.16780416628262</v>
      </c>
      <c r="AS98" s="382">
        <v>6.9735607543415634</v>
      </c>
      <c r="AT98" s="32">
        <v>1500.3384624646255</v>
      </c>
      <c r="AU98" s="32">
        <v>305.59524793934582</v>
      </c>
      <c r="AV98" s="32">
        <v>0</v>
      </c>
      <c r="AW98" s="32">
        <v>0</v>
      </c>
      <c r="AX98" s="32">
        <v>1805.9337104039714</v>
      </c>
      <c r="AY98" s="32">
        <v>584.03288505841306</v>
      </c>
      <c r="AZ98" s="382">
        <v>3.0921781231948056</v>
      </c>
      <c r="BA98" s="32">
        <v>1500.3384624646255</v>
      </c>
      <c r="BB98" s="32">
        <v>563.76428811719779</v>
      </c>
      <c r="BC98" s="32">
        <v>0</v>
      </c>
      <c r="BD98" s="32">
        <v>0</v>
      </c>
      <c r="BE98" s="32">
        <v>2064.1027505818233</v>
      </c>
      <c r="BF98" s="32">
        <v>836.20068922469568</v>
      </c>
      <c r="BG98" s="32">
        <v>6.4041665944702748</v>
      </c>
      <c r="BH98" s="382">
        <v>2.4684298604149775</v>
      </c>
      <c r="BI98" s="32">
        <v>5.9277123801287219</v>
      </c>
      <c r="BJ98" s="32">
        <v>13.72886984763597</v>
      </c>
      <c r="BK98" s="32">
        <v>0</v>
      </c>
      <c r="BL98" s="32">
        <v>11.309442757459752</v>
      </c>
      <c r="BM98" s="32">
        <v>30.966024985224443</v>
      </c>
      <c r="BN98" s="32">
        <v>1500.3384624646255</v>
      </c>
      <c r="BO98" s="32">
        <v>0</v>
      </c>
      <c r="BP98" s="32">
        <v>563.76428811719779</v>
      </c>
      <c r="BQ98" s="32">
        <v>0</v>
      </c>
      <c r="BR98" s="32">
        <v>0</v>
      </c>
      <c r="BS98" s="32">
        <v>0</v>
      </c>
      <c r="BT98" s="32">
        <v>0</v>
      </c>
      <c r="BU98" s="32">
        <v>0</v>
      </c>
      <c r="BV98" s="32">
        <v>0</v>
      </c>
      <c r="BW98" s="32">
        <v>0</v>
      </c>
      <c r="BX98" s="32">
        <v>1590.0354005029305</v>
      </c>
      <c r="BY98" s="32">
        <v>194.4138926555481</v>
      </c>
      <c r="BZ98" s="32">
        <v>-380.52913765909528</v>
      </c>
      <c r="CA98" s="32">
        <v>-86.610201248072983</v>
      </c>
      <c r="CB98" s="32">
        <v>2064.1027505818233</v>
      </c>
      <c r="CC98" s="32">
        <v>1317.3099542513103</v>
      </c>
      <c r="CD98" s="382">
        <v>1.418500429905009</v>
      </c>
      <c r="CE98" s="32">
        <v>17.713609351930028</v>
      </c>
      <c r="CF98" s="32">
        <v>29.73701583044155</v>
      </c>
      <c r="CG98" s="32">
        <v>0</v>
      </c>
      <c r="CH98" s="32">
        <v>29.73701583044155</v>
      </c>
      <c r="CI98" s="32">
        <v>1.4868468522375493</v>
      </c>
      <c r="CJ98" s="32">
        <v>0</v>
      </c>
      <c r="CK98" s="32">
        <v>1.4868468522375493</v>
      </c>
      <c r="CL98" s="32"/>
      <c r="CM98" s="32">
        <v>0</v>
      </c>
      <c r="CN98" s="32"/>
      <c r="CO98" s="32">
        <v>0</v>
      </c>
      <c r="CP98" s="32">
        <v>0</v>
      </c>
      <c r="CQ98" s="32">
        <v>0</v>
      </c>
      <c r="CR98" s="32">
        <v>0</v>
      </c>
      <c r="CS98" s="32">
        <v>0</v>
      </c>
      <c r="CT98" s="32">
        <v>0</v>
      </c>
      <c r="CU98" s="32">
        <v>0</v>
      </c>
      <c r="CV98" s="32">
        <v>9999</v>
      </c>
      <c r="CW98" s="382">
        <v>9999</v>
      </c>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row>
    <row r="99" spans="1:131">
      <c r="A99" s="11"/>
      <c r="B99" s="11"/>
      <c r="C99" s="32"/>
      <c r="D99" s="32"/>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c r="AG99" s="32"/>
      <c r="AH99" s="32"/>
      <c r="AI99" s="32"/>
      <c r="AJ99" s="32"/>
      <c r="AK99" s="32"/>
      <c r="AL99" s="32"/>
      <c r="AM99" s="32"/>
      <c r="AN99" s="32"/>
      <c r="AO99" s="32"/>
      <c r="AP99" s="32"/>
      <c r="AQ99" s="32"/>
      <c r="AR99" s="32"/>
      <c r="AS99" s="383"/>
      <c r="AT99" s="32"/>
      <c r="AU99" s="32"/>
      <c r="AV99" s="32"/>
      <c r="AW99" s="32"/>
      <c r="AX99" s="32"/>
      <c r="AY99" s="32"/>
      <c r="AZ99" s="383"/>
      <c r="BA99" s="32"/>
      <c r="BB99" s="32"/>
      <c r="BC99" s="32"/>
      <c r="BD99" s="32"/>
      <c r="BE99" s="32"/>
      <c r="BF99" s="32"/>
      <c r="BG99" s="32"/>
      <c r="BH99" s="383"/>
      <c r="BI99" s="32"/>
      <c r="BJ99" s="32"/>
      <c r="BK99" s="32"/>
      <c r="BL99" s="32"/>
      <c r="BM99" s="32"/>
      <c r="BN99" s="32"/>
      <c r="BO99" s="32"/>
      <c r="BP99" s="32"/>
      <c r="BQ99" s="32"/>
      <c r="BR99" s="32"/>
      <c r="BS99" s="32"/>
      <c r="BT99" s="32"/>
      <c r="BU99" s="32"/>
      <c r="BV99" s="32"/>
      <c r="BW99" s="32"/>
      <c r="BX99" s="32"/>
      <c r="BY99" s="32"/>
      <c r="BZ99" s="32"/>
      <c r="CA99" s="32"/>
      <c r="CB99" s="32"/>
      <c r="CC99" s="32"/>
      <c r="CD99" s="383"/>
      <c r="CE99" s="32"/>
      <c r="CF99" s="32"/>
      <c r="CG99" s="32"/>
      <c r="CH99" s="32"/>
      <c r="CI99" s="32"/>
      <c r="CJ99" s="32"/>
      <c r="CK99" s="32"/>
      <c r="CL99" s="32"/>
      <c r="CM99" s="32"/>
      <c r="CN99" s="32"/>
      <c r="CO99" s="32"/>
      <c r="CP99" s="32"/>
      <c r="CQ99" s="32"/>
      <c r="CR99" s="32"/>
      <c r="CS99" s="32"/>
      <c r="CT99" s="32"/>
      <c r="CU99" s="32"/>
      <c r="CV99" s="32"/>
      <c r="CW99" s="383"/>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row>
    <row r="100" spans="1:131">
      <c r="A100" s="11"/>
      <c r="B100" s="11"/>
      <c r="C100" s="32"/>
      <c r="D100" s="32"/>
      <c r="E100" s="32"/>
      <c r="F100" s="32"/>
      <c r="G100" s="32"/>
      <c r="H100" s="32"/>
      <c r="I100" s="32"/>
      <c r="J100" s="32"/>
      <c r="K100" s="32"/>
      <c r="L100" s="32"/>
      <c r="M100" s="32"/>
      <c r="N100" s="32"/>
      <c r="O100" s="32"/>
      <c r="P100" s="32"/>
      <c r="Q100" s="32"/>
      <c r="R100" s="32"/>
      <c r="S100" s="32"/>
      <c r="T100" s="32"/>
      <c r="U100" s="32"/>
      <c r="V100" s="32"/>
      <c r="W100" s="32"/>
      <c r="X100" s="32"/>
      <c r="Y100" s="32"/>
      <c r="Z100" s="32"/>
      <c r="AA100" s="32"/>
      <c r="AB100" s="32"/>
      <c r="AC100" s="32"/>
      <c r="AD100" s="32"/>
      <c r="AE100" s="32"/>
      <c r="AF100" s="32"/>
      <c r="AG100" s="32"/>
      <c r="AH100" s="32"/>
      <c r="AI100" s="32"/>
      <c r="AJ100" s="32"/>
      <c r="AK100" s="32"/>
      <c r="AL100" s="32"/>
      <c r="AM100" s="32"/>
      <c r="AN100" s="32"/>
      <c r="AO100" s="32"/>
      <c r="AP100" s="32"/>
      <c r="AQ100" s="32"/>
      <c r="AR100" s="32"/>
      <c r="AS100" s="383"/>
      <c r="AT100" s="32"/>
      <c r="AU100" s="32"/>
      <c r="AV100" s="32"/>
      <c r="AW100" s="32"/>
      <c r="AX100" s="32"/>
      <c r="AY100" s="32"/>
      <c r="AZ100" s="383"/>
      <c r="BA100" s="32"/>
      <c r="BB100" s="32"/>
      <c r="BC100" s="32"/>
      <c r="BD100" s="32"/>
      <c r="BE100" s="32"/>
      <c r="BF100" s="32"/>
      <c r="BG100" s="32"/>
      <c r="BH100" s="383"/>
      <c r="BI100" s="32"/>
      <c r="BJ100" s="32"/>
      <c r="BK100" s="32"/>
      <c r="BL100" s="32"/>
      <c r="BM100" s="32"/>
      <c r="BN100" s="32"/>
      <c r="BO100" s="32"/>
      <c r="BP100" s="32"/>
      <c r="BQ100" s="32"/>
      <c r="BR100" s="32"/>
      <c r="BS100" s="32"/>
      <c r="BT100" s="32"/>
      <c r="BU100" s="32"/>
      <c r="BV100" s="32"/>
      <c r="BW100" s="32"/>
      <c r="BX100" s="32"/>
      <c r="BY100" s="32"/>
      <c r="BZ100" s="32"/>
      <c r="CA100" s="32"/>
      <c r="CB100" s="32"/>
      <c r="CC100" s="32"/>
      <c r="CD100" s="383"/>
      <c r="CE100" s="32"/>
      <c r="CF100" s="32"/>
      <c r="CG100" s="32"/>
      <c r="CH100" s="32"/>
      <c r="CI100" s="32"/>
      <c r="CJ100" s="32"/>
      <c r="CK100" s="32"/>
      <c r="CL100" s="32"/>
      <c r="CM100" s="32"/>
      <c r="CN100" s="32"/>
      <c r="CO100" s="32"/>
      <c r="CP100" s="32"/>
      <c r="CQ100" s="32"/>
      <c r="CR100" s="32"/>
      <c r="CS100" s="32"/>
      <c r="CT100" s="32"/>
      <c r="CU100" s="32"/>
      <c r="CV100" s="32"/>
      <c r="CW100" s="383"/>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row>
    <row r="101" spans="1:131" ht="13.5" thickBot="1">
      <c r="A101" s="367" t="s">
        <v>612</v>
      </c>
      <c r="B101" s="369"/>
      <c r="C101" s="32"/>
      <c r="D101" s="32"/>
      <c r="E101" s="32"/>
      <c r="F101" s="32"/>
      <c r="G101" s="32"/>
      <c r="H101" s="32"/>
      <c r="I101" s="32"/>
      <c r="J101" s="32"/>
      <c r="K101" s="32"/>
      <c r="L101" s="32"/>
      <c r="M101" s="32"/>
      <c r="N101" s="32"/>
      <c r="O101" s="32"/>
      <c r="P101" s="32"/>
      <c r="Q101" s="32"/>
      <c r="R101" s="32"/>
      <c r="S101" s="32"/>
      <c r="T101" s="32"/>
      <c r="U101" s="32"/>
      <c r="V101" s="32"/>
      <c r="W101" s="32"/>
      <c r="X101" s="32"/>
      <c r="Y101" s="32"/>
      <c r="Z101" s="32"/>
      <c r="AA101" s="32"/>
      <c r="AB101" s="32"/>
      <c r="AC101" s="32"/>
      <c r="AD101" s="32"/>
      <c r="AE101" s="32"/>
      <c r="AF101" s="32"/>
      <c r="AG101" s="32"/>
      <c r="AH101" s="32"/>
      <c r="AI101" s="32"/>
      <c r="AJ101" s="32"/>
      <c r="AK101" s="32"/>
      <c r="AL101" s="32"/>
      <c r="AM101" s="32"/>
      <c r="AN101" s="32"/>
      <c r="AO101" s="32"/>
      <c r="AP101" s="32"/>
      <c r="AQ101" s="32"/>
      <c r="AR101" s="32"/>
      <c r="AS101" s="383"/>
      <c r="AT101" s="32"/>
      <c r="AU101" s="32"/>
      <c r="AV101" s="32"/>
      <c r="AW101" s="32"/>
      <c r="AX101" s="32"/>
      <c r="AY101" s="32"/>
      <c r="AZ101" s="383"/>
      <c r="BA101" s="32"/>
      <c r="BB101" s="32"/>
      <c r="BC101" s="32"/>
      <c r="BD101" s="32"/>
      <c r="BE101" s="32"/>
      <c r="BF101" s="32"/>
      <c r="BG101" s="32"/>
      <c r="BH101" s="383"/>
      <c r="BI101" s="32"/>
      <c r="BJ101" s="32"/>
      <c r="BK101" s="32"/>
      <c r="BL101" s="32"/>
      <c r="BM101" s="32"/>
      <c r="BN101" s="32"/>
      <c r="BO101" s="32"/>
      <c r="BP101" s="32"/>
      <c r="BQ101" s="32"/>
      <c r="BR101" s="32"/>
      <c r="BS101" s="32"/>
      <c r="BT101" s="32"/>
      <c r="BU101" s="32"/>
      <c r="BV101" s="32"/>
      <c r="BW101" s="32"/>
      <c r="BX101" s="32"/>
      <c r="BY101" s="32"/>
      <c r="BZ101" s="32"/>
      <c r="CA101" s="32"/>
      <c r="CB101" s="32"/>
      <c r="CC101" s="32"/>
      <c r="CD101" s="383"/>
      <c r="CE101" s="32"/>
      <c r="CF101" s="32"/>
      <c r="CG101" s="32"/>
      <c r="CH101" s="32"/>
      <c r="CI101" s="32"/>
      <c r="CJ101" s="32"/>
      <c r="CK101" s="32"/>
      <c r="CL101" s="32"/>
      <c r="CM101" s="32"/>
      <c r="CN101" s="32"/>
      <c r="CO101" s="32"/>
      <c r="CP101" s="32"/>
      <c r="CQ101" s="32"/>
      <c r="CR101" s="32"/>
      <c r="CS101" s="32"/>
      <c r="CT101" s="32"/>
      <c r="CU101" s="32"/>
      <c r="CV101" s="32"/>
      <c r="CW101" s="383"/>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row>
    <row r="102" spans="1:131" ht="13.5" thickBot="1">
      <c r="A102" s="384" t="s">
        <v>613</v>
      </c>
      <c r="B102" s="385"/>
      <c r="C102" s="386"/>
      <c r="D102" s="386"/>
      <c r="E102" s="386"/>
      <c r="F102" s="386"/>
      <c r="G102" s="386"/>
      <c r="H102" s="386"/>
      <c r="I102" s="386"/>
      <c r="J102" s="386"/>
      <c r="K102" s="386"/>
      <c r="L102" s="387"/>
      <c r="M102" s="388"/>
      <c r="N102" s="389" t="s">
        <v>954</v>
      </c>
      <c r="O102" s="386"/>
      <c r="P102" s="386"/>
      <c r="Q102" s="386"/>
      <c r="R102" s="386"/>
      <c r="S102" s="386"/>
      <c r="T102" s="386"/>
      <c r="U102" s="386"/>
      <c r="V102" s="386"/>
      <c r="W102" s="386"/>
      <c r="X102" s="386"/>
      <c r="Y102" s="387"/>
      <c r="Z102" s="388"/>
      <c r="AA102" s="389" t="s">
        <v>955</v>
      </c>
      <c r="AB102" s="386"/>
      <c r="AC102" s="386"/>
      <c r="AD102" s="386"/>
      <c r="AE102" s="386"/>
      <c r="AF102" s="386"/>
      <c r="AG102" s="386"/>
      <c r="AH102" s="386"/>
      <c r="AI102" s="386"/>
      <c r="AJ102" s="386"/>
      <c r="AK102" s="386"/>
      <c r="AL102" s="387"/>
      <c r="AM102" s="32"/>
      <c r="AN102" s="32"/>
      <c r="AO102" s="32"/>
      <c r="AP102" s="32"/>
      <c r="AQ102" s="32"/>
      <c r="AR102" s="32"/>
      <c r="AS102" s="383"/>
      <c r="AT102" s="32"/>
      <c r="AU102" s="32"/>
      <c r="AV102" s="32"/>
      <c r="AW102" s="32"/>
      <c r="AX102" s="32"/>
      <c r="AY102" s="32"/>
      <c r="AZ102" s="383"/>
      <c r="BA102" s="32"/>
      <c r="BB102" s="32"/>
      <c r="BC102" s="32"/>
      <c r="BD102" s="32"/>
      <c r="BE102" s="32"/>
      <c r="BF102" s="32"/>
      <c r="BG102" s="32"/>
      <c r="BH102" s="383"/>
      <c r="BI102" s="32"/>
      <c r="BJ102" s="32"/>
      <c r="BK102" s="32"/>
      <c r="BL102" s="32"/>
      <c r="BM102" s="32"/>
      <c r="BN102" s="32"/>
      <c r="BO102" s="32"/>
      <c r="BP102" s="32"/>
      <c r="BQ102" s="32"/>
      <c r="BR102" s="32"/>
      <c r="BS102" s="32"/>
      <c r="BT102" s="32"/>
      <c r="BU102" s="32"/>
      <c r="BV102" s="32"/>
      <c r="BW102" s="32"/>
      <c r="BX102" s="32"/>
      <c r="BY102" s="32"/>
      <c r="BZ102" s="32"/>
      <c r="CA102" s="32"/>
      <c r="CB102" s="32"/>
      <c r="CC102" s="32"/>
      <c r="CD102" s="383"/>
      <c r="CE102" s="32"/>
      <c r="CF102" s="32"/>
      <c r="CG102" s="32"/>
      <c r="CH102" s="32"/>
      <c r="CI102" s="32"/>
      <c r="CJ102" s="32"/>
      <c r="CK102" s="32"/>
      <c r="CL102" s="32"/>
      <c r="CM102" s="32"/>
      <c r="CN102" s="32"/>
      <c r="CO102" s="32"/>
      <c r="CP102" s="32"/>
      <c r="CQ102" s="32"/>
      <c r="CR102" s="32"/>
      <c r="CS102" s="32"/>
      <c r="CT102" s="32"/>
      <c r="CU102" s="32"/>
      <c r="CV102" s="32"/>
      <c r="CW102" s="383"/>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row>
    <row r="103" spans="1:131" ht="102">
      <c r="A103" s="378"/>
      <c r="B103" s="379" t="s">
        <v>614</v>
      </c>
      <c r="C103" s="380" t="s">
        <v>615</v>
      </c>
      <c r="D103" s="380" t="s">
        <v>616</v>
      </c>
      <c r="E103" s="380" t="s">
        <v>617</v>
      </c>
      <c r="F103" s="380" t="s">
        <v>618</v>
      </c>
      <c r="G103" s="380" t="s">
        <v>619</v>
      </c>
      <c r="H103" s="380" t="s">
        <v>620</v>
      </c>
      <c r="I103" s="380" t="s">
        <v>621</v>
      </c>
      <c r="J103" s="380" t="s">
        <v>622</v>
      </c>
      <c r="K103" s="380" t="s">
        <v>372</v>
      </c>
      <c r="L103" s="380" t="s">
        <v>371</v>
      </c>
      <c r="M103" s="380" t="s">
        <v>623</v>
      </c>
      <c r="N103" s="380" t="s">
        <v>624</v>
      </c>
      <c r="O103" s="380" t="s">
        <v>625</v>
      </c>
      <c r="P103" s="380" t="s">
        <v>626</v>
      </c>
      <c r="Q103" s="380" t="s">
        <v>627</v>
      </c>
      <c r="R103" s="380" t="s">
        <v>628</v>
      </c>
      <c r="S103" s="380" t="s">
        <v>629</v>
      </c>
      <c r="T103" s="380" t="s">
        <v>630</v>
      </c>
      <c r="U103" s="380" t="s">
        <v>631</v>
      </c>
      <c r="V103" s="380" t="s">
        <v>632</v>
      </c>
      <c r="W103" s="380" t="s">
        <v>633</v>
      </c>
      <c r="X103" s="380" t="s">
        <v>634</v>
      </c>
      <c r="Y103" s="380" t="s">
        <v>635</v>
      </c>
      <c r="Z103" s="380"/>
      <c r="AA103" s="380" t="s">
        <v>624</v>
      </c>
      <c r="AB103" s="380" t="s">
        <v>625</v>
      </c>
      <c r="AC103" s="380" t="s">
        <v>626</v>
      </c>
      <c r="AD103" s="380" t="s">
        <v>627</v>
      </c>
      <c r="AE103" s="380" t="s">
        <v>628</v>
      </c>
      <c r="AF103" s="380" t="s">
        <v>629</v>
      </c>
      <c r="AG103" s="380" t="s">
        <v>630</v>
      </c>
      <c r="AH103" s="380" t="s">
        <v>631</v>
      </c>
      <c r="AI103" s="380" t="s">
        <v>632</v>
      </c>
      <c r="AJ103" s="380" t="s">
        <v>633</v>
      </c>
      <c r="AK103" s="380" t="s">
        <v>634</v>
      </c>
      <c r="AL103" s="380" t="s">
        <v>635</v>
      </c>
      <c r="AM103" s="32"/>
      <c r="AN103" s="32"/>
      <c r="AO103" s="32"/>
      <c r="AP103" s="32"/>
      <c r="AQ103" s="32"/>
      <c r="AR103" s="32"/>
      <c r="AS103" s="383"/>
      <c r="AT103" s="32"/>
      <c r="AU103" s="32"/>
      <c r="AV103" s="32"/>
      <c r="AW103" s="32"/>
      <c r="AX103" s="32"/>
      <c r="AY103" s="32"/>
      <c r="AZ103" s="383"/>
      <c r="BA103" s="32"/>
      <c r="BB103" s="32"/>
      <c r="BC103" s="32"/>
      <c r="BD103" s="32"/>
      <c r="BE103" s="32"/>
      <c r="BF103" s="32"/>
      <c r="BG103" s="32"/>
      <c r="BH103" s="383"/>
      <c r="BI103" s="32"/>
      <c r="BJ103" s="32"/>
      <c r="BK103" s="32"/>
      <c r="BL103" s="32"/>
      <c r="BM103" s="32"/>
      <c r="BN103" s="32"/>
      <c r="BO103" s="32"/>
      <c r="BP103" s="32"/>
      <c r="BQ103" s="32"/>
      <c r="BR103" s="32"/>
      <c r="BS103" s="32"/>
      <c r="BT103" s="32"/>
      <c r="BU103" s="32"/>
      <c r="BV103" s="32"/>
      <c r="BW103" s="32"/>
      <c r="BX103" s="32"/>
      <c r="BY103" s="32"/>
      <c r="BZ103" s="32"/>
      <c r="CA103" s="32"/>
      <c r="CB103" s="32"/>
      <c r="CC103" s="32"/>
      <c r="CD103" s="383"/>
      <c r="CE103" s="32"/>
      <c r="CF103" s="32"/>
      <c r="CG103" s="32"/>
      <c r="CH103" s="32"/>
      <c r="CI103" s="32"/>
      <c r="CJ103" s="32"/>
      <c r="CK103" s="32"/>
      <c r="CL103" s="32"/>
      <c r="CM103" s="32"/>
      <c r="CN103" s="32"/>
      <c r="CO103" s="32"/>
      <c r="CP103" s="32"/>
      <c r="CQ103" s="32"/>
      <c r="CR103" s="32"/>
      <c r="CS103" s="32"/>
      <c r="CT103" s="32"/>
      <c r="CU103" s="32"/>
      <c r="CV103" s="32"/>
      <c r="CW103" s="383"/>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row>
    <row r="104" spans="1:131">
      <c r="A104" s="11"/>
      <c r="B104" s="390" t="s">
        <v>636</v>
      </c>
      <c r="C104" s="391">
        <v>11663.351790282923</v>
      </c>
      <c r="D104" s="391">
        <v>2395.0477523572745</v>
      </c>
      <c r="E104" s="391">
        <v>0</v>
      </c>
      <c r="F104" s="391">
        <v>2395.0477523572745</v>
      </c>
      <c r="G104" s="391">
        <v>-688.26921093465785</v>
      </c>
      <c r="H104" s="391">
        <v>7690.9866847894136</v>
      </c>
      <c r="I104" s="391">
        <v>1798.849823609821</v>
      </c>
      <c r="J104" s="391">
        <v>-3.2764626427946939</v>
      </c>
      <c r="K104" s="391">
        <v>-17.594568227891564</v>
      </c>
      <c r="L104" s="382">
        <v>308.55361153518948</v>
      </c>
      <c r="M104" s="32">
        <v>110.80213556850815</v>
      </c>
      <c r="N104" s="166">
        <v>477.7013356956345</v>
      </c>
      <c r="O104" s="166">
        <v>353.14667773607118</v>
      </c>
      <c r="P104" s="166">
        <v>328.97241839117407</v>
      </c>
      <c r="Q104" s="166">
        <v>188.85438030684907</v>
      </c>
      <c r="R104" s="166">
        <v>151.70463176520093</v>
      </c>
      <c r="S104" s="166">
        <v>117.67841973358547</v>
      </c>
      <c r="T104" s="166">
        <v>122.79651226765861</v>
      </c>
      <c r="U104" s="166">
        <v>178.73437799092966</v>
      </c>
      <c r="V104" s="166">
        <v>225.81685699972539</v>
      </c>
      <c r="W104" s="166">
        <v>368.39470755776324</v>
      </c>
      <c r="X104" s="166">
        <v>426.61097260858998</v>
      </c>
      <c r="Y104" s="166">
        <v>502.53912323727792</v>
      </c>
      <c r="Z104" s="166"/>
      <c r="AA104" s="166">
        <v>791.71485176769158</v>
      </c>
      <c r="AB104" s="166">
        <v>686.74629342646028</v>
      </c>
      <c r="AC104" s="166">
        <v>692.31456978252777</v>
      </c>
      <c r="AD104" s="166">
        <v>659.25653894479376</v>
      </c>
      <c r="AE104" s="166">
        <v>607.20883046975371</v>
      </c>
      <c r="AF104" s="166">
        <v>551.70561853475488</v>
      </c>
      <c r="AG104" s="166">
        <v>602.44830077257643</v>
      </c>
      <c r="AH104" s="166">
        <v>650.52580108120139</v>
      </c>
      <c r="AI104" s="166">
        <v>701.19974678177687</v>
      </c>
      <c r="AJ104" s="166">
        <v>723.67786252514361</v>
      </c>
      <c r="AK104" s="166">
        <v>758.61650256344365</v>
      </c>
      <c r="AL104" s="166">
        <v>794.9864593423423</v>
      </c>
      <c r="AM104" s="32"/>
      <c r="AN104" s="32"/>
      <c r="AO104" s="32"/>
      <c r="AP104" s="32"/>
      <c r="AQ104" s="32"/>
      <c r="AR104" s="32"/>
      <c r="AS104" s="383"/>
      <c r="AT104" s="32"/>
      <c r="AU104" s="32"/>
      <c r="AV104" s="32"/>
      <c r="AW104" s="32"/>
      <c r="AX104" s="32"/>
      <c r="AY104" s="32"/>
      <c r="AZ104" s="383"/>
      <c r="BA104" s="32"/>
      <c r="BB104" s="32"/>
      <c r="BC104" s="32"/>
      <c r="BD104" s="32"/>
      <c r="BE104" s="32"/>
      <c r="BF104" s="32"/>
      <c r="BG104" s="32"/>
      <c r="BH104" s="383"/>
      <c r="BI104" s="32"/>
      <c r="BJ104" s="32"/>
      <c r="BK104" s="32"/>
      <c r="BL104" s="32"/>
      <c r="BM104" s="32"/>
      <c r="BN104" s="32"/>
      <c r="BO104" s="32"/>
      <c r="BP104" s="32"/>
      <c r="BQ104" s="32"/>
      <c r="BR104" s="32"/>
      <c r="BS104" s="32"/>
      <c r="BT104" s="32"/>
      <c r="BU104" s="32"/>
      <c r="BV104" s="32"/>
      <c r="BW104" s="32"/>
      <c r="BX104" s="32"/>
      <c r="BY104" s="32"/>
      <c r="BZ104" s="32"/>
      <c r="CA104" s="32"/>
      <c r="CB104" s="32"/>
      <c r="CC104" s="32"/>
      <c r="CD104" s="383"/>
      <c r="CE104" s="32"/>
      <c r="CF104" s="32"/>
      <c r="CG104" s="32"/>
      <c r="CH104" s="32"/>
      <c r="CI104" s="32"/>
      <c r="CJ104" s="32"/>
      <c r="CK104" s="32"/>
      <c r="CL104" s="32"/>
      <c r="CM104" s="32"/>
      <c r="CN104" s="32"/>
      <c r="CO104" s="32"/>
      <c r="CP104" s="32"/>
      <c r="CQ104" s="32"/>
      <c r="CR104" s="32"/>
      <c r="CS104" s="32"/>
      <c r="CT104" s="32"/>
      <c r="CU104" s="32"/>
      <c r="CV104" s="32"/>
      <c r="CW104" s="383"/>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row>
    <row r="105" spans="1:131">
      <c r="A105" s="11"/>
      <c r="B105" s="390" t="s">
        <v>637</v>
      </c>
      <c r="C105" s="391">
        <v>11663.351790282923</v>
      </c>
      <c r="D105" s="391">
        <v>2395.047752357274</v>
      </c>
      <c r="E105" s="391">
        <v>479.00955047145487</v>
      </c>
      <c r="F105" s="391">
        <v>2874.057302828729</v>
      </c>
      <c r="G105" s="391">
        <v>-209.25966046320286</v>
      </c>
      <c r="H105" s="391">
        <v>7690.9866847894136</v>
      </c>
      <c r="I105" s="391">
        <v>2158.619788331785</v>
      </c>
      <c r="J105" s="391">
        <v>-0.25448733230255183</v>
      </c>
      <c r="K105" s="391">
        <v>-14.57259291739943</v>
      </c>
      <c r="L105" s="382">
        <v>305.50819897562974</v>
      </c>
      <c r="M105" s="32">
        <v>110.80213556850816</v>
      </c>
      <c r="N105" s="166">
        <v>145.57617779499375</v>
      </c>
      <c r="O105" s="166">
        <v>107.61900732589362</v>
      </c>
      <c r="P105" s="166">
        <v>100.25206900379254</v>
      </c>
      <c r="Q105" s="166">
        <v>57.552066093510142</v>
      </c>
      <c r="R105" s="166">
        <v>46.230937190106665</v>
      </c>
      <c r="S105" s="166">
        <v>35.861684432646008</v>
      </c>
      <c r="T105" s="166">
        <v>37.421387730578964</v>
      </c>
      <c r="U105" s="166">
        <v>54.468065387749725</v>
      </c>
      <c r="V105" s="166">
        <v>68.816125196358996</v>
      </c>
      <c r="W105" s="166">
        <v>112.26573894349228</v>
      </c>
      <c r="X105" s="166">
        <v>130.00674303605646</v>
      </c>
      <c r="Y105" s="166">
        <v>153.14532174543132</v>
      </c>
      <c r="Z105" s="166"/>
      <c r="AA105" s="166">
        <v>241.26962478770361</v>
      </c>
      <c r="AB105" s="166">
        <v>209.28118270031655</v>
      </c>
      <c r="AC105" s="166">
        <v>210.97807640408257</v>
      </c>
      <c r="AD105" s="166">
        <v>200.9038701685518</v>
      </c>
      <c r="AE105" s="166">
        <v>185.04269102457707</v>
      </c>
      <c r="AF105" s="166">
        <v>168.12847110288382</v>
      </c>
      <c r="AG105" s="166">
        <v>183.59195252792748</v>
      </c>
      <c r="AH105" s="166">
        <v>198.2432381951013</v>
      </c>
      <c r="AI105" s="166">
        <v>213.68577263586951</v>
      </c>
      <c r="AJ105" s="166">
        <v>220.5358229276228</v>
      </c>
      <c r="AK105" s="166">
        <v>231.18313180885968</v>
      </c>
      <c r="AL105" s="166">
        <v>242.26662456638181</v>
      </c>
      <c r="AM105" s="32"/>
      <c r="AN105" s="32"/>
      <c r="AO105" s="32"/>
      <c r="AP105" s="32"/>
      <c r="AQ105" s="32"/>
      <c r="AR105" s="32"/>
      <c r="AS105" s="383"/>
      <c r="AT105" s="32"/>
      <c r="AU105" s="32"/>
      <c r="AV105" s="32"/>
      <c r="AW105" s="32"/>
      <c r="AX105" s="32"/>
      <c r="AY105" s="32"/>
      <c r="AZ105" s="383"/>
      <c r="BA105" s="32"/>
      <c r="BB105" s="32"/>
      <c r="BC105" s="32"/>
      <c r="BD105" s="32"/>
      <c r="BE105" s="32"/>
      <c r="BF105" s="32"/>
      <c r="BG105" s="32"/>
      <c r="BH105" s="383"/>
      <c r="BI105" s="32"/>
      <c r="BJ105" s="32"/>
      <c r="BK105" s="32"/>
      <c r="BL105" s="32"/>
      <c r="BM105" s="32"/>
      <c r="BN105" s="32"/>
      <c r="BO105" s="32"/>
      <c r="BP105" s="32"/>
      <c r="BQ105" s="32"/>
      <c r="BR105" s="32"/>
      <c r="BS105" s="32"/>
      <c r="BT105" s="32"/>
      <c r="BU105" s="32"/>
      <c r="BV105" s="32"/>
      <c r="BW105" s="32"/>
      <c r="BX105" s="32"/>
      <c r="BY105" s="32"/>
      <c r="BZ105" s="32"/>
      <c r="CA105" s="32"/>
      <c r="CB105" s="32"/>
      <c r="CC105" s="32"/>
      <c r="CD105" s="383"/>
      <c r="CE105" s="32"/>
      <c r="CF105" s="32"/>
      <c r="CG105" s="32"/>
      <c r="CH105" s="32"/>
      <c r="CI105" s="32"/>
      <c r="CJ105" s="32"/>
      <c r="CK105" s="32"/>
      <c r="CL105" s="32"/>
      <c r="CM105" s="32"/>
      <c r="CN105" s="32"/>
      <c r="CO105" s="32"/>
      <c r="CP105" s="32"/>
      <c r="CQ105" s="32"/>
      <c r="CR105" s="32"/>
      <c r="CS105" s="32"/>
      <c r="CT105" s="32"/>
      <c r="CU105" s="32"/>
      <c r="CV105" s="32"/>
      <c r="CW105" s="383"/>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row>
    <row r="106" spans="1:131">
      <c r="A106" s="11"/>
      <c r="B106" s="390" t="s">
        <v>638</v>
      </c>
      <c r="C106" s="392"/>
      <c r="D106" s="392"/>
      <c r="E106" s="392"/>
      <c r="F106" s="392"/>
      <c r="G106" s="392"/>
      <c r="H106" s="392"/>
      <c r="I106" s="392"/>
      <c r="J106" s="392"/>
      <c r="K106" s="392"/>
      <c r="L106" s="383"/>
      <c r="M106" s="393"/>
      <c r="N106" s="393"/>
      <c r="O106" s="393"/>
      <c r="P106" s="393"/>
      <c r="Q106" s="393"/>
      <c r="R106" s="393"/>
      <c r="S106" s="393"/>
      <c r="T106" s="393"/>
      <c r="U106" s="393"/>
      <c r="V106" s="393"/>
      <c r="W106" s="393"/>
      <c r="X106" s="393"/>
      <c r="Y106" s="393"/>
      <c r="Z106" s="393"/>
      <c r="AA106" s="393"/>
      <c r="AB106" s="393"/>
      <c r="AC106" s="393"/>
      <c r="AD106" s="393"/>
      <c r="AE106" s="393"/>
      <c r="AF106" s="393"/>
      <c r="AG106" s="393"/>
      <c r="AH106" s="393"/>
      <c r="AI106" s="393"/>
      <c r="AJ106" s="393"/>
      <c r="AK106" s="393"/>
      <c r="AL106" s="393"/>
      <c r="AM106" s="32"/>
      <c r="AN106" s="32"/>
      <c r="AO106" s="32"/>
      <c r="AP106" s="32"/>
      <c r="AQ106" s="32"/>
      <c r="AR106" s="32"/>
      <c r="AS106" s="383"/>
      <c r="AT106" s="32"/>
      <c r="AU106" s="32"/>
      <c r="AV106" s="32"/>
      <c r="AW106" s="32"/>
      <c r="AX106" s="32"/>
      <c r="AY106" s="32"/>
      <c r="AZ106" s="383"/>
      <c r="BA106" s="32"/>
      <c r="BB106" s="32"/>
      <c r="BC106" s="32"/>
      <c r="BD106" s="32"/>
      <c r="BE106" s="32"/>
      <c r="BF106" s="32"/>
      <c r="BG106" s="32"/>
      <c r="BH106" s="383"/>
      <c r="BI106" s="32"/>
      <c r="BJ106" s="32"/>
      <c r="BK106" s="32"/>
      <c r="BL106" s="32"/>
      <c r="BM106" s="32"/>
      <c r="BN106" s="32"/>
      <c r="BO106" s="32"/>
      <c r="BP106" s="32"/>
      <c r="BQ106" s="32"/>
      <c r="BR106" s="32"/>
      <c r="BS106" s="32"/>
      <c r="BT106" s="32"/>
      <c r="BU106" s="32"/>
      <c r="BV106" s="32"/>
      <c r="BW106" s="32"/>
      <c r="BX106" s="32"/>
      <c r="BY106" s="32"/>
      <c r="BZ106" s="32"/>
      <c r="CA106" s="32"/>
      <c r="CB106" s="32"/>
      <c r="CC106" s="32"/>
      <c r="CD106" s="383"/>
      <c r="CE106" s="32"/>
      <c r="CF106" s="32"/>
      <c r="CG106" s="32"/>
      <c r="CH106" s="32"/>
      <c r="CI106" s="32"/>
      <c r="CJ106" s="32"/>
      <c r="CK106" s="32"/>
      <c r="CL106" s="32"/>
      <c r="CM106" s="32"/>
      <c r="CN106" s="32"/>
      <c r="CO106" s="32"/>
      <c r="CP106" s="32"/>
      <c r="CQ106" s="32"/>
      <c r="CR106" s="32"/>
      <c r="CS106" s="32"/>
      <c r="CT106" s="32"/>
      <c r="CU106" s="32"/>
      <c r="CV106" s="32"/>
      <c r="CW106" s="383"/>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row>
    <row r="107" spans="1:131">
      <c r="A107" s="11"/>
      <c r="B107" s="11" t="s">
        <v>639</v>
      </c>
      <c r="C107" s="32">
        <v>8533.1478908354511</v>
      </c>
      <c r="D107" s="32">
        <v>1422.9782890795336</v>
      </c>
      <c r="E107" s="32">
        <v>284.59565781590675</v>
      </c>
      <c r="F107" s="32">
        <v>1707.5739468954403</v>
      </c>
      <c r="G107" s="32">
        <v>-1526.5696147145131</v>
      </c>
      <c r="H107" s="32">
        <v>5626.8839342075898</v>
      </c>
      <c r="I107" s="32">
        <v>1752.9694745908753</v>
      </c>
      <c r="J107" s="32">
        <v>-2.6970729704866407</v>
      </c>
      <c r="K107" s="32">
        <v>-26.416099854662907</v>
      </c>
      <c r="L107" s="382">
        <v>417.0570403114196</v>
      </c>
      <c r="M107" s="32">
        <v>81.065119738066613</v>
      </c>
      <c r="N107" s="166">
        <v>349.49611556230019</v>
      </c>
      <c r="O107" s="166">
        <v>258.36936778239834</v>
      </c>
      <c r="P107" s="166">
        <v>240.68298278342411</v>
      </c>
      <c r="Q107" s="166">
        <v>138.16974622449709</v>
      </c>
      <c r="R107" s="166">
        <v>110.99022663928332</v>
      </c>
      <c r="S107" s="166">
        <v>86.095950563978946</v>
      </c>
      <c r="T107" s="166">
        <v>89.840452255903585</v>
      </c>
      <c r="U107" s="166">
        <v>130.7657445301229</v>
      </c>
      <c r="V107" s="166">
        <v>165.21225387608365</v>
      </c>
      <c r="W107" s="166">
        <v>269.52513979818963</v>
      </c>
      <c r="X107" s="166">
        <v>312.1173558492095</v>
      </c>
      <c r="Y107" s="166">
        <v>367.66795142774754</v>
      </c>
      <c r="Z107" s="166"/>
      <c r="AA107" s="166">
        <v>579.23485795335841</v>
      </c>
      <c r="AB107" s="166">
        <v>502.4377032143787</v>
      </c>
      <c r="AC107" s="166">
        <v>506.51156864326435</v>
      </c>
      <c r="AD107" s="166">
        <v>482.32563382878004</v>
      </c>
      <c r="AE107" s="166">
        <v>444.24646055316759</v>
      </c>
      <c r="AF107" s="166">
        <v>403.6391699240441</v>
      </c>
      <c r="AG107" s="166">
        <v>440.76355918183367</v>
      </c>
      <c r="AH107" s="166">
        <v>475.93804656178025</v>
      </c>
      <c r="AI107" s="166">
        <v>513.01214675615381</v>
      </c>
      <c r="AJ107" s="166">
        <v>529.45759823479875</v>
      </c>
      <c r="AK107" s="166">
        <v>555.01942539325466</v>
      </c>
      <c r="AL107" s="166">
        <v>581.62843329750035</v>
      </c>
      <c r="AM107" s="32"/>
      <c r="AN107" s="32"/>
      <c r="AO107" s="32"/>
      <c r="AP107" s="32"/>
      <c r="AQ107" s="32"/>
      <c r="AR107" s="32"/>
      <c r="AS107" s="383"/>
      <c r="AT107" s="32"/>
      <c r="AU107" s="32"/>
      <c r="AV107" s="32"/>
      <c r="AW107" s="32"/>
      <c r="AX107" s="32"/>
      <c r="AY107" s="32"/>
      <c r="AZ107" s="383"/>
      <c r="BA107" s="32"/>
      <c r="BB107" s="32"/>
      <c r="BC107" s="32"/>
      <c r="BD107" s="32"/>
      <c r="BE107" s="32"/>
      <c r="BF107" s="32"/>
      <c r="BG107" s="32"/>
      <c r="BH107" s="383"/>
      <c r="BI107" s="32"/>
      <c r="BJ107" s="32"/>
      <c r="BK107" s="32"/>
      <c r="BL107" s="32"/>
      <c r="BM107" s="32"/>
      <c r="BN107" s="32"/>
      <c r="BO107" s="32"/>
      <c r="BP107" s="32"/>
      <c r="BQ107" s="32"/>
      <c r="BR107" s="32"/>
      <c r="BS107" s="32"/>
      <c r="BT107" s="32"/>
      <c r="BU107" s="32"/>
      <c r="BV107" s="32"/>
      <c r="BW107" s="32"/>
      <c r="BX107" s="32"/>
      <c r="BY107" s="32"/>
      <c r="BZ107" s="32"/>
      <c r="CA107" s="32"/>
      <c r="CB107" s="32"/>
      <c r="CC107" s="32"/>
      <c r="CD107" s="383"/>
      <c r="CE107" s="32"/>
      <c r="CF107" s="32"/>
      <c r="CG107" s="32"/>
      <c r="CH107" s="32"/>
      <c r="CI107" s="32"/>
      <c r="CJ107" s="32"/>
      <c r="CK107" s="32"/>
      <c r="CL107" s="32"/>
      <c r="CM107" s="32"/>
      <c r="CN107" s="32"/>
      <c r="CO107" s="32"/>
      <c r="CP107" s="32"/>
      <c r="CQ107" s="32"/>
      <c r="CR107" s="32"/>
      <c r="CS107" s="32"/>
      <c r="CT107" s="32"/>
      <c r="CU107" s="32"/>
      <c r="CV107" s="32"/>
      <c r="CW107" s="383"/>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row>
    <row r="108" spans="1:131">
      <c r="A108" s="11"/>
      <c r="B108" s="11" t="s">
        <v>640</v>
      </c>
      <c r="C108" s="393">
        <v>0</v>
      </c>
      <c r="D108" s="393">
        <v>0</v>
      </c>
      <c r="E108" s="393">
        <v>0</v>
      </c>
      <c r="F108" s="393">
        <v>0</v>
      </c>
      <c r="G108" s="393">
        <v>0</v>
      </c>
      <c r="H108" s="393">
        <v>0</v>
      </c>
      <c r="I108" s="393">
        <v>0</v>
      </c>
      <c r="J108" s="393">
        <v>0</v>
      </c>
      <c r="K108" s="393">
        <v>0</v>
      </c>
      <c r="L108" s="394">
        <v>0</v>
      </c>
      <c r="M108" s="393">
        <v>0</v>
      </c>
      <c r="N108" s="393">
        <v>0</v>
      </c>
      <c r="O108" s="393">
        <v>0</v>
      </c>
      <c r="P108" s="393">
        <v>0</v>
      </c>
      <c r="Q108" s="393">
        <v>0</v>
      </c>
      <c r="R108" s="393">
        <v>0</v>
      </c>
      <c r="S108" s="393">
        <v>0</v>
      </c>
      <c r="T108" s="393">
        <v>0</v>
      </c>
      <c r="U108" s="393">
        <v>0</v>
      </c>
      <c r="V108" s="393">
        <v>0</v>
      </c>
      <c r="W108" s="393">
        <v>0</v>
      </c>
      <c r="X108" s="393">
        <v>0</v>
      </c>
      <c r="Y108" s="393">
        <v>0</v>
      </c>
      <c r="Z108" s="393"/>
      <c r="AA108" s="393">
        <v>0</v>
      </c>
      <c r="AB108" s="393">
        <v>0</v>
      </c>
      <c r="AC108" s="393">
        <v>0</v>
      </c>
      <c r="AD108" s="393">
        <v>0</v>
      </c>
      <c r="AE108" s="393">
        <v>0</v>
      </c>
      <c r="AF108" s="393">
        <v>0</v>
      </c>
      <c r="AG108" s="393">
        <v>0</v>
      </c>
      <c r="AH108" s="393">
        <v>0</v>
      </c>
      <c r="AI108" s="393">
        <v>0</v>
      </c>
      <c r="AJ108" s="393">
        <v>0</v>
      </c>
      <c r="AK108" s="393">
        <v>0</v>
      </c>
      <c r="AL108" s="393">
        <v>0</v>
      </c>
      <c r="AM108" s="32"/>
      <c r="AN108" s="32"/>
      <c r="AO108" s="32"/>
      <c r="AP108" s="32"/>
      <c r="AQ108" s="32"/>
      <c r="AR108" s="32"/>
      <c r="AS108" s="383"/>
      <c r="AT108" s="32"/>
      <c r="AU108" s="32"/>
      <c r="AV108" s="32"/>
      <c r="AW108" s="32"/>
      <c r="AX108" s="32"/>
      <c r="AY108" s="32"/>
      <c r="AZ108" s="383"/>
      <c r="BA108" s="32"/>
      <c r="BB108" s="32"/>
      <c r="BC108" s="32"/>
      <c r="BD108" s="32"/>
      <c r="BE108" s="32"/>
      <c r="BF108" s="32"/>
      <c r="BG108" s="32"/>
      <c r="BH108" s="383"/>
      <c r="BI108" s="32"/>
      <c r="BJ108" s="32"/>
      <c r="BK108" s="32"/>
      <c r="BL108" s="32"/>
      <c r="BM108" s="32"/>
      <c r="BN108" s="32"/>
      <c r="BO108" s="32"/>
      <c r="BP108" s="32"/>
      <c r="BQ108" s="32"/>
      <c r="BR108" s="32"/>
      <c r="BS108" s="32"/>
      <c r="BT108" s="32"/>
      <c r="BU108" s="32"/>
      <c r="BV108" s="32"/>
      <c r="BW108" s="32"/>
      <c r="BX108" s="32"/>
      <c r="BY108" s="32"/>
      <c r="BZ108" s="32"/>
      <c r="CA108" s="32"/>
      <c r="CB108" s="32"/>
      <c r="CC108" s="32"/>
      <c r="CD108" s="383"/>
      <c r="CE108" s="32"/>
      <c r="CF108" s="32"/>
      <c r="CG108" s="32"/>
      <c r="CH108" s="32"/>
      <c r="CI108" s="32"/>
      <c r="CJ108" s="32"/>
      <c r="CK108" s="32"/>
      <c r="CL108" s="32"/>
      <c r="CM108" s="32"/>
      <c r="CN108" s="32"/>
      <c r="CO108" s="32"/>
      <c r="CP108" s="32"/>
      <c r="CQ108" s="32"/>
      <c r="CR108" s="32"/>
      <c r="CS108" s="32"/>
      <c r="CT108" s="32"/>
      <c r="CU108" s="32"/>
      <c r="CV108" s="32"/>
      <c r="CW108" s="383"/>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row>
    <row r="109" spans="1:131">
      <c r="A109" s="11"/>
      <c r="B109" s="11" t="s">
        <v>641</v>
      </c>
      <c r="C109" s="32">
        <v>3130.2038994474719</v>
      </c>
      <c r="D109" s="32">
        <v>972.0694632777404</v>
      </c>
      <c r="E109" s="32">
        <v>194.4138926555481</v>
      </c>
      <c r="F109" s="32">
        <v>1166.4833559332885</v>
      </c>
      <c r="G109" s="32">
        <v>1317.3099542513103</v>
      </c>
      <c r="H109" s="32">
        <v>2064.1027505818233</v>
      </c>
      <c r="I109" s="32">
        <v>3264.4500250540573</v>
      </c>
      <c r="J109" s="32">
        <v>6.4041665944702748</v>
      </c>
      <c r="K109" s="32">
        <v>17.713609351930028</v>
      </c>
      <c r="L109" s="382">
        <v>1.418500429905009</v>
      </c>
      <c r="M109" s="32">
        <v>29.73701583044155</v>
      </c>
      <c r="N109" s="166">
        <v>128.20522013333431</v>
      </c>
      <c r="O109" s="166">
        <v>94.777309953672855</v>
      </c>
      <c r="P109" s="166">
        <v>88.289435607749851</v>
      </c>
      <c r="Q109" s="166">
        <v>50.684634082351991</v>
      </c>
      <c r="R109" s="166">
        <v>40.714405125917544</v>
      </c>
      <c r="S109" s="166">
        <v>31.582469169606536</v>
      </c>
      <c r="T109" s="166">
        <v>32.956060011755014</v>
      </c>
      <c r="U109" s="166">
        <v>47.968633460806828</v>
      </c>
      <c r="V109" s="166">
        <v>60.604603123641709</v>
      </c>
      <c r="W109" s="166">
        <v>98.869567759573613</v>
      </c>
      <c r="X109" s="166">
        <v>114.49361675938046</v>
      </c>
      <c r="Y109" s="166">
        <v>134.8711718095303</v>
      </c>
      <c r="Z109" s="166"/>
      <c r="AA109" s="166">
        <v>212.479993814333</v>
      </c>
      <c r="AB109" s="166">
        <v>184.30859021208164</v>
      </c>
      <c r="AC109" s="166">
        <v>185.80300113926339</v>
      </c>
      <c r="AD109" s="166">
        <v>176.93090511601383</v>
      </c>
      <c r="AE109" s="166">
        <v>162.96236991658603</v>
      </c>
      <c r="AF109" s="166">
        <v>148.06644861071092</v>
      </c>
      <c r="AG109" s="166">
        <v>161.68474159074287</v>
      </c>
      <c r="AH109" s="166">
        <v>174.58775451942125</v>
      </c>
      <c r="AI109" s="166">
        <v>188.18760002562308</v>
      </c>
      <c r="AJ109" s="166">
        <v>194.22026429034486</v>
      </c>
      <c r="AK109" s="166">
        <v>203.59707717018901</v>
      </c>
      <c r="AL109" s="166">
        <v>213.35802604484209</v>
      </c>
      <c r="AM109" s="32"/>
      <c r="AN109" s="32"/>
      <c r="AO109" s="32"/>
      <c r="AP109" s="32"/>
      <c r="AQ109" s="32"/>
      <c r="AR109" s="32"/>
      <c r="AS109" s="383"/>
      <c r="AT109" s="32"/>
      <c r="AU109" s="32"/>
      <c r="AV109" s="32"/>
      <c r="AW109" s="32"/>
      <c r="AX109" s="32"/>
      <c r="AY109" s="32"/>
      <c r="AZ109" s="383"/>
      <c r="BA109" s="32"/>
      <c r="BB109" s="32"/>
      <c r="BC109" s="32"/>
      <c r="BD109" s="32"/>
      <c r="BE109" s="32"/>
      <c r="BF109" s="32"/>
      <c r="BG109" s="32"/>
      <c r="BH109" s="383"/>
      <c r="BI109" s="32"/>
      <c r="BJ109" s="32"/>
      <c r="BK109" s="32"/>
      <c r="BL109" s="32"/>
      <c r="BM109" s="32"/>
      <c r="BN109" s="32"/>
      <c r="BO109" s="32"/>
      <c r="BP109" s="32"/>
      <c r="BQ109" s="32"/>
      <c r="BR109" s="32"/>
      <c r="BS109" s="32"/>
      <c r="BT109" s="32"/>
      <c r="BU109" s="32"/>
      <c r="BV109" s="32"/>
      <c r="BW109" s="32"/>
      <c r="BX109" s="32"/>
      <c r="BY109" s="32"/>
      <c r="BZ109" s="32"/>
      <c r="CA109" s="32"/>
      <c r="CB109" s="32"/>
      <c r="CC109" s="32"/>
      <c r="CD109" s="383"/>
      <c r="CE109" s="32"/>
      <c r="CF109" s="32"/>
      <c r="CG109" s="32"/>
      <c r="CH109" s="32"/>
      <c r="CI109" s="32"/>
      <c r="CJ109" s="32"/>
      <c r="CK109" s="32"/>
      <c r="CL109" s="32"/>
      <c r="CM109" s="32"/>
      <c r="CN109" s="32"/>
      <c r="CO109" s="32"/>
      <c r="CP109" s="32"/>
      <c r="CQ109" s="32"/>
      <c r="CR109" s="32"/>
      <c r="CS109" s="32"/>
      <c r="CT109" s="32"/>
      <c r="CU109" s="32"/>
      <c r="CV109" s="32"/>
      <c r="CW109" s="383"/>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row>
    <row r="110" spans="1:131">
      <c r="A110" s="11"/>
      <c r="B110" s="11" t="s">
        <v>642</v>
      </c>
      <c r="C110" s="393">
        <v>0</v>
      </c>
      <c r="D110" s="393">
        <v>0</v>
      </c>
      <c r="E110" s="393">
        <v>0</v>
      </c>
      <c r="F110" s="393">
        <v>0</v>
      </c>
      <c r="G110" s="393">
        <v>0</v>
      </c>
      <c r="H110" s="393">
        <v>0</v>
      </c>
      <c r="I110" s="393">
        <v>0</v>
      </c>
      <c r="J110" s="393">
        <v>0</v>
      </c>
      <c r="K110" s="393">
        <v>0</v>
      </c>
      <c r="L110" s="394">
        <v>0</v>
      </c>
      <c r="M110" s="393">
        <v>0</v>
      </c>
      <c r="N110" s="393">
        <v>0</v>
      </c>
      <c r="O110" s="393">
        <v>0</v>
      </c>
      <c r="P110" s="393">
        <v>0</v>
      </c>
      <c r="Q110" s="393">
        <v>0</v>
      </c>
      <c r="R110" s="393">
        <v>0</v>
      </c>
      <c r="S110" s="393">
        <v>0</v>
      </c>
      <c r="T110" s="393">
        <v>0</v>
      </c>
      <c r="U110" s="393">
        <v>0</v>
      </c>
      <c r="V110" s="393">
        <v>0</v>
      </c>
      <c r="W110" s="393">
        <v>0</v>
      </c>
      <c r="X110" s="393">
        <v>0</v>
      </c>
      <c r="Y110" s="393">
        <v>0</v>
      </c>
      <c r="Z110" s="393"/>
      <c r="AA110" s="393">
        <v>0</v>
      </c>
      <c r="AB110" s="393">
        <v>0</v>
      </c>
      <c r="AC110" s="393">
        <v>0</v>
      </c>
      <c r="AD110" s="393">
        <v>0</v>
      </c>
      <c r="AE110" s="393">
        <v>0</v>
      </c>
      <c r="AF110" s="393">
        <v>0</v>
      </c>
      <c r="AG110" s="393">
        <v>0</v>
      </c>
      <c r="AH110" s="393">
        <v>0</v>
      </c>
      <c r="AI110" s="393">
        <v>0</v>
      </c>
      <c r="AJ110" s="393">
        <v>0</v>
      </c>
      <c r="AK110" s="393">
        <v>0</v>
      </c>
      <c r="AL110" s="393">
        <v>0</v>
      </c>
      <c r="AM110" s="32"/>
      <c r="AN110" s="32"/>
      <c r="AO110" s="32"/>
      <c r="AP110" s="32"/>
      <c r="AQ110" s="32"/>
      <c r="AR110" s="32"/>
      <c r="AS110" s="383"/>
      <c r="AT110" s="32"/>
      <c r="AU110" s="32"/>
      <c r="AV110" s="32"/>
      <c r="AW110" s="32"/>
      <c r="AX110" s="32"/>
      <c r="AY110" s="32"/>
      <c r="AZ110" s="383"/>
      <c r="BA110" s="32"/>
      <c r="BB110" s="32"/>
      <c r="BC110" s="32"/>
      <c r="BD110" s="32"/>
      <c r="BE110" s="32"/>
      <c r="BF110" s="32"/>
      <c r="BG110" s="32"/>
      <c r="BH110" s="383"/>
      <c r="BI110" s="32"/>
      <c r="BJ110" s="32"/>
      <c r="BK110" s="32"/>
      <c r="BL110" s="32"/>
      <c r="BM110" s="32"/>
      <c r="BN110" s="32"/>
      <c r="BO110" s="32"/>
      <c r="BP110" s="32"/>
      <c r="BQ110" s="32"/>
      <c r="BR110" s="32"/>
      <c r="BS110" s="32"/>
      <c r="BT110" s="32"/>
      <c r="BU110" s="32"/>
      <c r="BV110" s="32"/>
      <c r="BW110" s="32"/>
      <c r="BX110" s="32"/>
      <c r="BY110" s="32"/>
      <c r="BZ110" s="32"/>
      <c r="CA110" s="32"/>
      <c r="CB110" s="32"/>
      <c r="CC110" s="32"/>
      <c r="CD110" s="383"/>
      <c r="CE110" s="32"/>
      <c r="CF110" s="32"/>
      <c r="CG110" s="32"/>
      <c r="CH110" s="32"/>
      <c r="CI110" s="32"/>
      <c r="CJ110" s="32"/>
      <c r="CK110" s="32"/>
      <c r="CL110" s="32"/>
      <c r="CM110" s="32"/>
      <c r="CN110" s="32"/>
      <c r="CO110" s="32"/>
      <c r="CP110" s="32"/>
      <c r="CQ110" s="32"/>
      <c r="CR110" s="32"/>
      <c r="CS110" s="32"/>
      <c r="CT110" s="32"/>
      <c r="CU110" s="32"/>
      <c r="CV110" s="32"/>
      <c r="CW110" s="383"/>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row>
    <row r="111" spans="1:131">
      <c r="A111" s="11"/>
      <c r="B111" s="11" t="s">
        <v>643</v>
      </c>
      <c r="C111" s="393">
        <v>0</v>
      </c>
      <c r="D111" s="393">
        <v>0</v>
      </c>
      <c r="E111" s="393">
        <v>0</v>
      </c>
      <c r="F111" s="393">
        <v>0</v>
      </c>
      <c r="G111" s="393">
        <v>0</v>
      </c>
      <c r="H111" s="393">
        <v>0</v>
      </c>
      <c r="I111" s="393">
        <v>0</v>
      </c>
      <c r="J111" s="393">
        <v>0</v>
      </c>
      <c r="K111" s="393">
        <v>0</v>
      </c>
      <c r="L111" s="394">
        <v>0</v>
      </c>
      <c r="M111" s="393">
        <v>0</v>
      </c>
      <c r="N111" s="393">
        <v>0</v>
      </c>
      <c r="O111" s="393">
        <v>0</v>
      </c>
      <c r="P111" s="393">
        <v>0</v>
      </c>
      <c r="Q111" s="393">
        <v>0</v>
      </c>
      <c r="R111" s="393">
        <v>0</v>
      </c>
      <c r="S111" s="393">
        <v>0</v>
      </c>
      <c r="T111" s="393">
        <v>0</v>
      </c>
      <c r="U111" s="393">
        <v>0</v>
      </c>
      <c r="V111" s="393">
        <v>0</v>
      </c>
      <c r="W111" s="393">
        <v>0</v>
      </c>
      <c r="X111" s="393">
        <v>0</v>
      </c>
      <c r="Y111" s="393">
        <v>0</v>
      </c>
      <c r="Z111" s="393"/>
      <c r="AA111" s="393">
        <v>0</v>
      </c>
      <c r="AB111" s="393">
        <v>0</v>
      </c>
      <c r="AC111" s="393">
        <v>0</v>
      </c>
      <c r="AD111" s="393">
        <v>0</v>
      </c>
      <c r="AE111" s="393">
        <v>0</v>
      </c>
      <c r="AF111" s="393">
        <v>0</v>
      </c>
      <c r="AG111" s="393">
        <v>0</v>
      </c>
      <c r="AH111" s="393">
        <v>0</v>
      </c>
      <c r="AI111" s="393">
        <v>0</v>
      </c>
      <c r="AJ111" s="393">
        <v>0</v>
      </c>
      <c r="AK111" s="393">
        <v>0</v>
      </c>
      <c r="AL111" s="393">
        <v>0</v>
      </c>
      <c r="AM111" s="32"/>
      <c r="AN111" s="32"/>
      <c r="AO111" s="32"/>
      <c r="AP111" s="32"/>
      <c r="AQ111" s="32"/>
      <c r="AR111" s="32"/>
      <c r="AS111" s="383"/>
      <c r="AT111" s="32"/>
      <c r="AU111" s="32"/>
      <c r="AV111" s="32"/>
      <c r="AW111" s="32"/>
      <c r="AX111" s="32"/>
      <c r="AY111" s="32"/>
      <c r="AZ111" s="383"/>
      <c r="BA111" s="32"/>
      <c r="BB111" s="32"/>
      <c r="BC111" s="32"/>
      <c r="BD111" s="32"/>
      <c r="BE111" s="32"/>
      <c r="BF111" s="32"/>
      <c r="BG111" s="32"/>
      <c r="BH111" s="383"/>
      <c r="BI111" s="32"/>
      <c r="BJ111" s="32"/>
      <c r="BK111" s="32"/>
      <c r="BL111" s="32"/>
      <c r="BM111" s="32"/>
      <c r="BN111" s="32"/>
      <c r="BO111" s="32"/>
      <c r="BP111" s="32"/>
      <c r="BQ111" s="32"/>
      <c r="BR111" s="32"/>
      <c r="BS111" s="32"/>
      <c r="BT111" s="32"/>
      <c r="BU111" s="32"/>
      <c r="BV111" s="32"/>
      <c r="BW111" s="32"/>
      <c r="BX111" s="32"/>
      <c r="BY111" s="32"/>
      <c r="BZ111" s="32"/>
      <c r="CA111" s="32"/>
      <c r="CB111" s="32"/>
      <c r="CC111" s="32"/>
      <c r="CD111" s="383"/>
      <c r="CE111" s="32"/>
      <c r="CF111" s="32"/>
      <c r="CG111" s="32"/>
      <c r="CH111" s="32"/>
      <c r="CI111" s="32"/>
      <c r="CJ111" s="32"/>
      <c r="CK111" s="32"/>
      <c r="CL111" s="32"/>
      <c r="CM111" s="32"/>
      <c r="CN111" s="32"/>
      <c r="CO111" s="32"/>
      <c r="CP111" s="32"/>
      <c r="CQ111" s="32"/>
      <c r="CR111" s="32"/>
      <c r="CS111" s="32"/>
      <c r="CT111" s="32"/>
      <c r="CU111" s="32"/>
      <c r="CV111" s="32"/>
      <c r="CW111" s="383"/>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row>
    <row r="112" spans="1:131">
      <c r="A112" s="11"/>
      <c r="B112" s="11" t="s">
        <v>644</v>
      </c>
      <c r="C112" s="393">
        <v>0</v>
      </c>
      <c r="D112" s="393">
        <v>0</v>
      </c>
      <c r="E112" s="393">
        <v>0</v>
      </c>
      <c r="F112" s="393">
        <v>0</v>
      </c>
      <c r="G112" s="393">
        <v>0</v>
      </c>
      <c r="H112" s="393">
        <v>0</v>
      </c>
      <c r="I112" s="393">
        <v>0</v>
      </c>
      <c r="J112" s="393">
        <v>0</v>
      </c>
      <c r="K112" s="393">
        <v>0</v>
      </c>
      <c r="L112" s="394">
        <v>0</v>
      </c>
      <c r="M112" s="393">
        <v>0</v>
      </c>
      <c r="N112" s="393">
        <v>0</v>
      </c>
      <c r="O112" s="393">
        <v>0</v>
      </c>
      <c r="P112" s="393">
        <v>0</v>
      </c>
      <c r="Q112" s="393">
        <v>0</v>
      </c>
      <c r="R112" s="393">
        <v>0</v>
      </c>
      <c r="S112" s="393">
        <v>0</v>
      </c>
      <c r="T112" s="393">
        <v>0</v>
      </c>
      <c r="U112" s="393">
        <v>0</v>
      </c>
      <c r="V112" s="393">
        <v>0</v>
      </c>
      <c r="W112" s="393">
        <v>0</v>
      </c>
      <c r="X112" s="393">
        <v>0</v>
      </c>
      <c r="Y112" s="393">
        <v>0</v>
      </c>
      <c r="Z112" s="393"/>
      <c r="AA112" s="393">
        <v>0</v>
      </c>
      <c r="AB112" s="393">
        <v>0</v>
      </c>
      <c r="AC112" s="393">
        <v>0</v>
      </c>
      <c r="AD112" s="393">
        <v>0</v>
      </c>
      <c r="AE112" s="393">
        <v>0</v>
      </c>
      <c r="AF112" s="393">
        <v>0</v>
      </c>
      <c r="AG112" s="393">
        <v>0</v>
      </c>
      <c r="AH112" s="393">
        <v>0</v>
      </c>
      <c r="AI112" s="393">
        <v>0</v>
      </c>
      <c r="AJ112" s="393">
        <v>0</v>
      </c>
      <c r="AK112" s="393">
        <v>0</v>
      </c>
      <c r="AL112" s="393">
        <v>0</v>
      </c>
      <c r="AM112" s="32"/>
      <c r="AN112" s="32"/>
      <c r="AO112" s="32"/>
      <c r="AP112" s="32"/>
      <c r="AQ112" s="32"/>
      <c r="AR112" s="32"/>
      <c r="AS112" s="383"/>
      <c r="AT112" s="32"/>
      <c r="AU112" s="32"/>
      <c r="AV112" s="32"/>
      <c r="AW112" s="32"/>
      <c r="AX112" s="32"/>
      <c r="AY112" s="32"/>
      <c r="AZ112" s="383"/>
      <c r="BA112" s="32"/>
      <c r="BB112" s="32"/>
      <c r="BC112" s="32"/>
      <c r="BD112" s="32"/>
      <c r="BE112" s="32"/>
      <c r="BF112" s="32"/>
      <c r="BG112" s="32"/>
      <c r="BH112" s="383"/>
      <c r="BI112" s="32"/>
      <c r="BJ112" s="32"/>
      <c r="BK112" s="32"/>
      <c r="BL112" s="32"/>
      <c r="BM112" s="32"/>
      <c r="BN112" s="32"/>
      <c r="BO112" s="32"/>
      <c r="BP112" s="32"/>
      <c r="BQ112" s="32"/>
      <c r="BR112" s="32"/>
      <c r="BS112" s="32"/>
      <c r="BT112" s="32"/>
      <c r="BU112" s="32"/>
      <c r="BV112" s="32"/>
      <c r="BW112" s="32"/>
      <c r="BX112" s="32"/>
      <c r="BY112" s="32"/>
      <c r="BZ112" s="32"/>
      <c r="CA112" s="32"/>
      <c r="CB112" s="32"/>
      <c r="CC112" s="32"/>
      <c r="CD112" s="383"/>
      <c r="CE112" s="32"/>
      <c r="CF112" s="32"/>
      <c r="CG112" s="32"/>
      <c r="CH112" s="32"/>
      <c r="CI112" s="32"/>
      <c r="CJ112" s="32"/>
      <c r="CK112" s="32"/>
      <c r="CL112" s="32"/>
      <c r="CM112" s="32"/>
      <c r="CN112" s="32"/>
      <c r="CO112" s="32"/>
      <c r="CP112" s="32"/>
      <c r="CQ112" s="32"/>
      <c r="CR112" s="32"/>
      <c r="CS112" s="32"/>
      <c r="CT112" s="32"/>
      <c r="CU112" s="32"/>
      <c r="CV112" s="32"/>
      <c r="CW112" s="383"/>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row>
    <row r="113" spans="1:131">
      <c r="A113" s="11"/>
      <c r="B113" s="11" t="s">
        <v>645</v>
      </c>
      <c r="C113" s="393">
        <v>0</v>
      </c>
      <c r="D113" s="393">
        <v>0</v>
      </c>
      <c r="E113" s="393">
        <v>0</v>
      </c>
      <c r="F113" s="393">
        <v>0</v>
      </c>
      <c r="G113" s="393">
        <v>0</v>
      </c>
      <c r="H113" s="393">
        <v>0</v>
      </c>
      <c r="I113" s="393">
        <v>0</v>
      </c>
      <c r="J113" s="393">
        <v>0</v>
      </c>
      <c r="K113" s="393">
        <v>0</v>
      </c>
      <c r="L113" s="394">
        <v>0</v>
      </c>
      <c r="M113" s="393">
        <v>0</v>
      </c>
      <c r="N113" s="393">
        <v>0</v>
      </c>
      <c r="O113" s="393">
        <v>0</v>
      </c>
      <c r="P113" s="393">
        <v>0</v>
      </c>
      <c r="Q113" s="393">
        <v>0</v>
      </c>
      <c r="R113" s="393">
        <v>0</v>
      </c>
      <c r="S113" s="393">
        <v>0</v>
      </c>
      <c r="T113" s="393">
        <v>0</v>
      </c>
      <c r="U113" s="393">
        <v>0</v>
      </c>
      <c r="V113" s="393">
        <v>0</v>
      </c>
      <c r="W113" s="393">
        <v>0</v>
      </c>
      <c r="X113" s="393">
        <v>0</v>
      </c>
      <c r="Y113" s="393">
        <v>0</v>
      </c>
      <c r="Z113" s="393"/>
      <c r="AA113" s="393">
        <v>0</v>
      </c>
      <c r="AB113" s="393">
        <v>0</v>
      </c>
      <c r="AC113" s="393">
        <v>0</v>
      </c>
      <c r="AD113" s="393">
        <v>0</v>
      </c>
      <c r="AE113" s="393">
        <v>0</v>
      </c>
      <c r="AF113" s="393">
        <v>0</v>
      </c>
      <c r="AG113" s="393">
        <v>0</v>
      </c>
      <c r="AH113" s="393">
        <v>0</v>
      </c>
      <c r="AI113" s="393">
        <v>0</v>
      </c>
      <c r="AJ113" s="393">
        <v>0</v>
      </c>
      <c r="AK113" s="393">
        <v>0</v>
      </c>
      <c r="AL113" s="393">
        <v>0</v>
      </c>
      <c r="AM113" s="32"/>
      <c r="AN113" s="32"/>
      <c r="AO113" s="32"/>
      <c r="AP113" s="32"/>
      <c r="AQ113" s="32"/>
      <c r="AR113" s="32"/>
      <c r="AS113" s="32"/>
      <c r="AT113" s="32"/>
      <c r="AU113" s="32"/>
      <c r="AV113" s="32"/>
      <c r="AW113" s="32"/>
      <c r="AX113" s="32"/>
      <c r="AY113" s="32"/>
      <c r="AZ113" s="32"/>
      <c r="BA113" s="32"/>
      <c r="BB113" s="32"/>
      <c r="BC113" s="32"/>
      <c r="BD113" s="32"/>
      <c r="BE113" s="32"/>
      <c r="BF113" s="32"/>
      <c r="BG113" s="32"/>
      <c r="BH113" s="32"/>
      <c r="BI113" s="32"/>
      <c r="BJ113" s="32"/>
      <c r="BK113" s="32"/>
      <c r="BL113" s="32"/>
      <c r="BM113" s="32"/>
      <c r="BN113" s="32"/>
      <c r="BO113" s="32"/>
      <c r="BP113" s="32"/>
      <c r="BQ113" s="32"/>
      <c r="BR113" s="32"/>
      <c r="BS113" s="32"/>
      <c r="BT113" s="32"/>
      <c r="BU113" s="32"/>
      <c r="BV113" s="32"/>
      <c r="BW113" s="32"/>
      <c r="BX113" s="32"/>
      <c r="BY113" s="32"/>
      <c r="BZ113" s="32"/>
      <c r="CA113" s="32"/>
      <c r="CB113" s="32"/>
      <c r="CC113" s="32"/>
      <c r="CD113" s="32"/>
      <c r="CE113" s="32"/>
      <c r="CF113" s="32"/>
      <c r="CG113" s="32"/>
      <c r="CH113" s="32"/>
      <c r="CI113" s="32"/>
      <c r="CJ113" s="32"/>
      <c r="CK113" s="32"/>
      <c r="CL113" s="32"/>
      <c r="CM113" s="32"/>
      <c r="CN113" s="32"/>
      <c r="CO113" s="32"/>
      <c r="CP113" s="32"/>
      <c r="CQ113" s="32"/>
      <c r="CR113" s="32"/>
      <c r="CS113" s="32"/>
      <c r="CT113" s="32"/>
      <c r="CU113" s="32"/>
      <c r="CV113" s="32"/>
      <c r="CW113" s="32"/>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row>
    <row r="114" spans="1:131">
      <c r="A114" s="11"/>
      <c r="B114" s="11" t="s">
        <v>646</v>
      </c>
      <c r="C114" s="393">
        <v>0</v>
      </c>
      <c r="D114" s="393">
        <v>0</v>
      </c>
      <c r="E114" s="393">
        <v>0</v>
      </c>
      <c r="F114" s="393">
        <v>0</v>
      </c>
      <c r="G114" s="393">
        <v>0</v>
      </c>
      <c r="H114" s="393">
        <v>0</v>
      </c>
      <c r="I114" s="393">
        <v>0</v>
      </c>
      <c r="J114" s="393">
        <v>0</v>
      </c>
      <c r="K114" s="393">
        <v>0</v>
      </c>
      <c r="L114" s="394">
        <v>0</v>
      </c>
      <c r="M114" s="393">
        <v>0</v>
      </c>
      <c r="N114" s="393">
        <v>0</v>
      </c>
      <c r="O114" s="393">
        <v>0</v>
      </c>
      <c r="P114" s="393">
        <v>0</v>
      </c>
      <c r="Q114" s="393">
        <v>0</v>
      </c>
      <c r="R114" s="393">
        <v>0</v>
      </c>
      <c r="S114" s="393">
        <v>0</v>
      </c>
      <c r="T114" s="393">
        <v>0</v>
      </c>
      <c r="U114" s="393">
        <v>0</v>
      </c>
      <c r="V114" s="393">
        <v>0</v>
      </c>
      <c r="W114" s="393">
        <v>0</v>
      </c>
      <c r="X114" s="393">
        <v>0</v>
      </c>
      <c r="Y114" s="393">
        <v>0</v>
      </c>
      <c r="Z114" s="393"/>
      <c r="AA114" s="393">
        <v>0</v>
      </c>
      <c r="AB114" s="393">
        <v>0</v>
      </c>
      <c r="AC114" s="393">
        <v>0</v>
      </c>
      <c r="AD114" s="393">
        <v>0</v>
      </c>
      <c r="AE114" s="393">
        <v>0</v>
      </c>
      <c r="AF114" s="393">
        <v>0</v>
      </c>
      <c r="AG114" s="393">
        <v>0</v>
      </c>
      <c r="AH114" s="393">
        <v>0</v>
      </c>
      <c r="AI114" s="393">
        <v>0</v>
      </c>
      <c r="AJ114" s="393">
        <v>0</v>
      </c>
      <c r="AK114" s="393">
        <v>0</v>
      </c>
      <c r="AL114" s="393">
        <v>0</v>
      </c>
      <c r="AM114" s="32"/>
      <c r="AN114" s="32"/>
      <c r="AO114" s="32"/>
      <c r="AP114" s="32"/>
      <c r="AQ114" s="32"/>
      <c r="AR114" s="32"/>
      <c r="AS114" s="32"/>
      <c r="AT114" s="32"/>
      <c r="AU114" s="32"/>
      <c r="AV114" s="32"/>
      <c r="AW114" s="32"/>
      <c r="AX114" s="32"/>
      <c r="AY114" s="32"/>
      <c r="AZ114" s="32"/>
      <c r="BA114" s="32"/>
      <c r="BB114" s="32"/>
      <c r="BC114" s="32"/>
      <c r="BD114" s="32"/>
      <c r="BE114" s="32"/>
      <c r="BF114" s="32"/>
      <c r="BG114" s="32"/>
      <c r="BH114" s="32"/>
      <c r="BI114" s="32"/>
      <c r="BJ114" s="32"/>
      <c r="BK114" s="32"/>
      <c r="BL114" s="32"/>
      <c r="BM114" s="32"/>
      <c r="BN114" s="32"/>
      <c r="BO114" s="32"/>
      <c r="BP114" s="32"/>
      <c r="BQ114" s="32"/>
      <c r="BR114" s="32"/>
      <c r="BS114" s="32"/>
      <c r="BT114" s="32"/>
      <c r="BU114" s="32"/>
      <c r="BV114" s="32"/>
      <c r="BW114" s="32"/>
      <c r="BX114" s="32"/>
      <c r="BY114" s="32"/>
      <c r="BZ114" s="32"/>
      <c r="CA114" s="32"/>
      <c r="CB114" s="32"/>
      <c r="CC114" s="32"/>
      <c r="CD114" s="32"/>
      <c r="CE114" s="32"/>
      <c r="CF114" s="32"/>
      <c r="CG114" s="32"/>
      <c r="CH114" s="32"/>
      <c r="CI114" s="32"/>
      <c r="CJ114" s="32"/>
      <c r="CK114" s="32"/>
      <c r="CL114" s="32"/>
      <c r="CM114" s="32"/>
      <c r="CN114" s="32"/>
      <c r="CO114" s="32"/>
      <c r="CP114" s="32"/>
      <c r="CQ114" s="32"/>
      <c r="CR114" s="32"/>
      <c r="CS114" s="32"/>
      <c r="CT114" s="32"/>
      <c r="CU114" s="32"/>
      <c r="CV114" s="32"/>
      <c r="CW114" s="32"/>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row>
    <row r="115" spans="1:131">
      <c r="A115" s="11"/>
      <c r="B115" s="11" t="s">
        <v>647</v>
      </c>
      <c r="C115" s="393">
        <v>0</v>
      </c>
      <c r="D115" s="393">
        <v>0</v>
      </c>
      <c r="E115" s="393">
        <v>0</v>
      </c>
      <c r="F115" s="393">
        <v>0</v>
      </c>
      <c r="G115" s="393">
        <v>0</v>
      </c>
      <c r="H115" s="393">
        <v>0</v>
      </c>
      <c r="I115" s="393">
        <v>0</v>
      </c>
      <c r="J115" s="393">
        <v>0</v>
      </c>
      <c r="K115" s="393">
        <v>0</v>
      </c>
      <c r="L115" s="394">
        <v>0</v>
      </c>
      <c r="M115" s="393">
        <v>0</v>
      </c>
      <c r="N115" s="393">
        <v>0</v>
      </c>
      <c r="O115" s="393">
        <v>0</v>
      </c>
      <c r="P115" s="393">
        <v>0</v>
      </c>
      <c r="Q115" s="393">
        <v>0</v>
      </c>
      <c r="R115" s="393">
        <v>0</v>
      </c>
      <c r="S115" s="393">
        <v>0</v>
      </c>
      <c r="T115" s="393">
        <v>0</v>
      </c>
      <c r="U115" s="393">
        <v>0</v>
      </c>
      <c r="V115" s="393">
        <v>0</v>
      </c>
      <c r="W115" s="393">
        <v>0</v>
      </c>
      <c r="X115" s="393">
        <v>0</v>
      </c>
      <c r="Y115" s="393">
        <v>0</v>
      </c>
      <c r="Z115" s="393"/>
      <c r="AA115" s="393">
        <v>0</v>
      </c>
      <c r="AB115" s="393">
        <v>0</v>
      </c>
      <c r="AC115" s="393">
        <v>0</v>
      </c>
      <c r="AD115" s="393">
        <v>0</v>
      </c>
      <c r="AE115" s="393">
        <v>0</v>
      </c>
      <c r="AF115" s="393">
        <v>0</v>
      </c>
      <c r="AG115" s="393">
        <v>0</v>
      </c>
      <c r="AH115" s="393">
        <v>0</v>
      </c>
      <c r="AI115" s="393">
        <v>0</v>
      </c>
      <c r="AJ115" s="393">
        <v>0</v>
      </c>
      <c r="AK115" s="393">
        <v>0</v>
      </c>
      <c r="AL115" s="393">
        <v>0</v>
      </c>
      <c r="AM115" s="32"/>
      <c r="AN115" s="32"/>
      <c r="AO115" s="32"/>
      <c r="AP115" s="32"/>
      <c r="AQ115" s="32"/>
      <c r="AR115" s="32"/>
      <c r="AS115" s="32"/>
      <c r="AT115" s="32"/>
      <c r="AU115" s="32"/>
      <c r="AV115" s="32"/>
      <c r="AW115" s="32"/>
      <c r="AX115" s="32"/>
      <c r="AY115" s="32"/>
      <c r="AZ115" s="32"/>
      <c r="BA115" s="32"/>
      <c r="BB115" s="32"/>
      <c r="BC115" s="32"/>
      <c r="BD115" s="32"/>
      <c r="BE115" s="32"/>
      <c r="BF115" s="32"/>
      <c r="BG115" s="32"/>
      <c r="BH115" s="32"/>
      <c r="BI115" s="32"/>
      <c r="BJ115" s="32"/>
      <c r="BK115" s="32"/>
      <c r="BL115" s="32"/>
      <c r="BM115" s="32"/>
      <c r="BN115" s="32"/>
      <c r="BO115" s="32"/>
      <c r="BP115" s="32"/>
      <c r="BQ115" s="32"/>
      <c r="BR115" s="32"/>
      <c r="BS115" s="32"/>
      <c r="BT115" s="32"/>
      <c r="BU115" s="32"/>
      <c r="BV115" s="32"/>
      <c r="BW115" s="32"/>
      <c r="BX115" s="32"/>
      <c r="BY115" s="32"/>
      <c r="BZ115" s="32"/>
      <c r="CA115" s="32"/>
      <c r="CB115" s="32"/>
      <c r="CC115" s="32"/>
      <c r="CD115" s="32"/>
      <c r="CE115" s="32"/>
      <c r="CF115" s="32"/>
      <c r="CG115" s="32"/>
      <c r="CH115" s="32"/>
      <c r="CI115" s="32"/>
      <c r="CJ115" s="32"/>
      <c r="CK115" s="32"/>
      <c r="CL115" s="32"/>
      <c r="CM115" s="32"/>
      <c r="CN115" s="32"/>
      <c r="CO115" s="32"/>
      <c r="CP115" s="32"/>
      <c r="CQ115" s="32"/>
      <c r="CR115" s="32"/>
      <c r="CS115" s="32"/>
      <c r="CT115" s="32"/>
      <c r="CU115" s="32"/>
      <c r="CV115" s="32"/>
      <c r="CW115" s="32"/>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row>
    <row r="116" spans="1:131">
      <c r="A116" s="11"/>
      <c r="B116" s="11" t="s">
        <v>648</v>
      </c>
      <c r="C116" s="393">
        <v>0</v>
      </c>
      <c r="D116" s="393">
        <v>0</v>
      </c>
      <c r="E116" s="393">
        <v>0</v>
      </c>
      <c r="F116" s="393">
        <v>0</v>
      </c>
      <c r="G116" s="393">
        <v>0</v>
      </c>
      <c r="H116" s="393">
        <v>0</v>
      </c>
      <c r="I116" s="393">
        <v>0</v>
      </c>
      <c r="J116" s="393">
        <v>0</v>
      </c>
      <c r="K116" s="393">
        <v>0</v>
      </c>
      <c r="L116" s="394">
        <v>0</v>
      </c>
      <c r="M116" s="393">
        <v>0</v>
      </c>
      <c r="N116" s="393">
        <v>0</v>
      </c>
      <c r="O116" s="393">
        <v>0</v>
      </c>
      <c r="P116" s="393">
        <v>0</v>
      </c>
      <c r="Q116" s="393">
        <v>0</v>
      </c>
      <c r="R116" s="393">
        <v>0</v>
      </c>
      <c r="S116" s="393">
        <v>0</v>
      </c>
      <c r="T116" s="393">
        <v>0</v>
      </c>
      <c r="U116" s="393">
        <v>0</v>
      </c>
      <c r="V116" s="393">
        <v>0</v>
      </c>
      <c r="W116" s="393">
        <v>0</v>
      </c>
      <c r="X116" s="393">
        <v>0</v>
      </c>
      <c r="Y116" s="393">
        <v>0</v>
      </c>
      <c r="Z116" s="393"/>
      <c r="AA116" s="393">
        <v>0</v>
      </c>
      <c r="AB116" s="393">
        <v>0</v>
      </c>
      <c r="AC116" s="393">
        <v>0</v>
      </c>
      <c r="AD116" s="393">
        <v>0</v>
      </c>
      <c r="AE116" s="393">
        <v>0</v>
      </c>
      <c r="AF116" s="393">
        <v>0</v>
      </c>
      <c r="AG116" s="393">
        <v>0</v>
      </c>
      <c r="AH116" s="393">
        <v>0</v>
      </c>
      <c r="AI116" s="393">
        <v>0</v>
      </c>
      <c r="AJ116" s="393">
        <v>0</v>
      </c>
      <c r="AK116" s="393">
        <v>0</v>
      </c>
      <c r="AL116" s="393">
        <v>0</v>
      </c>
      <c r="AM116" s="32"/>
      <c r="AN116" s="32"/>
      <c r="AO116" s="32"/>
      <c r="AP116" s="32"/>
      <c r="AQ116" s="32"/>
      <c r="AR116" s="32"/>
      <c r="AS116" s="32"/>
      <c r="AT116" s="32"/>
      <c r="AU116" s="32"/>
      <c r="AV116" s="32"/>
      <c r="AW116" s="32"/>
      <c r="AX116" s="32"/>
      <c r="AY116" s="32"/>
      <c r="AZ116" s="32"/>
      <c r="BA116" s="32"/>
      <c r="BB116" s="32"/>
      <c r="BC116" s="32"/>
      <c r="BD116" s="32"/>
      <c r="BE116" s="32"/>
      <c r="BF116" s="32"/>
      <c r="BG116" s="32"/>
      <c r="BH116" s="32"/>
      <c r="BI116" s="32"/>
      <c r="BJ116" s="32"/>
      <c r="BK116" s="32"/>
      <c r="BL116" s="32"/>
      <c r="BM116" s="32"/>
      <c r="BN116" s="32"/>
      <c r="BO116" s="32"/>
      <c r="BP116" s="32"/>
      <c r="BQ116" s="32"/>
      <c r="BR116" s="32"/>
      <c r="BS116" s="32"/>
      <c r="BT116" s="32"/>
      <c r="BU116" s="32"/>
      <c r="BV116" s="32"/>
      <c r="BW116" s="32"/>
      <c r="BX116" s="32"/>
      <c r="BY116" s="32"/>
      <c r="BZ116" s="32"/>
      <c r="CA116" s="32"/>
      <c r="CB116" s="32"/>
      <c r="CC116" s="32"/>
      <c r="CD116" s="32"/>
      <c r="CE116" s="32"/>
      <c r="CF116" s="32"/>
      <c r="CG116" s="32"/>
      <c r="CH116" s="32"/>
      <c r="CI116" s="32"/>
      <c r="CJ116" s="32"/>
      <c r="CK116" s="32"/>
      <c r="CL116" s="32"/>
      <c r="CM116" s="32"/>
      <c r="CN116" s="32"/>
      <c r="CO116" s="32"/>
      <c r="CP116" s="32"/>
      <c r="CQ116" s="32"/>
      <c r="CR116" s="32"/>
      <c r="CS116" s="32"/>
      <c r="CT116" s="32"/>
      <c r="CU116" s="32"/>
      <c r="CV116" s="32"/>
      <c r="CW116" s="32"/>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row>
    <row r="117" spans="1:131">
      <c r="A117" s="11"/>
      <c r="B117" s="11" t="s">
        <v>649</v>
      </c>
      <c r="C117" s="393">
        <v>0</v>
      </c>
      <c r="D117" s="393">
        <v>0</v>
      </c>
      <c r="E117" s="393">
        <v>0</v>
      </c>
      <c r="F117" s="393">
        <v>0</v>
      </c>
      <c r="G117" s="393">
        <v>0</v>
      </c>
      <c r="H117" s="393">
        <v>0</v>
      </c>
      <c r="I117" s="393">
        <v>0</v>
      </c>
      <c r="J117" s="393">
        <v>0</v>
      </c>
      <c r="K117" s="393">
        <v>0</v>
      </c>
      <c r="L117" s="394">
        <v>0</v>
      </c>
      <c r="M117" s="393">
        <v>0</v>
      </c>
      <c r="N117" s="393">
        <v>0</v>
      </c>
      <c r="O117" s="393">
        <v>0</v>
      </c>
      <c r="P117" s="393">
        <v>0</v>
      </c>
      <c r="Q117" s="393">
        <v>0</v>
      </c>
      <c r="R117" s="393">
        <v>0</v>
      </c>
      <c r="S117" s="393">
        <v>0</v>
      </c>
      <c r="T117" s="393">
        <v>0</v>
      </c>
      <c r="U117" s="393">
        <v>0</v>
      </c>
      <c r="V117" s="393">
        <v>0</v>
      </c>
      <c r="W117" s="393">
        <v>0</v>
      </c>
      <c r="X117" s="393">
        <v>0</v>
      </c>
      <c r="Y117" s="393">
        <v>0</v>
      </c>
      <c r="Z117" s="393"/>
      <c r="AA117" s="393">
        <v>0</v>
      </c>
      <c r="AB117" s="393">
        <v>0</v>
      </c>
      <c r="AC117" s="393">
        <v>0</v>
      </c>
      <c r="AD117" s="393">
        <v>0</v>
      </c>
      <c r="AE117" s="393">
        <v>0</v>
      </c>
      <c r="AF117" s="393">
        <v>0</v>
      </c>
      <c r="AG117" s="393">
        <v>0</v>
      </c>
      <c r="AH117" s="393">
        <v>0</v>
      </c>
      <c r="AI117" s="393">
        <v>0</v>
      </c>
      <c r="AJ117" s="393">
        <v>0</v>
      </c>
      <c r="AK117" s="393">
        <v>0</v>
      </c>
      <c r="AL117" s="393">
        <v>0</v>
      </c>
      <c r="AM117" s="32"/>
      <c r="AN117" s="32"/>
      <c r="AO117" s="32"/>
      <c r="AP117" s="32"/>
      <c r="AQ117" s="32"/>
      <c r="AR117" s="32"/>
      <c r="AS117" s="32"/>
      <c r="AT117" s="32"/>
      <c r="AU117" s="32"/>
      <c r="AV117" s="32"/>
      <c r="AW117" s="32"/>
      <c r="AX117" s="32"/>
      <c r="AY117" s="32"/>
      <c r="AZ117" s="32"/>
      <c r="BA117" s="32"/>
      <c r="BB117" s="32"/>
      <c r="BC117" s="32"/>
      <c r="BD117" s="32"/>
      <c r="BE117" s="32"/>
      <c r="BF117" s="32"/>
      <c r="BG117" s="32"/>
      <c r="BH117" s="32"/>
      <c r="BI117" s="32"/>
      <c r="BJ117" s="32"/>
      <c r="BK117" s="32"/>
      <c r="BL117" s="32"/>
      <c r="BM117" s="32"/>
      <c r="BN117" s="32"/>
      <c r="BO117" s="32"/>
      <c r="BP117" s="32"/>
      <c r="BQ117" s="32"/>
      <c r="BR117" s="32"/>
      <c r="BS117" s="32"/>
      <c r="BT117" s="32"/>
      <c r="BU117" s="32"/>
      <c r="BV117" s="32"/>
      <c r="BW117" s="32"/>
      <c r="BX117" s="32"/>
      <c r="BY117" s="32"/>
      <c r="BZ117" s="32"/>
      <c r="CA117" s="32"/>
      <c r="CB117" s="32"/>
      <c r="CC117" s="32"/>
      <c r="CD117" s="32"/>
      <c r="CE117" s="32"/>
      <c r="CF117" s="32"/>
      <c r="CG117" s="32"/>
      <c r="CH117" s="32"/>
      <c r="CI117" s="32"/>
      <c r="CJ117" s="32"/>
      <c r="CK117" s="32"/>
      <c r="CL117" s="32"/>
      <c r="CM117" s="32"/>
      <c r="CN117" s="32"/>
      <c r="CO117" s="32"/>
      <c r="CP117" s="32"/>
      <c r="CQ117" s="32"/>
      <c r="CR117" s="32"/>
      <c r="CS117" s="32"/>
      <c r="CT117" s="32"/>
      <c r="CU117" s="32"/>
      <c r="CV117" s="32"/>
      <c r="CW117" s="32"/>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row>
    <row r="118" spans="1:131">
      <c r="A118" s="11"/>
      <c r="B118" s="11" t="s">
        <v>650</v>
      </c>
      <c r="C118" s="393">
        <v>0</v>
      </c>
      <c r="D118" s="393">
        <v>0</v>
      </c>
      <c r="E118" s="393">
        <v>0</v>
      </c>
      <c r="F118" s="393">
        <v>0</v>
      </c>
      <c r="G118" s="393">
        <v>0</v>
      </c>
      <c r="H118" s="393">
        <v>0</v>
      </c>
      <c r="I118" s="393">
        <v>0</v>
      </c>
      <c r="J118" s="393">
        <v>0</v>
      </c>
      <c r="K118" s="393">
        <v>0</v>
      </c>
      <c r="L118" s="394">
        <v>0</v>
      </c>
      <c r="M118" s="393">
        <v>0</v>
      </c>
      <c r="N118" s="393">
        <v>0</v>
      </c>
      <c r="O118" s="393">
        <v>0</v>
      </c>
      <c r="P118" s="393">
        <v>0</v>
      </c>
      <c r="Q118" s="393">
        <v>0</v>
      </c>
      <c r="R118" s="393">
        <v>0</v>
      </c>
      <c r="S118" s="393">
        <v>0</v>
      </c>
      <c r="T118" s="393">
        <v>0</v>
      </c>
      <c r="U118" s="393">
        <v>0</v>
      </c>
      <c r="V118" s="393">
        <v>0</v>
      </c>
      <c r="W118" s="393">
        <v>0</v>
      </c>
      <c r="X118" s="393">
        <v>0</v>
      </c>
      <c r="Y118" s="393">
        <v>0</v>
      </c>
      <c r="Z118" s="393"/>
      <c r="AA118" s="393">
        <v>0</v>
      </c>
      <c r="AB118" s="393">
        <v>0</v>
      </c>
      <c r="AC118" s="393">
        <v>0</v>
      </c>
      <c r="AD118" s="393">
        <v>0</v>
      </c>
      <c r="AE118" s="393">
        <v>0</v>
      </c>
      <c r="AF118" s="393">
        <v>0</v>
      </c>
      <c r="AG118" s="393">
        <v>0</v>
      </c>
      <c r="AH118" s="393">
        <v>0</v>
      </c>
      <c r="AI118" s="393">
        <v>0</v>
      </c>
      <c r="AJ118" s="393">
        <v>0</v>
      </c>
      <c r="AK118" s="393">
        <v>0</v>
      </c>
      <c r="AL118" s="393">
        <v>0</v>
      </c>
      <c r="AM118" s="32"/>
      <c r="AN118" s="32"/>
      <c r="AO118" s="32"/>
      <c r="AP118" s="32"/>
      <c r="AQ118" s="32"/>
      <c r="AR118" s="32"/>
      <c r="AS118" s="32"/>
      <c r="AT118" s="32"/>
      <c r="AU118" s="32"/>
      <c r="AV118" s="32"/>
      <c r="AW118" s="32"/>
      <c r="AX118" s="32"/>
      <c r="AY118" s="32"/>
      <c r="AZ118" s="32"/>
      <c r="BA118" s="32"/>
      <c r="BB118" s="32"/>
      <c r="BC118" s="32"/>
      <c r="BD118" s="32"/>
      <c r="BE118" s="32"/>
      <c r="BF118" s="32"/>
      <c r="BG118" s="32"/>
      <c r="BH118" s="32"/>
      <c r="BI118" s="32"/>
      <c r="BJ118" s="32"/>
      <c r="BK118" s="32"/>
      <c r="BL118" s="32"/>
      <c r="BM118" s="32"/>
      <c r="BN118" s="32"/>
      <c r="BO118" s="32"/>
      <c r="BP118" s="32"/>
      <c r="BQ118" s="32"/>
      <c r="BR118" s="32"/>
      <c r="BS118" s="32"/>
      <c r="BT118" s="32"/>
      <c r="BU118" s="32"/>
      <c r="BV118" s="32"/>
      <c r="BW118" s="32"/>
      <c r="BX118" s="32"/>
      <c r="BY118" s="32"/>
      <c r="BZ118" s="32"/>
      <c r="CA118" s="32"/>
      <c r="CB118" s="32"/>
      <c r="CC118" s="32"/>
      <c r="CD118" s="32"/>
      <c r="CE118" s="32"/>
      <c r="CF118" s="32"/>
      <c r="CG118" s="32"/>
      <c r="CH118" s="32"/>
      <c r="CI118" s="32"/>
      <c r="CJ118" s="32"/>
      <c r="CK118" s="32"/>
      <c r="CL118" s="32"/>
      <c r="CM118" s="32"/>
      <c r="CN118" s="32"/>
      <c r="CO118" s="32"/>
      <c r="CP118" s="32"/>
      <c r="CQ118" s="32"/>
      <c r="CR118" s="32"/>
      <c r="CS118" s="32"/>
      <c r="CT118" s="32"/>
      <c r="CU118" s="32"/>
      <c r="CV118" s="32"/>
      <c r="CW118" s="32"/>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row>
    <row r="119" spans="1:131">
      <c r="A119" s="11"/>
      <c r="B119" s="11" t="s">
        <v>651</v>
      </c>
      <c r="C119" s="393">
        <v>0</v>
      </c>
      <c r="D119" s="393">
        <v>0</v>
      </c>
      <c r="E119" s="393">
        <v>0</v>
      </c>
      <c r="F119" s="393">
        <v>0</v>
      </c>
      <c r="G119" s="393">
        <v>0</v>
      </c>
      <c r="H119" s="393">
        <v>0</v>
      </c>
      <c r="I119" s="393">
        <v>0</v>
      </c>
      <c r="J119" s="393">
        <v>0</v>
      </c>
      <c r="K119" s="393">
        <v>0</v>
      </c>
      <c r="L119" s="394">
        <v>0</v>
      </c>
      <c r="M119" s="393">
        <v>0</v>
      </c>
      <c r="N119" s="393">
        <v>0</v>
      </c>
      <c r="O119" s="393">
        <v>0</v>
      </c>
      <c r="P119" s="393">
        <v>0</v>
      </c>
      <c r="Q119" s="393">
        <v>0</v>
      </c>
      <c r="R119" s="393">
        <v>0</v>
      </c>
      <c r="S119" s="393">
        <v>0</v>
      </c>
      <c r="T119" s="393">
        <v>0</v>
      </c>
      <c r="U119" s="393">
        <v>0</v>
      </c>
      <c r="V119" s="393">
        <v>0</v>
      </c>
      <c r="W119" s="393">
        <v>0</v>
      </c>
      <c r="X119" s="393">
        <v>0</v>
      </c>
      <c r="Y119" s="393">
        <v>0</v>
      </c>
      <c r="Z119" s="393"/>
      <c r="AA119" s="393">
        <v>0</v>
      </c>
      <c r="AB119" s="393">
        <v>0</v>
      </c>
      <c r="AC119" s="393">
        <v>0</v>
      </c>
      <c r="AD119" s="393">
        <v>0</v>
      </c>
      <c r="AE119" s="393">
        <v>0</v>
      </c>
      <c r="AF119" s="393">
        <v>0</v>
      </c>
      <c r="AG119" s="393">
        <v>0</v>
      </c>
      <c r="AH119" s="393">
        <v>0</v>
      </c>
      <c r="AI119" s="393">
        <v>0</v>
      </c>
      <c r="AJ119" s="393">
        <v>0</v>
      </c>
      <c r="AK119" s="393">
        <v>0</v>
      </c>
      <c r="AL119" s="393">
        <v>0</v>
      </c>
      <c r="AM119" s="32"/>
      <c r="AN119" s="32"/>
      <c r="AO119" s="32"/>
      <c r="AP119" s="32"/>
      <c r="AQ119" s="32"/>
      <c r="AR119" s="32"/>
      <c r="AS119" s="32"/>
      <c r="AT119" s="32"/>
      <c r="AU119" s="32"/>
      <c r="AV119" s="32"/>
      <c r="AW119" s="32"/>
      <c r="AX119" s="32"/>
      <c r="AY119" s="32"/>
      <c r="AZ119" s="32"/>
      <c r="BA119" s="32"/>
      <c r="BB119" s="32"/>
      <c r="BC119" s="32"/>
      <c r="BD119" s="32"/>
      <c r="BE119" s="32"/>
      <c r="BF119" s="32"/>
      <c r="BG119" s="32"/>
      <c r="BH119" s="32"/>
      <c r="BI119" s="32"/>
      <c r="BJ119" s="32"/>
      <c r="BK119" s="32"/>
      <c r="BL119" s="32"/>
      <c r="BM119" s="32"/>
      <c r="BN119" s="32"/>
      <c r="BO119" s="32"/>
      <c r="BP119" s="32"/>
      <c r="BQ119" s="32"/>
      <c r="BR119" s="32"/>
      <c r="BS119" s="32"/>
      <c r="BT119" s="32"/>
      <c r="BU119" s="32"/>
      <c r="BV119" s="32"/>
      <c r="BW119" s="32"/>
      <c r="BX119" s="32"/>
      <c r="BY119" s="32"/>
      <c r="BZ119" s="32"/>
      <c r="CA119" s="32"/>
      <c r="CB119" s="32"/>
      <c r="CC119" s="32"/>
      <c r="CD119" s="32"/>
      <c r="CE119" s="32"/>
      <c r="CF119" s="32"/>
      <c r="CG119" s="32"/>
      <c r="CH119" s="32"/>
      <c r="CI119" s="32"/>
      <c r="CJ119" s="32"/>
      <c r="CK119" s="32"/>
      <c r="CL119" s="32"/>
      <c r="CM119" s="32"/>
      <c r="CN119" s="32"/>
      <c r="CO119" s="32"/>
      <c r="CP119" s="32"/>
      <c r="CQ119" s="32"/>
      <c r="CR119" s="32"/>
      <c r="CS119" s="32"/>
      <c r="CT119" s="32"/>
      <c r="CU119" s="32"/>
      <c r="CV119" s="32"/>
      <c r="CW119" s="32"/>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row>
    <row r="120" spans="1:131">
      <c r="A120" s="11"/>
      <c r="B120" s="11" t="s">
        <v>652</v>
      </c>
      <c r="C120" s="393">
        <v>0</v>
      </c>
      <c r="D120" s="393">
        <v>0</v>
      </c>
      <c r="E120" s="393">
        <v>0</v>
      </c>
      <c r="F120" s="393">
        <v>0</v>
      </c>
      <c r="G120" s="393">
        <v>0</v>
      </c>
      <c r="H120" s="393">
        <v>0</v>
      </c>
      <c r="I120" s="393">
        <v>0</v>
      </c>
      <c r="J120" s="393">
        <v>0</v>
      </c>
      <c r="K120" s="393">
        <v>0</v>
      </c>
      <c r="L120" s="394">
        <v>0</v>
      </c>
      <c r="M120" s="393">
        <v>0</v>
      </c>
      <c r="N120" s="393">
        <v>0</v>
      </c>
      <c r="O120" s="393">
        <v>0</v>
      </c>
      <c r="P120" s="393">
        <v>0</v>
      </c>
      <c r="Q120" s="393">
        <v>0</v>
      </c>
      <c r="R120" s="393">
        <v>0</v>
      </c>
      <c r="S120" s="393">
        <v>0</v>
      </c>
      <c r="T120" s="393">
        <v>0</v>
      </c>
      <c r="U120" s="393">
        <v>0</v>
      </c>
      <c r="V120" s="393">
        <v>0</v>
      </c>
      <c r="W120" s="393">
        <v>0</v>
      </c>
      <c r="X120" s="393">
        <v>0</v>
      </c>
      <c r="Y120" s="393">
        <v>0</v>
      </c>
      <c r="Z120" s="393"/>
      <c r="AA120" s="393">
        <v>0</v>
      </c>
      <c r="AB120" s="393">
        <v>0</v>
      </c>
      <c r="AC120" s="393">
        <v>0</v>
      </c>
      <c r="AD120" s="393">
        <v>0</v>
      </c>
      <c r="AE120" s="393">
        <v>0</v>
      </c>
      <c r="AF120" s="393">
        <v>0</v>
      </c>
      <c r="AG120" s="393">
        <v>0</v>
      </c>
      <c r="AH120" s="393">
        <v>0</v>
      </c>
      <c r="AI120" s="393">
        <v>0</v>
      </c>
      <c r="AJ120" s="393">
        <v>0</v>
      </c>
      <c r="AK120" s="393">
        <v>0</v>
      </c>
      <c r="AL120" s="393">
        <v>0</v>
      </c>
      <c r="AM120" s="32"/>
      <c r="AN120" s="32"/>
      <c r="AO120" s="32"/>
      <c r="AP120" s="32"/>
      <c r="AQ120" s="32"/>
      <c r="AR120" s="32"/>
      <c r="AS120" s="32"/>
      <c r="AT120" s="32"/>
      <c r="AU120" s="32"/>
      <c r="AV120" s="32"/>
      <c r="AW120" s="32"/>
      <c r="AX120" s="32"/>
      <c r="AY120" s="32"/>
      <c r="AZ120" s="32"/>
      <c r="BA120" s="32"/>
      <c r="BB120" s="32"/>
      <c r="BC120" s="32"/>
      <c r="BD120" s="32"/>
      <c r="BE120" s="32"/>
      <c r="BF120" s="32"/>
      <c r="BG120" s="32"/>
      <c r="BH120" s="32"/>
      <c r="BI120" s="32"/>
      <c r="BJ120" s="32"/>
      <c r="BK120" s="32"/>
      <c r="BL120" s="32"/>
      <c r="BM120" s="32"/>
      <c r="BN120" s="32"/>
      <c r="BO120" s="32"/>
      <c r="BP120" s="32"/>
      <c r="BQ120" s="32"/>
      <c r="BR120" s="32"/>
      <c r="BS120" s="32"/>
      <c r="BT120" s="32"/>
      <c r="BU120" s="32"/>
      <c r="BV120" s="32"/>
      <c r="BW120" s="32"/>
      <c r="BX120" s="32"/>
      <c r="BY120" s="32"/>
      <c r="BZ120" s="32"/>
      <c r="CA120" s="32"/>
      <c r="CB120" s="32"/>
      <c r="CC120" s="32"/>
      <c r="CD120" s="32"/>
      <c r="CE120" s="32"/>
      <c r="CF120" s="32"/>
      <c r="CG120" s="32"/>
      <c r="CH120" s="32"/>
      <c r="CI120" s="32"/>
      <c r="CJ120" s="32"/>
      <c r="CK120" s="32"/>
      <c r="CL120" s="32"/>
      <c r="CM120" s="32"/>
      <c r="CN120" s="32"/>
      <c r="CO120" s="32"/>
      <c r="CP120" s="32"/>
      <c r="CQ120" s="32"/>
      <c r="CR120" s="32"/>
      <c r="CS120" s="32"/>
      <c r="CT120" s="32"/>
      <c r="CU120" s="32"/>
      <c r="CV120" s="32"/>
      <c r="CW120" s="32"/>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row>
    <row r="121" spans="1:131">
      <c r="A121" s="11"/>
      <c r="B121" s="11" t="s">
        <v>653</v>
      </c>
      <c r="C121" s="393">
        <v>0</v>
      </c>
      <c r="D121" s="393">
        <v>0</v>
      </c>
      <c r="E121" s="393">
        <v>0</v>
      </c>
      <c r="F121" s="393">
        <v>0</v>
      </c>
      <c r="G121" s="393">
        <v>0</v>
      </c>
      <c r="H121" s="393">
        <v>0</v>
      </c>
      <c r="I121" s="393">
        <v>0</v>
      </c>
      <c r="J121" s="393">
        <v>0</v>
      </c>
      <c r="K121" s="393">
        <v>0</v>
      </c>
      <c r="L121" s="394">
        <v>0</v>
      </c>
      <c r="M121" s="393">
        <v>0</v>
      </c>
      <c r="N121" s="393">
        <v>0</v>
      </c>
      <c r="O121" s="393">
        <v>0</v>
      </c>
      <c r="P121" s="393">
        <v>0</v>
      </c>
      <c r="Q121" s="393">
        <v>0</v>
      </c>
      <c r="R121" s="393">
        <v>0</v>
      </c>
      <c r="S121" s="393">
        <v>0</v>
      </c>
      <c r="T121" s="393">
        <v>0</v>
      </c>
      <c r="U121" s="393">
        <v>0</v>
      </c>
      <c r="V121" s="393">
        <v>0</v>
      </c>
      <c r="W121" s="393">
        <v>0</v>
      </c>
      <c r="X121" s="393">
        <v>0</v>
      </c>
      <c r="Y121" s="393">
        <v>0</v>
      </c>
      <c r="Z121" s="393"/>
      <c r="AA121" s="393">
        <v>0</v>
      </c>
      <c r="AB121" s="393">
        <v>0</v>
      </c>
      <c r="AC121" s="393">
        <v>0</v>
      </c>
      <c r="AD121" s="393">
        <v>0</v>
      </c>
      <c r="AE121" s="393">
        <v>0</v>
      </c>
      <c r="AF121" s="393">
        <v>0</v>
      </c>
      <c r="AG121" s="393">
        <v>0</v>
      </c>
      <c r="AH121" s="393">
        <v>0</v>
      </c>
      <c r="AI121" s="393">
        <v>0</v>
      </c>
      <c r="AJ121" s="393">
        <v>0</v>
      </c>
      <c r="AK121" s="393">
        <v>0</v>
      </c>
      <c r="AL121" s="393">
        <v>0</v>
      </c>
      <c r="AM121" s="32"/>
      <c r="AN121" s="32"/>
      <c r="AO121" s="32"/>
      <c r="AP121" s="32"/>
      <c r="AQ121" s="32"/>
      <c r="AR121" s="32"/>
      <c r="AS121" s="32"/>
      <c r="AT121" s="32"/>
      <c r="AU121" s="32"/>
      <c r="AV121" s="32"/>
      <c r="AW121" s="32"/>
      <c r="AX121" s="32"/>
      <c r="AY121" s="32"/>
      <c r="AZ121" s="32"/>
      <c r="BA121" s="32"/>
      <c r="BB121" s="32"/>
      <c r="BC121" s="32"/>
      <c r="BD121" s="32"/>
      <c r="BE121" s="32"/>
      <c r="BF121" s="32"/>
      <c r="BG121" s="32"/>
      <c r="BH121" s="32"/>
      <c r="BI121" s="32"/>
      <c r="BJ121" s="32"/>
      <c r="BK121" s="32"/>
      <c r="BL121" s="32"/>
      <c r="BM121" s="32"/>
      <c r="BN121" s="32"/>
      <c r="BO121" s="32"/>
      <c r="BP121" s="32"/>
      <c r="BQ121" s="32"/>
      <c r="BR121" s="32"/>
      <c r="BS121" s="32"/>
      <c r="BT121" s="32"/>
      <c r="BU121" s="32"/>
      <c r="BV121" s="32"/>
      <c r="BW121" s="32"/>
      <c r="BX121" s="32"/>
      <c r="BY121" s="32"/>
      <c r="BZ121" s="32"/>
      <c r="CA121" s="32"/>
      <c r="CB121" s="32"/>
      <c r="CC121" s="32"/>
      <c r="CD121" s="32"/>
      <c r="CE121" s="32"/>
      <c r="CF121" s="32"/>
      <c r="CG121" s="32"/>
      <c r="CH121" s="32"/>
      <c r="CI121" s="32"/>
      <c r="CJ121" s="32"/>
      <c r="CK121" s="32"/>
      <c r="CL121" s="32"/>
      <c r="CM121" s="32"/>
      <c r="CN121" s="32"/>
      <c r="CO121" s="32"/>
      <c r="CP121" s="32"/>
      <c r="CQ121" s="32"/>
      <c r="CR121" s="32"/>
      <c r="CS121" s="32"/>
      <c r="CT121" s="32"/>
      <c r="CU121" s="32"/>
      <c r="CV121" s="32"/>
      <c r="CW121" s="32"/>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row>
    <row r="122" spans="1:131">
      <c r="A122" s="11"/>
      <c r="B122" s="11" t="s">
        <v>654</v>
      </c>
      <c r="C122" s="393">
        <v>0</v>
      </c>
      <c r="D122" s="393">
        <v>0</v>
      </c>
      <c r="E122" s="393">
        <v>0</v>
      </c>
      <c r="F122" s="393">
        <v>0</v>
      </c>
      <c r="G122" s="393">
        <v>0</v>
      </c>
      <c r="H122" s="393">
        <v>0</v>
      </c>
      <c r="I122" s="393">
        <v>0</v>
      </c>
      <c r="J122" s="393">
        <v>0</v>
      </c>
      <c r="K122" s="393">
        <v>0</v>
      </c>
      <c r="L122" s="394">
        <v>0</v>
      </c>
      <c r="M122" s="393">
        <v>0</v>
      </c>
      <c r="N122" s="393">
        <v>0</v>
      </c>
      <c r="O122" s="393">
        <v>0</v>
      </c>
      <c r="P122" s="393">
        <v>0</v>
      </c>
      <c r="Q122" s="393">
        <v>0</v>
      </c>
      <c r="R122" s="393">
        <v>0</v>
      </c>
      <c r="S122" s="393">
        <v>0</v>
      </c>
      <c r="T122" s="393">
        <v>0</v>
      </c>
      <c r="U122" s="393">
        <v>0</v>
      </c>
      <c r="V122" s="393">
        <v>0</v>
      </c>
      <c r="W122" s="393">
        <v>0</v>
      </c>
      <c r="X122" s="393">
        <v>0</v>
      </c>
      <c r="Y122" s="393">
        <v>0</v>
      </c>
      <c r="Z122" s="393"/>
      <c r="AA122" s="393">
        <v>0</v>
      </c>
      <c r="AB122" s="393">
        <v>0</v>
      </c>
      <c r="AC122" s="393">
        <v>0</v>
      </c>
      <c r="AD122" s="393">
        <v>0</v>
      </c>
      <c r="AE122" s="393">
        <v>0</v>
      </c>
      <c r="AF122" s="393">
        <v>0</v>
      </c>
      <c r="AG122" s="393">
        <v>0</v>
      </c>
      <c r="AH122" s="393">
        <v>0</v>
      </c>
      <c r="AI122" s="393">
        <v>0</v>
      </c>
      <c r="AJ122" s="393">
        <v>0</v>
      </c>
      <c r="AK122" s="393">
        <v>0</v>
      </c>
      <c r="AL122" s="393">
        <v>0</v>
      </c>
      <c r="AM122" s="32"/>
      <c r="AN122" s="32"/>
      <c r="AO122" s="32"/>
      <c r="AP122" s="32"/>
      <c r="AQ122" s="32"/>
      <c r="AR122" s="32"/>
      <c r="AS122" s="32"/>
      <c r="AT122" s="32"/>
      <c r="AU122" s="32"/>
      <c r="AV122" s="32"/>
      <c r="AW122" s="32"/>
      <c r="AX122" s="32"/>
      <c r="AY122" s="32"/>
      <c r="AZ122" s="32"/>
      <c r="BA122" s="32"/>
      <c r="BB122" s="32"/>
      <c r="BC122" s="32"/>
      <c r="BD122" s="32"/>
      <c r="BE122" s="32"/>
      <c r="BF122" s="32"/>
      <c r="BG122" s="32"/>
      <c r="BH122" s="32"/>
      <c r="BI122" s="32"/>
      <c r="BJ122" s="32"/>
      <c r="BK122" s="32"/>
      <c r="BL122" s="32"/>
      <c r="BM122" s="32"/>
      <c r="BN122" s="32"/>
      <c r="BO122" s="32"/>
      <c r="BP122" s="32"/>
      <c r="BQ122" s="32"/>
      <c r="BR122" s="32"/>
      <c r="BS122" s="32"/>
      <c r="BT122" s="32"/>
      <c r="BU122" s="32"/>
      <c r="BV122" s="32"/>
      <c r="BW122" s="32"/>
      <c r="BX122" s="32"/>
      <c r="BY122" s="32"/>
      <c r="BZ122" s="32"/>
      <c r="CA122" s="32"/>
      <c r="CB122" s="32"/>
      <c r="CC122" s="32"/>
      <c r="CD122" s="32"/>
      <c r="CE122" s="32"/>
      <c r="CF122" s="32"/>
      <c r="CG122" s="32"/>
      <c r="CH122" s="32"/>
      <c r="CI122" s="32"/>
      <c r="CJ122" s="32"/>
      <c r="CK122" s="32"/>
      <c r="CL122" s="32"/>
      <c r="CM122" s="32"/>
      <c r="CN122" s="32"/>
      <c r="CO122" s="32"/>
      <c r="CP122" s="32"/>
      <c r="CQ122" s="32"/>
      <c r="CR122" s="32"/>
      <c r="CS122" s="32"/>
      <c r="CT122" s="32"/>
      <c r="CU122" s="32"/>
      <c r="CV122" s="32"/>
      <c r="CW122" s="32"/>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row>
    <row r="123" spans="1:131">
      <c r="A123" s="11"/>
      <c r="B123" s="11" t="s">
        <v>655</v>
      </c>
      <c r="C123" s="393">
        <v>0</v>
      </c>
      <c r="D123" s="393">
        <v>0</v>
      </c>
      <c r="E123" s="393">
        <v>0</v>
      </c>
      <c r="F123" s="393">
        <v>0</v>
      </c>
      <c r="G123" s="393">
        <v>0</v>
      </c>
      <c r="H123" s="393">
        <v>0</v>
      </c>
      <c r="I123" s="393">
        <v>0</v>
      </c>
      <c r="J123" s="393">
        <v>0</v>
      </c>
      <c r="K123" s="393">
        <v>0</v>
      </c>
      <c r="L123" s="394">
        <v>0</v>
      </c>
      <c r="M123" s="393">
        <v>0</v>
      </c>
      <c r="N123" s="393">
        <v>0</v>
      </c>
      <c r="O123" s="393">
        <v>0</v>
      </c>
      <c r="P123" s="393">
        <v>0</v>
      </c>
      <c r="Q123" s="393">
        <v>0</v>
      </c>
      <c r="R123" s="393">
        <v>0</v>
      </c>
      <c r="S123" s="393">
        <v>0</v>
      </c>
      <c r="T123" s="393">
        <v>0</v>
      </c>
      <c r="U123" s="393">
        <v>0</v>
      </c>
      <c r="V123" s="393">
        <v>0</v>
      </c>
      <c r="W123" s="393">
        <v>0</v>
      </c>
      <c r="X123" s="393">
        <v>0</v>
      </c>
      <c r="Y123" s="393">
        <v>0</v>
      </c>
      <c r="Z123" s="393"/>
      <c r="AA123" s="393">
        <v>0</v>
      </c>
      <c r="AB123" s="393">
        <v>0</v>
      </c>
      <c r="AC123" s="393">
        <v>0</v>
      </c>
      <c r="AD123" s="393">
        <v>0</v>
      </c>
      <c r="AE123" s="393">
        <v>0</v>
      </c>
      <c r="AF123" s="393">
        <v>0</v>
      </c>
      <c r="AG123" s="393">
        <v>0</v>
      </c>
      <c r="AH123" s="393">
        <v>0</v>
      </c>
      <c r="AI123" s="393">
        <v>0</v>
      </c>
      <c r="AJ123" s="393">
        <v>0</v>
      </c>
      <c r="AK123" s="393">
        <v>0</v>
      </c>
      <c r="AL123" s="393">
        <v>0</v>
      </c>
      <c r="AM123" s="32"/>
      <c r="AN123" s="32"/>
      <c r="AO123" s="32"/>
      <c r="AP123" s="32"/>
      <c r="AQ123" s="32"/>
      <c r="AR123" s="32"/>
      <c r="AS123" s="32"/>
      <c r="AT123" s="32"/>
      <c r="AU123" s="32"/>
      <c r="AV123" s="32"/>
      <c r="AW123" s="32"/>
      <c r="AX123" s="32"/>
      <c r="AY123" s="32"/>
      <c r="AZ123" s="32"/>
      <c r="BA123" s="32"/>
      <c r="BB123" s="32"/>
      <c r="BC123" s="32"/>
      <c r="BD123" s="32"/>
      <c r="BE123" s="32"/>
      <c r="BF123" s="32"/>
      <c r="BG123" s="32"/>
      <c r="BH123" s="32"/>
      <c r="BI123" s="32"/>
      <c r="BJ123" s="32"/>
      <c r="BK123" s="32"/>
      <c r="BL123" s="32"/>
      <c r="BM123" s="32"/>
      <c r="BN123" s="32"/>
      <c r="BO123" s="32"/>
      <c r="BP123" s="32"/>
      <c r="BQ123" s="32"/>
      <c r="BR123" s="32"/>
      <c r="BS123" s="32"/>
      <c r="BT123" s="32"/>
      <c r="BU123" s="32"/>
      <c r="BV123" s="32"/>
      <c r="BW123" s="32"/>
      <c r="BX123" s="32"/>
      <c r="BY123" s="32"/>
      <c r="BZ123" s="32"/>
      <c r="CA123" s="32"/>
      <c r="CB123" s="32"/>
      <c r="CC123" s="32"/>
      <c r="CD123" s="32"/>
      <c r="CE123" s="32"/>
      <c r="CF123" s="32"/>
      <c r="CG123" s="32"/>
      <c r="CH123" s="32"/>
      <c r="CI123" s="32"/>
      <c r="CJ123" s="32"/>
      <c r="CK123" s="32"/>
      <c r="CL123" s="32"/>
      <c r="CM123" s="32"/>
      <c r="CN123" s="32"/>
      <c r="CO123" s="32"/>
      <c r="CP123" s="32"/>
      <c r="CQ123" s="32"/>
      <c r="CR123" s="32"/>
      <c r="CS123" s="32"/>
      <c r="CT123" s="32"/>
      <c r="CU123" s="32"/>
      <c r="CV123" s="32"/>
      <c r="CW123" s="32"/>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row>
    <row r="124" spans="1:131">
      <c r="A124" s="11"/>
      <c r="B124" s="11" t="s">
        <v>656</v>
      </c>
      <c r="C124" s="393">
        <v>0</v>
      </c>
      <c r="D124" s="393">
        <v>0</v>
      </c>
      <c r="E124" s="393">
        <v>0</v>
      </c>
      <c r="F124" s="393">
        <v>0</v>
      </c>
      <c r="G124" s="393">
        <v>0</v>
      </c>
      <c r="H124" s="393">
        <v>0</v>
      </c>
      <c r="I124" s="393">
        <v>0</v>
      </c>
      <c r="J124" s="393">
        <v>0</v>
      </c>
      <c r="K124" s="393">
        <v>0</v>
      </c>
      <c r="L124" s="394">
        <v>0</v>
      </c>
      <c r="M124" s="393">
        <v>0</v>
      </c>
      <c r="N124" s="393">
        <v>0</v>
      </c>
      <c r="O124" s="393">
        <v>0</v>
      </c>
      <c r="P124" s="393">
        <v>0</v>
      </c>
      <c r="Q124" s="393">
        <v>0</v>
      </c>
      <c r="R124" s="393">
        <v>0</v>
      </c>
      <c r="S124" s="393">
        <v>0</v>
      </c>
      <c r="T124" s="393">
        <v>0</v>
      </c>
      <c r="U124" s="393">
        <v>0</v>
      </c>
      <c r="V124" s="393">
        <v>0</v>
      </c>
      <c r="W124" s="393">
        <v>0</v>
      </c>
      <c r="X124" s="393">
        <v>0</v>
      </c>
      <c r="Y124" s="393">
        <v>0</v>
      </c>
      <c r="Z124" s="393"/>
      <c r="AA124" s="393">
        <v>0</v>
      </c>
      <c r="AB124" s="393">
        <v>0</v>
      </c>
      <c r="AC124" s="393">
        <v>0</v>
      </c>
      <c r="AD124" s="393">
        <v>0</v>
      </c>
      <c r="AE124" s="393">
        <v>0</v>
      </c>
      <c r="AF124" s="393">
        <v>0</v>
      </c>
      <c r="AG124" s="393">
        <v>0</v>
      </c>
      <c r="AH124" s="393">
        <v>0</v>
      </c>
      <c r="AI124" s="393">
        <v>0</v>
      </c>
      <c r="AJ124" s="393">
        <v>0</v>
      </c>
      <c r="AK124" s="393">
        <v>0</v>
      </c>
      <c r="AL124" s="393">
        <v>0</v>
      </c>
      <c r="AM124" s="32"/>
      <c r="AN124" s="32"/>
      <c r="AO124" s="32"/>
      <c r="AP124" s="32"/>
      <c r="AQ124" s="32"/>
      <c r="AR124" s="32"/>
      <c r="AS124" s="32"/>
      <c r="AT124" s="32"/>
      <c r="AU124" s="32"/>
      <c r="AV124" s="32"/>
      <c r="AW124" s="32"/>
      <c r="AX124" s="32"/>
      <c r="AY124" s="32"/>
      <c r="AZ124" s="32"/>
      <c r="BA124" s="32"/>
      <c r="BB124" s="32"/>
      <c r="BC124" s="32"/>
      <c r="BD124" s="32"/>
      <c r="BE124" s="32"/>
      <c r="BF124" s="32"/>
      <c r="BG124" s="32"/>
      <c r="BH124" s="32"/>
      <c r="BI124" s="32"/>
      <c r="BJ124" s="32"/>
      <c r="BK124" s="32"/>
      <c r="BL124" s="32"/>
      <c r="BM124" s="32"/>
      <c r="BN124" s="32"/>
      <c r="BO124" s="32"/>
      <c r="BP124" s="32"/>
      <c r="BQ124" s="32"/>
      <c r="BR124" s="32"/>
      <c r="BS124" s="32"/>
      <c r="BT124" s="32"/>
      <c r="BU124" s="32"/>
      <c r="BV124" s="32"/>
      <c r="BW124" s="32"/>
      <c r="BX124" s="32"/>
      <c r="BY124" s="32"/>
      <c r="BZ124" s="32"/>
      <c r="CA124" s="32"/>
      <c r="CB124" s="32"/>
      <c r="CC124" s="32"/>
      <c r="CD124" s="32"/>
      <c r="CE124" s="32"/>
      <c r="CF124" s="32"/>
      <c r="CG124" s="32"/>
      <c r="CH124" s="32"/>
      <c r="CI124" s="32"/>
      <c r="CJ124" s="32"/>
      <c r="CK124" s="32"/>
      <c r="CL124" s="32"/>
      <c r="CM124" s="32"/>
      <c r="CN124" s="32"/>
      <c r="CO124" s="32"/>
      <c r="CP124" s="32"/>
      <c r="CQ124" s="32"/>
      <c r="CR124" s="32"/>
      <c r="CS124" s="32"/>
      <c r="CT124" s="32"/>
      <c r="CU124" s="32"/>
      <c r="CV124" s="32"/>
      <c r="CW124" s="32"/>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row>
    <row r="125" spans="1:131">
      <c r="A125" s="11"/>
      <c r="B125" s="11" t="s">
        <v>657</v>
      </c>
      <c r="C125" s="393">
        <v>0</v>
      </c>
      <c r="D125" s="393">
        <v>0</v>
      </c>
      <c r="E125" s="393">
        <v>0</v>
      </c>
      <c r="F125" s="393">
        <v>0</v>
      </c>
      <c r="G125" s="393">
        <v>0</v>
      </c>
      <c r="H125" s="393">
        <v>0</v>
      </c>
      <c r="I125" s="393">
        <v>0</v>
      </c>
      <c r="J125" s="393">
        <v>0</v>
      </c>
      <c r="K125" s="393">
        <v>0</v>
      </c>
      <c r="L125" s="394">
        <v>0</v>
      </c>
      <c r="M125" s="393">
        <v>0</v>
      </c>
      <c r="N125" s="393">
        <v>0</v>
      </c>
      <c r="O125" s="393">
        <v>0</v>
      </c>
      <c r="P125" s="393">
        <v>0</v>
      </c>
      <c r="Q125" s="393">
        <v>0</v>
      </c>
      <c r="R125" s="393">
        <v>0</v>
      </c>
      <c r="S125" s="393">
        <v>0</v>
      </c>
      <c r="T125" s="393">
        <v>0</v>
      </c>
      <c r="U125" s="393">
        <v>0</v>
      </c>
      <c r="V125" s="393">
        <v>0</v>
      </c>
      <c r="W125" s="393">
        <v>0</v>
      </c>
      <c r="X125" s="393">
        <v>0</v>
      </c>
      <c r="Y125" s="393">
        <v>0</v>
      </c>
      <c r="Z125" s="393"/>
      <c r="AA125" s="393">
        <v>0</v>
      </c>
      <c r="AB125" s="393">
        <v>0</v>
      </c>
      <c r="AC125" s="393">
        <v>0</v>
      </c>
      <c r="AD125" s="393">
        <v>0</v>
      </c>
      <c r="AE125" s="393">
        <v>0</v>
      </c>
      <c r="AF125" s="393">
        <v>0</v>
      </c>
      <c r="AG125" s="393">
        <v>0</v>
      </c>
      <c r="AH125" s="393">
        <v>0</v>
      </c>
      <c r="AI125" s="393">
        <v>0</v>
      </c>
      <c r="AJ125" s="393">
        <v>0</v>
      </c>
      <c r="AK125" s="393">
        <v>0</v>
      </c>
      <c r="AL125" s="393">
        <v>0</v>
      </c>
      <c r="AM125" s="32"/>
      <c r="AN125" s="32"/>
      <c r="AO125" s="32"/>
      <c r="AP125" s="32"/>
      <c r="AQ125" s="32"/>
      <c r="AR125" s="32"/>
      <c r="AS125" s="32"/>
      <c r="AT125" s="32"/>
      <c r="AU125" s="32"/>
      <c r="AV125" s="32"/>
      <c r="AW125" s="32"/>
      <c r="AX125" s="32"/>
      <c r="AY125" s="32"/>
      <c r="AZ125" s="32"/>
      <c r="BA125" s="32"/>
      <c r="BB125" s="32"/>
      <c r="BC125" s="32"/>
      <c r="BD125" s="32"/>
      <c r="BE125" s="32"/>
      <c r="BF125" s="32"/>
      <c r="BG125" s="32"/>
      <c r="BH125" s="32"/>
      <c r="BI125" s="32"/>
      <c r="BJ125" s="32"/>
      <c r="BK125" s="32"/>
      <c r="BL125" s="32"/>
      <c r="BM125" s="32"/>
      <c r="BN125" s="32"/>
      <c r="BO125" s="32"/>
      <c r="BP125" s="32"/>
      <c r="BQ125" s="32"/>
      <c r="BR125" s="32"/>
      <c r="BS125" s="32"/>
      <c r="BT125" s="32"/>
      <c r="BU125" s="32"/>
      <c r="BV125" s="32"/>
      <c r="BW125" s="32"/>
      <c r="BX125" s="32"/>
      <c r="BY125" s="32"/>
      <c r="BZ125" s="32"/>
      <c r="CA125" s="32"/>
      <c r="CB125" s="32"/>
      <c r="CC125" s="32"/>
      <c r="CD125" s="32"/>
      <c r="CE125" s="32"/>
      <c r="CF125" s="32"/>
      <c r="CG125" s="32"/>
      <c r="CH125" s="32"/>
      <c r="CI125" s="32"/>
      <c r="CJ125" s="32"/>
      <c r="CK125" s="32"/>
      <c r="CL125" s="32"/>
      <c r="CM125" s="32"/>
      <c r="CN125" s="32"/>
      <c r="CO125" s="32"/>
      <c r="CP125" s="32"/>
      <c r="CQ125" s="32"/>
      <c r="CR125" s="32"/>
      <c r="CS125" s="32"/>
      <c r="CT125" s="32"/>
      <c r="CU125" s="32"/>
      <c r="CV125" s="32"/>
      <c r="CW125" s="32"/>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row>
    <row r="126" spans="1:131">
      <c r="A126" s="11"/>
      <c r="B126" s="11" t="s">
        <v>658</v>
      </c>
      <c r="C126" s="393">
        <v>0</v>
      </c>
      <c r="D126" s="393">
        <v>0</v>
      </c>
      <c r="E126" s="393">
        <v>0</v>
      </c>
      <c r="F126" s="393">
        <v>0</v>
      </c>
      <c r="G126" s="393">
        <v>0</v>
      </c>
      <c r="H126" s="393">
        <v>0</v>
      </c>
      <c r="I126" s="393">
        <v>0</v>
      </c>
      <c r="J126" s="393">
        <v>0</v>
      </c>
      <c r="K126" s="393">
        <v>0</v>
      </c>
      <c r="L126" s="394">
        <v>0</v>
      </c>
      <c r="M126" s="393">
        <v>0</v>
      </c>
      <c r="N126" s="393">
        <v>0</v>
      </c>
      <c r="O126" s="393">
        <v>0</v>
      </c>
      <c r="P126" s="393">
        <v>0</v>
      </c>
      <c r="Q126" s="393">
        <v>0</v>
      </c>
      <c r="R126" s="393">
        <v>0</v>
      </c>
      <c r="S126" s="393">
        <v>0</v>
      </c>
      <c r="T126" s="393">
        <v>0</v>
      </c>
      <c r="U126" s="393">
        <v>0</v>
      </c>
      <c r="V126" s="393">
        <v>0</v>
      </c>
      <c r="W126" s="393">
        <v>0</v>
      </c>
      <c r="X126" s="393">
        <v>0</v>
      </c>
      <c r="Y126" s="393">
        <v>0</v>
      </c>
      <c r="Z126" s="393"/>
      <c r="AA126" s="393">
        <v>0</v>
      </c>
      <c r="AB126" s="393">
        <v>0</v>
      </c>
      <c r="AC126" s="393">
        <v>0</v>
      </c>
      <c r="AD126" s="393">
        <v>0</v>
      </c>
      <c r="AE126" s="393">
        <v>0</v>
      </c>
      <c r="AF126" s="393">
        <v>0</v>
      </c>
      <c r="AG126" s="393">
        <v>0</v>
      </c>
      <c r="AH126" s="393">
        <v>0</v>
      </c>
      <c r="AI126" s="393">
        <v>0</v>
      </c>
      <c r="AJ126" s="393">
        <v>0</v>
      </c>
      <c r="AK126" s="393">
        <v>0</v>
      </c>
      <c r="AL126" s="393">
        <v>0</v>
      </c>
      <c r="AM126" s="32"/>
      <c r="AN126" s="32"/>
      <c r="AO126" s="32"/>
      <c r="AP126" s="32"/>
      <c r="AQ126" s="32"/>
      <c r="AR126" s="32"/>
      <c r="AS126" s="32"/>
      <c r="AT126" s="32"/>
      <c r="AU126" s="32"/>
      <c r="AV126" s="32"/>
      <c r="AW126" s="32"/>
      <c r="AX126" s="32"/>
      <c r="AY126" s="32"/>
      <c r="AZ126" s="32"/>
      <c r="BA126" s="32"/>
      <c r="BB126" s="32"/>
      <c r="BC126" s="32"/>
      <c r="BD126" s="32"/>
      <c r="BE126" s="32"/>
      <c r="BF126" s="32"/>
      <c r="BG126" s="32"/>
      <c r="BH126" s="32"/>
      <c r="BI126" s="32"/>
      <c r="BJ126" s="32"/>
      <c r="BK126" s="32"/>
      <c r="BL126" s="32"/>
      <c r="BM126" s="32"/>
      <c r="BN126" s="32"/>
      <c r="BO126" s="32"/>
      <c r="BP126" s="32"/>
      <c r="BQ126" s="32"/>
      <c r="BR126" s="32"/>
      <c r="BS126" s="32"/>
      <c r="BT126" s="32"/>
      <c r="BU126" s="32"/>
      <c r="BV126" s="32"/>
      <c r="BW126" s="32"/>
      <c r="BX126" s="32"/>
      <c r="BY126" s="32"/>
      <c r="BZ126" s="32"/>
      <c r="CA126" s="32"/>
      <c r="CB126" s="32"/>
      <c r="CC126" s="32"/>
      <c r="CD126" s="32"/>
      <c r="CE126" s="32"/>
      <c r="CF126" s="32"/>
      <c r="CG126" s="32"/>
      <c r="CH126" s="32"/>
      <c r="CI126" s="32"/>
      <c r="CJ126" s="32"/>
      <c r="CK126" s="32"/>
      <c r="CL126" s="32"/>
      <c r="CM126" s="32"/>
      <c r="CN126" s="32"/>
      <c r="CO126" s="32"/>
      <c r="CP126" s="32"/>
      <c r="CQ126" s="32"/>
      <c r="CR126" s="32"/>
      <c r="CS126" s="32"/>
      <c r="CT126" s="32"/>
      <c r="CU126" s="32"/>
      <c r="CV126" s="32"/>
      <c r="CW126" s="32"/>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row>
    <row r="127" spans="1:131">
      <c r="A127" s="11"/>
      <c r="B127" s="11" t="s">
        <v>659</v>
      </c>
      <c r="C127" s="393">
        <v>0</v>
      </c>
      <c r="D127" s="393">
        <v>0</v>
      </c>
      <c r="E127" s="393">
        <v>0</v>
      </c>
      <c r="F127" s="393">
        <v>0</v>
      </c>
      <c r="G127" s="393">
        <v>0</v>
      </c>
      <c r="H127" s="393">
        <v>0</v>
      </c>
      <c r="I127" s="393">
        <v>0</v>
      </c>
      <c r="J127" s="393">
        <v>0</v>
      </c>
      <c r="K127" s="393">
        <v>0</v>
      </c>
      <c r="L127" s="394">
        <v>0</v>
      </c>
      <c r="M127" s="393">
        <v>0</v>
      </c>
      <c r="N127" s="393">
        <v>0</v>
      </c>
      <c r="O127" s="393">
        <v>0</v>
      </c>
      <c r="P127" s="393">
        <v>0</v>
      </c>
      <c r="Q127" s="393">
        <v>0</v>
      </c>
      <c r="R127" s="393">
        <v>0</v>
      </c>
      <c r="S127" s="393">
        <v>0</v>
      </c>
      <c r="T127" s="393">
        <v>0</v>
      </c>
      <c r="U127" s="393">
        <v>0</v>
      </c>
      <c r="V127" s="393">
        <v>0</v>
      </c>
      <c r="W127" s="393">
        <v>0</v>
      </c>
      <c r="X127" s="393">
        <v>0</v>
      </c>
      <c r="Y127" s="393">
        <v>0</v>
      </c>
      <c r="Z127" s="393"/>
      <c r="AA127" s="393">
        <v>0</v>
      </c>
      <c r="AB127" s="393">
        <v>0</v>
      </c>
      <c r="AC127" s="393">
        <v>0</v>
      </c>
      <c r="AD127" s="393">
        <v>0</v>
      </c>
      <c r="AE127" s="393">
        <v>0</v>
      </c>
      <c r="AF127" s="393">
        <v>0</v>
      </c>
      <c r="AG127" s="393">
        <v>0</v>
      </c>
      <c r="AH127" s="393">
        <v>0</v>
      </c>
      <c r="AI127" s="393">
        <v>0</v>
      </c>
      <c r="AJ127" s="393">
        <v>0</v>
      </c>
      <c r="AK127" s="393">
        <v>0</v>
      </c>
      <c r="AL127" s="393">
        <v>0</v>
      </c>
      <c r="AM127" s="32"/>
      <c r="AN127" s="32"/>
      <c r="AO127" s="32"/>
      <c r="AP127" s="32"/>
      <c r="AQ127" s="32"/>
      <c r="AR127" s="32"/>
      <c r="AS127" s="32"/>
      <c r="AT127" s="32"/>
      <c r="AU127" s="32"/>
      <c r="AV127" s="32"/>
      <c r="AW127" s="32"/>
      <c r="AX127" s="32"/>
      <c r="AY127" s="32"/>
      <c r="AZ127" s="32"/>
      <c r="BA127" s="32"/>
      <c r="BB127" s="32"/>
      <c r="BC127" s="32"/>
      <c r="BD127" s="32"/>
      <c r="BE127" s="32"/>
      <c r="BF127" s="32"/>
      <c r="BG127" s="32"/>
      <c r="BH127" s="32"/>
      <c r="BI127" s="32"/>
      <c r="BJ127" s="32"/>
      <c r="BK127" s="32"/>
      <c r="BL127" s="32"/>
      <c r="BM127" s="32"/>
      <c r="BN127" s="32"/>
      <c r="BO127" s="32"/>
      <c r="BP127" s="32"/>
      <c r="BQ127" s="32"/>
      <c r="BR127" s="32"/>
      <c r="BS127" s="32"/>
      <c r="BT127" s="32"/>
      <c r="BU127" s="32"/>
      <c r="BV127" s="32"/>
      <c r="BW127" s="32"/>
      <c r="BX127" s="32"/>
      <c r="BY127" s="32"/>
      <c r="BZ127" s="32"/>
      <c r="CA127" s="32"/>
      <c r="CB127" s="32"/>
      <c r="CC127" s="32"/>
      <c r="CD127" s="32"/>
      <c r="CE127" s="32"/>
      <c r="CF127" s="32"/>
      <c r="CG127" s="32"/>
      <c r="CH127" s="32"/>
      <c r="CI127" s="32"/>
      <c r="CJ127" s="32"/>
      <c r="CK127" s="32"/>
      <c r="CL127" s="32"/>
      <c r="CM127" s="32"/>
      <c r="CN127" s="32"/>
      <c r="CO127" s="32"/>
      <c r="CP127" s="32"/>
      <c r="CQ127" s="32"/>
      <c r="CR127" s="32"/>
      <c r="CS127" s="32"/>
      <c r="CT127" s="32"/>
      <c r="CU127" s="32"/>
      <c r="CV127" s="32"/>
      <c r="CW127" s="32"/>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row>
    <row r="128" spans="1:131">
      <c r="A128" s="11"/>
      <c r="B128" s="11" t="s">
        <v>660</v>
      </c>
      <c r="C128" s="393">
        <v>0</v>
      </c>
      <c r="D128" s="393">
        <v>0</v>
      </c>
      <c r="E128" s="393">
        <v>0</v>
      </c>
      <c r="F128" s="393">
        <v>0</v>
      </c>
      <c r="G128" s="393">
        <v>0</v>
      </c>
      <c r="H128" s="393">
        <v>0</v>
      </c>
      <c r="I128" s="393">
        <v>0</v>
      </c>
      <c r="J128" s="393">
        <v>0</v>
      </c>
      <c r="K128" s="393">
        <v>0</v>
      </c>
      <c r="L128" s="394">
        <v>0</v>
      </c>
      <c r="M128" s="393">
        <v>0</v>
      </c>
      <c r="N128" s="393">
        <v>0</v>
      </c>
      <c r="O128" s="393">
        <v>0</v>
      </c>
      <c r="P128" s="393">
        <v>0</v>
      </c>
      <c r="Q128" s="393">
        <v>0</v>
      </c>
      <c r="R128" s="393">
        <v>0</v>
      </c>
      <c r="S128" s="393">
        <v>0</v>
      </c>
      <c r="T128" s="393">
        <v>0</v>
      </c>
      <c r="U128" s="393">
        <v>0</v>
      </c>
      <c r="V128" s="393">
        <v>0</v>
      </c>
      <c r="W128" s="393">
        <v>0</v>
      </c>
      <c r="X128" s="393">
        <v>0</v>
      </c>
      <c r="Y128" s="393">
        <v>0</v>
      </c>
      <c r="Z128" s="393"/>
      <c r="AA128" s="393">
        <v>0</v>
      </c>
      <c r="AB128" s="393">
        <v>0</v>
      </c>
      <c r="AC128" s="393">
        <v>0</v>
      </c>
      <c r="AD128" s="393">
        <v>0</v>
      </c>
      <c r="AE128" s="393">
        <v>0</v>
      </c>
      <c r="AF128" s="393">
        <v>0</v>
      </c>
      <c r="AG128" s="393">
        <v>0</v>
      </c>
      <c r="AH128" s="393">
        <v>0</v>
      </c>
      <c r="AI128" s="393">
        <v>0</v>
      </c>
      <c r="AJ128" s="393">
        <v>0</v>
      </c>
      <c r="AK128" s="393">
        <v>0</v>
      </c>
      <c r="AL128" s="393">
        <v>0</v>
      </c>
      <c r="AM128" s="32"/>
      <c r="AN128" s="32"/>
      <c r="AO128" s="32"/>
      <c r="AP128" s="32"/>
      <c r="AQ128" s="32"/>
      <c r="AR128" s="32"/>
      <c r="AS128" s="32"/>
      <c r="AT128" s="32"/>
      <c r="AU128" s="32"/>
      <c r="AV128" s="32"/>
      <c r="AW128" s="32"/>
      <c r="AX128" s="32"/>
      <c r="AY128" s="32"/>
      <c r="AZ128" s="32"/>
      <c r="BA128" s="32"/>
      <c r="BB128" s="32"/>
      <c r="BC128" s="32"/>
      <c r="BD128" s="32"/>
      <c r="BE128" s="32"/>
      <c r="BF128" s="32"/>
      <c r="BG128" s="32"/>
      <c r="BH128" s="32"/>
      <c r="BI128" s="32"/>
      <c r="BJ128" s="32"/>
      <c r="BK128" s="32"/>
      <c r="BL128" s="32"/>
      <c r="BM128" s="32"/>
      <c r="BN128" s="32"/>
      <c r="BO128" s="32"/>
      <c r="BP128" s="32"/>
      <c r="BQ128" s="32"/>
      <c r="BR128" s="32"/>
      <c r="BS128" s="32"/>
      <c r="BT128" s="32"/>
      <c r="BU128" s="32"/>
      <c r="BV128" s="32"/>
      <c r="BW128" s="32"/>
      <c r="BX128" s="32"/>
      <c r="BY128" s="32"/>
      <c r="BZ128" s="32"/>
      <c r="CA128" s="32"/>
      <c r="CB128" s="32"/>
      <c r="CC128" s="32"/>
      <c r="CD128" s="32"/>
      <c r="CE128" s="32"/>
      <c r="CF128" s="32"/>
      <c r="CG128" s="32"/>
      <c r="CH128" s="32"/>
      <c r="CI128" s="32"/>
      <c r="CJ128" s="32"/>
      <c r="CK128" s="32"/>
      <c r="CL128" s="32"/>
      <c r="CM128" s="32"/>
      <c r="CN128" s="32"/>
      <c r="CO128" s="32"/>
      <c r="CP128" s="32"/>
      <c r="CQ128" s="32"/>
      <c r="CR128" s="32"/>
      <c r="CS128" s="32"/>
      <c r="CT128" s="32"/>
      <c r="CU128" s="32"/>
      <c r="CV128" s="32"/>
      <c r="CW128" s="32"/>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row>
    <row r="129" spans="1:131">
      <c r="A129" s="11"/>
      <c r="B129" s="11"/>
      <c r="C129" s="32"/>
      <c r="D129" s="32"/>
      <c r="E129" s="32"/>
      <c r="F129" s="32"/>
      <c r="G129" s="32"/>
      <c r="H129" s="32"/>
      <c r="I129" s="32"/>
      <c r="J129" s="32"/>
      <c r="K129" s="32"/>
      <c r="L129" s="32"/>
      <c r="M129" s="32"/>
      <c r="N129" s="32"/>
      <c r="O129" s="32"/>
      <c r="P129" s="32"/>
      <c r="Q129" s="32"/>
      <c r="R129" s="32"/>
      <c r="S129" s="32"/>
      <c r="T129" s="32"/>
      <c r="U129" s="32"/>
      <c r="V129" s="32"/>
      <c r="W129" s="32"/>
      <c r="X129" s="32"/>
      <c r="Y129" s="32"/>
      <c r="Z129" s="32"/>
      <c r="AA129" s="32"/>
      <c r="AB129" s="32"/>
      <c r="AC129" s="32"/>
      <c r="AD129" s="32"/>
      <c r="AE129" s="32"/>
      <c r="AF129" s="32"/>
      <c r="AG129" s="32"/>
      <c r="AH129" s="32"/>
      <c r="AI129" s="32"/>
      <c r="AJ129" s="32"/>
      <c r="AK129" s="32"/>
      <c r="AL129" s="32"/>
      <c r="AM129" s="32"/>
      <c r="AN129" s="32"/>
      <c r="AO129" s="32"/>
      <c r="AP129" s="32"/>
      <c r="AQ129" s="32"/>
      <c r="AR129" s="32"/>
      <c r="AS129" s="32"/>
      <c r="AT129" s="32"/>
      <c r="AU129" s="32"/>
      <c r="AV129" s="32"/>
      <c r="AW129" s="32"/>
      <c r="AX129" s="32"/>
      <c r="AY129" s="32"/>
      <c r="AZ129" s="32"/>
      <c r="BA129" s="32"/>
      <c r="BB129" s="32"/>
      <c r="BC129" s="32"/>
      <c r="BD129" s="32"/>
      <c r="BE129" s="32"/>
      <c r="BF129" s="32"/>
      <c r="BG129" s="32"/>
      <c r="BH129" s="32"/>
      <c r="BI129" s="32"/>
      <c r="BJ129" s="32"/>
      <c r="BK129" s="32"/>
      <c r="BL129" s="32"/>
      <c r="BM129" s="32"/>
      <c r="BN129" s="32"/>
      <c r="BO129" s="32"/>
      <c r="BP129" s="32"/>
      <c r="BQ129" s="32"/>
      <c r="BR129" s="32"/>
      <c r="BS129" s="32"/>
      <c r="BT129" s="32"/>
      <c r="BU129" s="32"/>
      <c r="BV129" s="32"/>
      <c r="BW129" s="32"/>
      <c r="BX129" s="32"/>
      <c r="BY129" s="32"/>
      <c r="BZ129" s="32"/>
      <c r="CA129" s="32"/>
      <c r="CB129" s="32"/>
      <c r="CC129" s="32"/>
      <c r="CD129" s="32"/>
      <c r="CE129" s="32"/>
      <c r="CF129" s="32"/>
      <c r="CG129" s="32"/>
      <c r="CH129" s="32"/>
      <c r="CI129" s="32"/>
      <c r="CJ129" s="32"/>
      <c r="CK129" s="32"/>
      <c r="CL129" s="32"/>
      <c r="CM129" s="32"/>
      <c r="CN129" s="32"/>
      <c r="CO129" s="32"/>
      <c r="CP129" s="32"/>
      <c r="CQ129" s="32"/>
      <c r="CR129" s="32"/>
      <c r="CS129" s="32"/>
      <c r="CT129" s="32"/>
      <c r="CU129" s="32"/>
      <c r="CV129" s="32"/>
      <c r="CW129" s="32"/>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row>
    <row r="130" spans="1:131">
      <c r="A130" s="11"/>
      <c r="B130" s="11"/>
      <c r="C130" s="32"/>
      <c r="D130" s="32"/>
      <c r="E130" s="32"/>
      <c r="F130" s="32"/>
      <c r="G130" s="32"/>
      <c r="H130" s="32"/>
      <c r="I130" s="32"/>
      <c r="J130" s="32"/>
      <c r="K130" s="32"/>
      <c r="L130" s="32"/>
      <c r="M130" s="32"/>
      <c r="N130" s="32"/>
      <c r="O130" s="32"/>
      <c r="P130" s="32"/>
      <c r="Q130" s="32"/>
      <c r="R130" s="32"/>
      <c r="S130" s="32"/>
      <c r="T130" s="32"/>
      <c r="U130" s="32"/>
      <c r="V130" s="32"/>
      <c r="W130" s="32"/>
      <c r="X130" s="32"/>
      <c r="Y130" s="32"/>
      <c r="Z130" s="32"/>
      <c r="AA130" s="32"/>
      <c r="AB130" s="32"/>
      <c r="AC130" s="32"/>
      <c r="AD130" s="32"/>
      <c r="AE130" s="32"/>
      <c r="AF130" s="32"/>
      <c r="AG130" s="32"/>
      <c r="AH130" s="32"/>
      <c r="AI130" s="32"/>
      <c r="AJ130" s="32"/>
      <c r="AK130" s="32"/>
      <c r="AL130" s="32"/>
      <c r="AM130" s="32"/>
      <c r="AN130" s="32"/>
      <c r="AO130" s="32"/>
      <c r="AP130" s="32"/>
      <c r="AQ130" s="32"/>
      <c r="AR130" s="32"/>
      <c r="AS130" s="32"/>
      <c r="AT130" s="32"/>
      <c r="AU130" s="32"/>
      <c r="AV130" s="32"/>
      <c r="AW130" s="32"/>
      <c r="AX130" s="32"/>
      <c r="AY130" s="32"/>
      <c r="AZ130" s="32"/>
      <c r="BA130" s="32"/>
      <c r="BB130" s="32"/>
      <c r="BC130" s="32"/>
      <c r="BD130" s="32"/>
      <c r="BE130" s="32"/>
      <c r="BF130" s="32"/>
      <c r="BG130" s="32"/>
      <c r="BH130" s="32"/>
      <c r="BI130" s="32"/>
      <c r="BJ130" s="32"/>
      <c r="BK130" s="32"/>
      <c r="BL130" s="32"/>
      <c r="BM130" s="32"/>
      <c r="BN130" s="32"/>
      <c r="BO130" s="32"/>
      <c r="BP130" s="32"/>
      <c r="BQ130" s="32"/>
      <c r="BR130" s="32"/>
      <c r="BS130" s="32"/>
      <c r="BT130" s="32"/>
      <c r="BU130" s="32"/>
      <c r="BV130" s="32"/>
      <c r="BW130" s="32"/>
      <c r="BX130" s="32"/>
      <c r="BY130" s="32"/>
      <c r="BZ130" s="32"/>
      <c r="CA130" s="32"/>
      <c r="CB130" s="32"/>
      <c r="CC130" s="32"/>
      <c r="CD130" s="32"/>
      <c r="CE130" s="32"/>
      <c r="CF130" s="32"/>
      <c r="CG130" s="32"/>
      <c r="CH130" s="32"/>
      <c r="CI130" s="32"/>
      <c r="CJ130" s="32"/>
      <c r="CK130" s="32"/>
      <c r="CL130" s="32"/>
      <c r="CM130" s="32"/>
      <c r="CN130" s="32"/>
      <c r="CO130" s="32"/>
      <c r="CP130" s="32"/>
      <c r="CQ130" s="32"/>
      <c r="CR130" s="32"/>
      <c r="CS130" s="32"/>
      <c r="CT130" s="32"/>
      <c r="CU130" s="32"/>
      <c r="CV130" s="32"/>
      <c r="CW130" s="32"/>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row>
    <row r="131" spans="1:131" ht="13.5" thickBot="1">
      <c r="A131" s="367" t="s">
        <v>661</v>
      </c>
      <c r="B131" s="369"/>
      <c r="C131" s="32"/>
      <c r="D131" s="32"/>
      <c r="E131" s="32"/>
      <c r="F131" s="32"/>
      <c r="G131" s="32"/>
      <c r="H131" s="32"/>
      <c r="I131" s="32"/>
      <c r="J131" s="32"/>
      <c r="K131" s="32"/>
      <c r="L131" s="32"/>
      <c r="M131" s="32"/>
      <c r="N131" s="32"/>
      <c r="O131" s="32"/>
      <c r="P131" s="32"/>
      <c r="Q131" s="32"/>
      <c r="R131" s="32"/>
      <c r="S131" s="32"/>
      <c r="T131" s="32"/>
      <c r="U131" s="32"/>
      <c r="V131" s="32"/>
      <c r="W131" s="32"/>
      <c r="X131" s="32"/>
      <c r="Y131" s="32"/>
      <c r="Z131" s="32"/>
      <c r="AA131" s="32"/>
      <c r="AB131" s="32"/>
      <c r="AC131" s="32"/>
      <c r="AD131" s="32"/>
      <c r="AE131" s="32"/>
      <c r="AF131" s="32"/>
      <c r="AG131" s="32"/>
      <c r="AH131" s="32"/>
      <c r="AI131" s="32"/>
      <c r="AJ131" s="32"/>
      <c r="AK131" s="32"/>
      <c r="AL131" s="32"/>
      <c r="AM131" s="32"/>
      <c r="AN131" s="32"/>
      <c r="AO131" s="32"/>
      <c r="AP131" s="32"/>
      <c r="AQ131" s="32"/>
      <c r="AR131" s="32"/>
      <c r="AS131" s="32"/>
      <c r="AT131" s="32"/>
      <c r="AU131" s="32"/>
      <c r="AV131" s="32"/>
      <c r="AW131" s="32"/>
      <c r="AX131" s="32"/>
      <c r="AY131" s="32"/>
      <c r="AZ131" s="32"/>
      <c r="BA131" s="32"/>
      <c r="BB131" s="32"/>
      <c r="BC131" s="32"/>
      <c r="BD131" s="32"/>
      <c r="BE131" s="32"/>
      <c r="BF131" s="32"/>
      <c r="BG131" s="32"/>
      <c r="BH131" s="32"/>
      <c r="BI131" s="32"/>
      <c r="BJ131" s="32"/>
      <c r="BK131" s="32"/>
      <c r="BL131" s="32"/>
      <c r="BM131" s="32"/>
      <c r="BN131" s="32"/>
      <c r="BO131" s="32"/>
      <c r="BP131" s="32"/>
      <c r="BQ131" s="32"/>
      <c r="BR131" s="32"/>
      <c r="BS131" s="32"/>
      <c r="BT131" s="32"/>
      <c r="BU131" s="32"/>
      <c r="BV131" s="32"/>
      <c r="BW131" s="32"/>
      <c r="BX131" s="32"/>
      <c r="BY131" s="32"/>
      <c r="BZ131" s="32"/>
      <c r="CA131" s="32"/>
      <c r="CB131" s="32"/>
      <c r="CC131" s="32"/>
      <c r="CD131" s="32"/>
      <c r="CE131" s="32"/>
      <c r="CF131" s="32"/>
      <c r="CG131" s="32"/>
      <c r="CH131" s="32"/>
      <c r="CI131" s="32"/>
      <c r="CJ131" s="32"/>
      <c r="CK131" s="32"/>
      <c r="CL131" s="32"/>
      <c r="CM131" s="32"/>
      <c r="CN131" s="32"/>
      <c r="CO131" s="32"/>
      <c r="CP131" s="32"/>
      <c r="CQ131" s="32"/>
      <c r="CR131" s="32"/>
      <c r="CS131" s="32"/>
      <c r="CT131" s="32"/>
      <c r="CU131" s="32"/>
      <c r="CV131" s="32"/>
      <c r="CW131" s="32"/>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row>
    <row r="132" spans="1:131" ht="13.5" thickBot="1">
      <c r="A132" s="395"/>
      <c r="B132" s="396"/>
      <c r="C132" s="397"/>
      <c r="D132" s="397"/>
      <c r="E132" s="397"/>
      <c r="F132" s="397"/>
      <c r="G132" s="397"/>
      <c r="H132" s="397"/>
      <c r="I132" s="397"/>
      <c r="J132" s="397"/>
      <c r="K132" s="397"/>
      <c r="L132" s="397"/>
      <c r="M132" s="397"/>
      <c r="N132" s="397"/>
      <c r="O132" s="398" t="s">
        <v>956</v>
      </c>
      <c r="P132" s="399"/>
      <c r="Q132" s="399"/>
      <c r="R132" s="399"/>
      <c r="S132" s="399"/>
      <c r="T132" s="399"/>
      <c r="U132" s="399"/>
      <c r="V132" s="399"/>
      <c r="W132" s="399"/>
      <c r="X132" s="399"/>
      <c r="Y132" s="399"/>
      <c r="Z132" s="387"/>
      <c r="AA132" s="397"/>
      <c r="AB132" s="398" t="s">
        <v>957</v>
      </c>
      <c r="AC132" s="399"/>
      <c r="AD132" s="399"/>
      <c r="AE132" s="399"/>
      <c r="AF132" s="399"/>
      <c r="AG132" s="399"/>
      <c r="AH132" s="399"/>
      <c r="AI132" s="399"/>
      <c r="AJ132" s="399"/>
      <c r="AK132" s="399"/>
      <c r="AL132" s="399"/>
      <c r="AM132" s="387"/>
      <c r="AN132" s="32"/>
      <c r="AO132" s="32"/>
      <c r="AP132" s="32"/>
      <c r="AQ132" s="32"/>
      <c r="AR132" s="32"/>
      <c r="AS132" s="32"/>
      <c r="AT132" s="32"/>
      <c r="AU132" s="32"/>
      <c r="AV132" s="32"/>
      <c r="AW132" s="32"/>
      <c r="AX132" s="32"/>
      <c r="AY132" s="32"/>
      <c r="AZ132" s="32"/>
      <c r="BA132" s="32"/>
      <c r="BB132" s="32"/>
      <c r="BC132" s="32"/>
      <c r="BD132" s="32"/>
      <c r="BE132" s="32"/>
      <c r="BF132" s="32"/>
      <c r="BG132" s="32"/>
      <c r="BH132" s="32"/>
      <c r="BI132" s="32"/>
      <c r="BJ132" s="32"/>
      <c r="BK132" s="32"/>
      <c r="BL132" s="32"/>
      <c r="BM132" s="32"/>
      <c r="BN132" s="32"/>
      <c r="BO132" s="32"/>
      <c r="BP132" s="32"/>
      <c r="BQ132" s="32"/>
      <c r="BR132" s="32"/>
      <c r="BS132" s="32"/>
      <c r="BT132" s="32"/>
      <c r="BU132" s="32"/>
      <c r="BV132" s="32"/>
      <c r="BW132" s="32"/>
      <c r="BX132" s="32"/>
      <c r="BY132" s="32"/>
      <c r="BZ132" s="32"/>
      <c r="CA132" s="32"/>
      <c r="CB132" s="32"/>
      <c r="CC132" s="32"/>
      <c r="CD132" s="32"/>
      <c r="CE132" s="32"/>
      <c r="CF132" s="32"/>
      <c r="CG132" s="32"/>
      <c r="CH132" s="32"/>
      <c r="CI132" s="32"/>
      <c r="CJ132" s="32"/>
      <c r="CK132" s="32"/>
      <c r="CL132" s="32"/>
      <c r="CM132" s="32"/>
      <c r="CN132" s="32"/>
      <c r="CO132" s="32"/>
      <c r="CP132" s="32"/>
      <c r="CQ132" s="32"/>
      <c r="CR132" s="32"/>
      <c r="CS132" s="32"/>
      <c r="CT132" s="32"/>
      <c r="CU132" s="32"/>
      <c r="CV132" s="32"/>
      <c r="CW132" s="32"/>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row>
    <row r="133" spans="1:131" ht="102">
      <c r="A133" s="378" t="s">
        <v>308</v>
      </c>
      <c r="B133" s="379" t="s">
        <v>309</v>
      </c>
      <c r="C133" s="380" t="s">
        <v>662</v>
      </c>
      <c r="D133" s="380" t="s">
        <v>616</v>
      </c>
      <c r="E133" s="380" t="s">
        <v>617</v>
      </c>
      <c r="F133" s="380" t="s">
        <v>618</v>
      </c>
      <c r="G133" s="380" t="s">
        <v>619</v>
      </c>
      <c r="H133" s="380" t="s">
        <v>620</v>
      </c>
      <c r="I133" s="380" t="s">
        <v>621</v>
      </c>
      <c r="J133" s="380" t="s">
        <v>622</v>
      </c>
      <c r="K133" s="380" t="s">
        <v>372</v>
      </c>
      <c r="L133" s="380" t="s">
        <v>371</v>
      </c>
      <c r="M133" s="380" t="s">
        <v>623</v>
      </c>
      <c r="N133" s="380" t="s">
        <v>958</v>
      </c>
      <c r="O133" s="380" t="s">
        <v>624</v>
      </c>
      <c r="P133" s="380" t="s">
        <v>625</v>
      </c>
      <c r="Q133" s="380" t="s">
        <v>626</v>
      </c>
      <c r="R133" s="380" t="s">
        <v>627</v>
      </c>
      <c r="S133" s="380" t="s">
        <v>628</v>
      </c>
      <c r="T133" s="380" t="s">
        <v>629</v>
      </c>
      <c r="U133" s="380" t="s">
        <v>630</v>
      </c>
      <c r="V133" s="380" t="s">
        <v>631</v>
      </c>
      <c r="W133" s="380" t="s">
        <v>632</v>
      </c>
      <c r="X133" s="380" t="s">
        <v>633</v>
      </c>
      <c r="Y133" s="380" t="s">
        <v>634</v>
      </c>
      <c r="Z133" s="380" t="s">
        <v>635</v>
      </c>
      <c r="AA133" s="380"/>
      <c r="AB133" s="380" t="s">
        <v>624</v>
      </c>
      <c r="AC133" s="380" t="s">
        <v>625</v>
      </c>
      <c r="AD133" s="380" t="s">
        <v>626</v>
      </c>
      <c r="AE133" s="380" t="s">
        <v>627</v>
      </c>
      <c r="AF133" s="380" t="s">
        <v>628</v>
      </c>
      <c r="AG133" s="380" t="s">
        <v>629</v>
      </c>
      <c r="AH133" s="380" t="s">
        <v>630</v>
      </c>
      <c r="AI133" s="380" t="s">
        <v>631</v>
      </c>
      <c r="AJ133" s="380" t="s">
        <v>632</v>
      </c>
      <c r="AK133" s="380" t="s">
        <v>633</v>
      </c>
      <c r="AL133" s="380" t="s">
        <v>634</v>
      </c>
      <c r="AM133" s="380" t="s">
        <v>635</v>
      </c>
      <c r="AN133" s="32"/>
      <c r="AO133" s="32"/>
      <c r="AP133" s="32"/>
      <c r="AQ133" s="32"/>
      <c r="AR133" s="32"/>
      <c r="AS133" s="32"/>
      <c r="AT133" s="32"/>
      <c r="AU133" s="32"/>
      <c r="AV133" s="32"/>
      <c r="AW133" s="32"/>
      <c r="AX133" s="32"/>
      <c r="AY133" s="32"/>
      <c r="AZ133" s="32"/>
      <c r="BA133" s="32"/>
      <c r="BB133" s="32"/>
      <c r="BC133" s="32"/>
      <c r="BD133" s="32"/>
      <c r="BE133" s="32"/>
      <c r="BF133" s="32"/>
      <c r="BG133" s="32"/>
      <c r="BH133" s="32"/>
      <c r="BI133" s="32"/>
      <c r="BJ133" s="32"/>
      <c r="BK133" s="32"/>
      <c r="BL133" s="32"/>
      <c r="BM133" s="32"/>
      <c r="BN133" s="32"/>
      <c r="BO133" s="32"/>
      <c r="BP133" s="32"/>
      <c r="BQ133" s="32"/>
      <c r="BR133" s="32"/>
      <c r="BS133" s="32"/>
      <c r="BT133" s="32"/>
      <c r="BU133" s="32"/>
      <c r="BV133" s="32"/>
      <c r="BW133" s="32"/>
      <c r="BX133" s="32"/>
      <c r="BY133" s="32"/>
      <c r="BZ133" s="32"/>
      <c r="CA133" s="32"/>
      <c r="CB133" s="32"/>
      <c r="CC133" s="32"/>
      <c r="CD133" s="32"/>
      <c r="CE133" s="32"/>
      <c r="CF133" s="32"/>
      <c r="CG133" s="32"/>
      <c r="CH133" s="32"/>
      <c r="CI133" s="32"/>
      <c r="CJ133" s="32"/>
      <c r="CK133" s="32"/>
      <c r="CL133" s="32"/>
      <c r="CM133" s="32"/>
      <c r="CN133" s="32"/>
      <c r="CO133" s="32"/>
      <c r="CP133" s="32"/>
      <c r="CQ133" s="32"/>
      <c r="CR133" s="32"/>
      <c r="CS133" s="32"/>
      <c r="CT133" s="32"/>
      <c r="CU133" s="32"/>
      <c r="CV133" s="32"/>
      <c r="CW133" s="32"/>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row>
    <row r="134" spans="1:131">
      <c r="A134" s="11" t="s">
        <v>663</v>
      </c>
      <c r="B134" s="11"/>
      <c r="C134" s="166">
        <v>327.31145340319665</v>
      </c>
      <c r="D134" s="166">
        <v>-8.5918959509302795</v>
      </c>
      <c r="E134" s="166">
        <v>-1.7183791901860559</v>
      </c>
      <c r="F134" s="166">
        <v>-10.310275141116335</v>
      </c>
      <c r="G134" s="166">
        <v>-470.74212778866809</v>
      </c>
      <c r="H134" s="166">
        <v>215.83401368381348</v>
      </c>
      <c r="I134" s="166">
        <v>-275.93904611984783</v>
      </c>
      <c r="J134" s="166">
        <v>-14.913956936814882</v>
      </c>
      <c r="K134" s="166">
        <v>-119.07831740351027</v>
      </c>
      <c r="L134" s="382">
        <v>9999</v>
      </c>
      <c r="M134" s="166">
        <v>3.109467045598445</v>
      </c>
      <c r="N134" s="166">
        <v>7.6399321391375424E-2</v>
      </c>
      <c r="O134" s="166">
        <v>13.405847760628477</v>
      </c>
      <c r="P134" s="166">
        <v>9.9104403633442892</v>
      </c>
      <c r="Q134" s="166">
        <v>9.2320322947720754</v>
      </c>
      <c r="R134" s="166">
        <v>5.2998660086111791</v>
      </c>
      <c r="S134" s="166">
        <v>4.2573236582329095</v>
      </c>
      <c r="T134" s="166">
        <v>3.3024378660413309</v>
      </c>
      <c r="U134" s="166">
        <v>3.4460681308315255</v>
      </c>
      <c r="V134" s="166">
        <v>5.0158659436189756</v>
      </c>
      <c r="W134" s="166">
        <v>6.3371529039448617</v>
      </c>
      <c r="X134" s="166">
        <v>10.338349500632882</v>
      </c>
      <c r="Y134" s="166">
        <v>11.972086583086911</v>
      </c>
      <c r="Z134" s="166">
        <v>14.102876580967084</v>
      </c>
      <c r="AA134" s="166"/>
      <c r="AB134" s="166">
        <v>22.218084772927305</v>
      </c>
      <c r="AC134" s="166">
        <v>19.272326811572601</v>
      </c>
      <c r="AD134" s="166">
        <v>19.428590693501764</v>
      </c>
      <c r="AE134" s="166">
        <v>18.500875203589072</v>
      </c>
      <c r="AF134" s="166">
        <v>17.04024781160178</v>
      </c>
      <c r="AG134" s="166">
        <v>15.482647792872569</v>
      </c>
      <c r="AH134" s="166">
        <v>16.906651918914203</v>
      </c>
      <c r="AI134" s="166">
        <v>18.255862401883515</v>
      </c>
      <c r="AJ134" s="166">
        <v>19.677937557907565</v>
      </c>
      <c r="AK134" s="166">
        <v>20.308746339638414</v>
      </c>
      <c r="AL134" s="166">
        <v>21.289237818974108</v>
      </c>
      <c r="AM134" s="32">
        <v>22.309896685101304</v>
      </c>
      <c r="AN134" s="32"/>
      <c r="AO134" s="32"/>
      <c r="AP134" s="32"/>
      <c r="AQ134" s="32"/>
      <c r="AR134" s="32"/>
      <c r="AS134" s="32"/>
      <c r="AT134" s="32"/>
      <c r="AU134" s="32"/>
      <c r="AV134" s="32"/>
      <c r="AW134" s="32"/>
      <c r="AX134" s="32"/>
      <c r="AY134" s="32"/>
      <c r="AZ134" s="32"/>
      <c r="BA134" s="32"/>
      <c r="BB134" s="32"/>
      <c r="BC134" s="32"/>
      <c r="BD134" s="32"/>
      <c r="BE134" s="32"/>
      <c r="BF134" s="32"/>
      <c r="BG134" s="32"/>
      <c r="BH134" s="32"/>
      <c r="BI134" s="32"/>
      <c r="BJ134" s="32"/>
      <c r="BK134" s="32"/>
      <c r="BL134" s="32"/>
      <c r="BM134" s="32"/>
      <c r="BN134" s="32"/>
      <c r="BO134" s="32"/>
      <c r="BP134" s="32"/>
      <c r="BQ134" s="32"/>
      <c r="BR134" s="32"/>
      <c r="BS134" s="32"/>
      <c r="BT134" s="32"/>
      <c r="BU134" s="32"/>
      <c r="BV134" s="32"/>
      <c r="BW134" s="32"/>
      <c r="BX134" s="32"/>
      <c r="BY134" s="32"/>
      <c r="BZ134" s="32"/>
      <c r="CA134" s="32"/>
      <c r="CB134" s="32"/>
      <c r="CC134" s="32"/>
      <c r="CD134" s="32"/>
      <c r="CE134" s="32"/>
      <c r="CF134" s="32"/>
      <c r="CG134" s="32"/>
      <c r="CH134" s="32"/>
      <c r="CI134" s="32"/>
      <c r="CJ134" s="32"/>
      <c r="CK134" s="32"/>
      <c r="CL134" s="32"/>
      <c r="CM134" s="32"/>
      <c r="CN134" s="32"/>
      <c r="CO134" s="32"/>
      <c r="CP134" s="32"/>
      <c r="CQ134" s="32"/>
      <c r="CR134" s="32"/>
      <c r="CS134" s="32"/>
      <c r="CT134" s="32"/>
      <c r="CU134" s="32"/>
      <c r="CV134" s="32"/>
      <c r="CW134" s="32"/>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row>
    <row r="135" spans="1:131">
      <c r="A135" s="11" t="s">
        <v>665</v>
      </c>
      <c r="B135" s="11"/>
      <c r="C135" s="166">
        <v>714.55317292247162</v>
      </c>
      <c r="D135" s="166">
        <v>2.0115772129567233</v>
      </c>
      <c r="E135" s="166">
        <v>0.40231544259134466</v>
      </c>
      <c r="F135" s="166">
        <v>2.413892655548068</v>
      </c>
      <c r="G135" s="166">
        <v>-454.17738425940229</v>
      </c>
      <c r="H135" s="166">
        <v>471.18693128156463</v>
      </c>
      <c r="I135" s="166">
        <v>29.592898700759623</v>
      </c>
      <c r="J135" s="166">
        <v>-13.074224745945859</v>
      </c>
      <c r="K135" s="166">
        <v>-60.021736881709074</v>
      </c>
      <c r="L135" s="382">
        <v>251.59311198510389</v>
      </c>
      <c r="M135" s="166">
        <v>6.788273127714926</v>
      </c>
      <c r="N135" s="166">
        <v>0.16678725092483371</v>
      </c>
      <c r="O135" s="166">
        <v>29.266287364752312</v>
      </c>
      <c r="P135" s="166">
        <v>21.635468398850211</v>
      </c>
      <c r="Q135" s="166">
        <v>20.154436699854532</v>
      </c>
      <c r="R135" s="166">
        <v>11.570130018799055</v>
      </c>
      <c r="S135" s="166">
        <v>9.2941572820577623</v>
      </c>
      <c r="T135" s="166">
        <v>7.2095474540338929</v>
      </c>
      <c r="U135" s="166">
        <v>7.5231064828012189</v>
      </c>
      <c r="V135" s="166">
        <v>10.950129876914666</v>
      </c>
      <c r="W135" s="166">
        <v>13.834629579034559</v>
      </c>
      <c r="X135" s="166">
        <v>22.569636233776009</v>
      </c>
      <c r="Y135" s="166">
        <v>26.136245357443258</v>
      </c>
      <c r="Z135" s="166">
        <v>30.787970000702796</v>
      </c>
      <c r="AA135" s="166"/>
      <c r="AB135" s="166">
        <v>48.504269574700466</v>
      </c>
      <c r="AC135" s="166">
        <v>42.07338951822188</v>
      </c>
      <c r="AD135" s="166">
        <v>42.414528978771465</v>
      </c>
      <c r="AE135" s="166">
        <v>40.389234599384601</v>
      </c>
      <c r="AF135" s="166">
        <v>37.200540997158818</v>
      </c>
      <c r="AG135" s="166">
        <v>33.800146590073922</v>
      </c>
      <c r="AH135" s="166">
        <v>36.908887991995798</v>
      </c>
      <c r="AI135" s="166">
        <v>39.854347497069654</v>
      </c>
      <c r="AJ135" s="166">
        <v>42.958877767263004</v>
      </c>
      <c r="AK135" s="166">
        <v>44.335995530196548</v>
      </c>
      <c r="AL135" s="166">
        <v>46.476505097760381</v>
      </c>
      <c r="AM135" s="32">
        <v>48.70470403085497</v>
      </c>
      <c r="AN135" s="32"/>
      <c r="AO135" s="32"/>
      <c r="AP135" s="32"/>
      <c r="AQ135" s="32"/>
      <c r="AR135" s="32"/>
      <c r="AS135" s="32"/>
      <c r="AT135" s="32"/>
      <c r="AU135" s="32"/>
      <c r="AV135" s="32"/>
      <c r="AW135" s="32"/>
      <c r="AX135" s="32"/>
      <c r="AY135" s="32"/>
      <c r="AZ135" s="32"/>
      <c r="BA135" s="32"/>
      <c r="BB135" s="32"/>
      <c r="BC135" s="32"/>
      <c r="BD135" s="32"/>
      <c r="BE135" s="32"/>
      <c r="BF135" s="32"/>
      <c r="BG135" s="32"/>
      <c r="BH135" s="32"/>
      <c r="BI135" s="32"/>
      <c r="BJ135" s="32"/>
      <c r="BK135" s="32"/>
      <c r="BL135" s="32"/>
      <c r="BM135" s="32"/>
      <c r="BN135" s="32"/>
      <c r="BO135" s="32"/>
      <c r="BP135" s="32"/>
      <c r="BQ135" s="32"/>
      <c r="BR135" s="32"/>
      <c r="BS135" s="32"/>
      <c r="BT135" s="32"/>
      <c r="BU135" s="32"/>
      <c r="BV135" s="32"/>
      <c r="BW135" s="32"/>
      <c r="BX135" s="32"/>
      <c r="BY135" s="32"/>
      <c r="BZ135" s="32"/>
      <c r="CA135" s="32"/>
      <c r="CB135" s="32"/>
      <c r="CC135" s="32"/>
      <c r="CD135" s="32"/>
      <c r="CE135" s="32"/>
      <c r="CF135" s="32"/>
      <c r="CG135" s="32"/>
      <c r="CH135" s="32"/>
      <c r="CI135" s="32"/>
      <c r="CJ135" s="32"/>
      <c r="CK135" s="32"/>
      <c r="CL135" s="32"/>
      <c r="CM135" s="32"/>
      <c r="CN135" s="32"/>
      <c r="CO135" s="32"/>
      <c r="CP135" s="32"/>
      <c r="CQ135" s="32"/>
      <c r="CR135" s="32"/>
      <c r="CS135" s="32"/>
      <c r="CT135" s="32"/>
      <c r="CU135" s="32"/>
      <c r="CV135" s="32"/>
      <c r="CW135" s="32"/>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row>
    <row r="136" spans="1:131">
      <c r="A136" s="11" t="s">
        <v>664</v>
      </c>
      <c r="B136" s="11"/>
      <c r="C136" s="166">
        <v>424.12188328301545</v>
      </c>
      <c r="D136" s="166">
        <v>2.0115772129567233</v>
      </c>
      <c r="E136" s="166">
        <v>0.40231544259134466</v>
      </c>
      <c r="F136" s="166">
        <v>2.413892655548068</v>
      </c>
      <c r="G136" s="166">
        <v>-454.17738425940229</v>
      </c>
      <c r="H136" s="166">
        <v>279.67224308325115</v>
      </c>
      <c r="I136" s="166">
        <v>49.857601071931967</v>
      </c>
      <c r="J136" s="166">
        <v>-12.952202725261527</v>
      </c>
      <c r="K136" s="166">
        <v>-92.048554693123435</v>
      </c>
      <c r="L136" s="382">
        <v>199.73001233832747</v>
      </c>
      <c r="M136" s="166">
        <v>4.0291685661275602</v>
      </c>
      <c r="N136" s="166">
        <v>9.8996303774740002E-2</v>
      </c>
      <c r="O136" s="166">
        <v>17.370957661659439</v>
      </c>
      <c r="P136" s="166">
        <v>12.841697372220771</v>
      </c>
      <c r="Q136" s="166">
        <v>11.962633396042692</v>
      </c>
      <c r="R136" s="166">
        <v>6.8674320111581491</v>
      </c>
      <c r="S136" s="166">
        <v>5.5165320641891231</v>
      </c>
      <c r="T136" s="166">
        <v>4.2792152630394726</v>
      </c>
      <c r="U136" s="166">
        <v>4.46532771882395</v>
      </c>
      <c r="V136" s="166">
        <v>6.4994319269428988</v>
      </c>
      <c r="W136" s="166">
        <v>8.2115220727172868</v>
      </c>
      <c r="X136" s="166">
        <v>13.396171183918664</v>
      </c>
      <c r="Y136" s="166">
        <v>15.513126276675999</v>
      </c>
      <c r="Z136" s="166">
        <v>18.274149935901015</v>
      </c>
      <c r="AA136" s="166"/>
      <c r="AB136" s="166">
        <v>28.789630973370599</v>
      </c>
      <c r="AC136" s="166">
        <v>24.972592488234923</v>
      </c>
      <c r="AD136" s="166">
        <v>25.175075264819196</v>
      </c>
      <c r="AE136" s="166">
        <v>23.972965052537958</v>
      </c>
      <c r="AF136" s="166">
        <v>22.080321107991043</v>
      </c>
      <c r="AG136" s="166">
        <v>20.062022492172908</v>
      </c>
      <c r="AH136" s="166">
        <v>21.907210937184605</v>
      </c>
      <c r="AI136" s="166">
        <v>23.655483675680056</v>
      </c>
      <c r="AJ136" s="166">
        <v>25.498172610246431</v>
      </c>
      <c r="AK136" s="166">
        <v>26.315558637277952</v>
      </c>
      <c r="AL136" s="166">
        <v>27.586054638670678</v>
      </c>
      <c r="AM136" s="32">
        <v>28.908598521539727</v>
      </c>
      <c r="AN136" s="32"/>
      <c r="AO136" s="32"/>
      <c r="AP136" s="32"/>
      <c r="AQ136" s="32"/>
      <c r="AR136" s="32"/>
      <c r="AS136" s="32"/>
      <c r="AT136" s="32"/>
      <c r="AU136" s="32"/>
      <c r="AV136" s="32"/>
      <c r="AW136" s="32"/>
      <c r="AX136" s="32"/>
      <c r="AY136" s="32"/>
      <c r="AZ136" s="32"/>
      <c r="BA136" s="32"/>
      <c r="BB136" s="32"/>
      <c r="BC136" s="32"/>
      <c r="BD136" s="32"/>
      <c r="BE136" s="32"/>
      <c r="BF136" s="32"/>
      <c r="BG136" s="32"/>
      <c r="BH136" s="32"/>
      <c r="BI136" s="32"/>
      <c r="BJ136" s="32"/>
      <c r="BK136" s="32"/>
      <c r="BL136" s="32"/>
      <c r="BM136" s="32"/>
      <c r="BN136" s="32"/>
      <c r="BO136" s="32"/>
      <c r="BP136" s="32"/>
      <c r="BQ136" s="32"/>
      <c r="BR136" s="32"/>
      <c r="BS136" s="32"/>
      <c r="BT136" s="32"/>
      <c r="BU136" s="32"/>
      <c r="BV136" s="32"/>
      <c r="BW136" s="32"/>
      <c r="BX136" s="32"/>
      <c r="BY136" s="32"/>
      <c r="BZ136" s="32"/>
      <c r="CA136" s="32"/>
      <c r="CB136" s="32"/>
      <c r="CC136" s="32"/>
      <c r="CD136" s="32"/>
      <c r="CE136" s="32"/>
      <c r="CF136" s="32"/>
      <c r="CG136" s="32"/>
      <c r="CH136" s="32"/>
      <c r="CI136" s="32"/>
      <c r="CJ136" s="32"/>
      <c r="CK136" s="32"/>
      <c r="CL136" s="32"/>
      <c r="CM136" s="32"/>
      <c r="CN136" s="32"/>
      <c r="CO136" s="32"/>
      <c r="CP136" s="32"/>
      <c r="CQ136" s="32"/>
      <c r="CR136" s="32"/>
      <c r="CS136" s="32"/>
      <c r="CT136" s="32"/>
      <c r="CU136" s="32"/>
      <c r="CV136" s="32"/>
      <c r="CW136" s="32"/>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row>
    <row r="137" spans="1:131">
      <c r="A137" s="11" t="s">
        <v>666</v>
      </c>
      <c r="B137" s="11"/>
      <c r="C137" s="166">
        <v>1235.4854860853059</v>
      </c>
      <c r="D137" s="166">
        <v>134.02315442591345</v>
      </c>
      <c r="E137" s="166">
        <v>26.804630885182689</v>
      </c>
      <c r="F137" s="166">
        <v>160.82778531109614</v>
      </c>
      <c r="G137" s="166">
        <v>-219.07219957215756</v>
      </c>
      <c r="H137" s="166">
        <v>814.69740376425398</v>
      </c>
      <c r="I137" s="166">
        <v>1140.3220962062569</v>
      </c>
      <c r="J137" s="166">
        <v>-6.38607218242658</v>
      </c>
      <c r="K137" s="166">
        <v>-26.299688202993423</v>
      </c>
      <c r="L137" s="382">
        <v>5.2018158161913037</v>
      </c>
      <c r="M137" s="166">
        <v>11.737143214371596</v>
      </c>
      <c r="N137" s="166">
        <v>0.28838053708293826</v>
      </c>
      <c r="O137" s="166">
        <v>50.602354927442711</v>
      </c>
      <c r="P137" s="166">
        <v>37.408422779947465</v>
      </c>
      <c r="Q137" s="166">
        <v>34.847671197167841</v>
      </c>
      <c r="R137" s="166">
        <v>20.005128032504174</v>
      </c>
      <c r="S137" s="166">
        <v>16.069897752203097</v>
      </c>
      <c r="T137" s="166">
        <v>12.465540114071507</v>
      </c>
      <c r="U137" s="166">
        <v>13.007693789617592</v>
      </c>
      <c r="V137" s="166">
        <v>18.93312778718149</v>
      </c>
      <c r="W137" s="166">
        <v>23.920520820524271</v>
      </c>
      <c r="X137" s="166">
        <v>39.023629100980457</v>
      </c>
      <c r="Y137" s="166">
        <v>45.190411327708347</v>
      </c>
      <c r="Z137" s="166">
        <v>53.233393291537745</v>
      </c>
      <c r="AA137" s="166"/>
      <c r="AB137" s="166">
        <v>83.865446748514358</v>
      </c>
      <c r="AC137" s="166">
        <v>72.746247683119122</v>
      </c>
      <c r="AD137" s="166">
        <v>73.336088814908095</v>
      </c>
      <c r="AE137" s="166">
        <v>69.834289500871449</v>
      </c>
      <c r="AF137" s="166">
        <v>64.320935401539117</v>
      </c>
      <c r="AG137" s="166">
        <v>58.441543781547168</v>
      </c>
      <c r="AH137" s="166">
        <v>63.816657947450807</v>
      </c>
      <c r="AI137" s="166">
        <v>68.909452446546254</v>
      </c>
      <c r="AJ137" s="166">
        <v>74.277285429848305</v>
      </c>
      <c r="AK137" s="166">
        <v>76.658366465114042</v>
      </c>
      <c r="AL137" s="166">
        <v>80.359376556127629</v>
      </c>
      <c r="AM137" s="32">
        <v>84.212004388833122</v>
      </c>
      <c r="AN137" s="32"/>
      <c r="AO137" s="32"/>
      <c r="AP137" s="32"/>
      <c r="AQ137" s="32"/>
      <c r="AR137" s="32"/>
      <c r="AS137" s="32"/>
      <c r="AT137" s="32"/>
      <c r="AU137" s="32"/>
      <c r="AV137" s="32"/>
      <c r="AW137" s="32"/>
      <c r="AX137" s="32"/>
      <c r="AY137" s="32"/>
      <c r="AZ137" s="32"/>
      <c r="BA137" s="32"/>
      <c r="BB137" s="32"/>
      <c r="BC137" s="32"/>
      <c r="BD137" s="32"/>
      <c r="BE137" s="32"/>
      <c r="BF137" s="32"/>
      <c r="BG137" s="32"/>
      <c r="BH137" s="32"/>
      <c r="BI137" s="32"/>
      <c r="BJ137" s="32"/>
      <c r="BK137" s="32"/>
      <c r="BL137" s="32"/>
      <c r="BM137" s="32"/>
      <c r="BN137" s="32"/>
      <c r="BO137" s="32"/>
      <c r="BP137" s="32"/>
      <c r="BQ137" s="32"/>
      <c r="BR137" s="32"/>
      <c r="BS137" s="32"/>
      <c r="BT137" s="32"/>
      <c r="BU137" s="32"/>
      <c r="BV137" s="32"/>
      <c r="BW137" s="32"/>
      <c r="BX137" s="32"/>
      <c r="BY137" s="32"/>
      <c r="BZ137" s="32"/>
      <c r="CA137" s="32"/>
      <c r="CB137" s="32"/>
      <c r="CC137" s="32"/>
      <c r="CD137" s="32"/>
      <c r="CE137" s="32"/>
      <c r="CF137" s="32"/>
      <c r="CG137" s="32"/>
      <c r="CH137" s="32"/>
      <c r="CI137" s="32"/>
      <c r="CJ137" s="32"/>
      <c r="CK137" s="32"/>
      <c r="CL137" s="32"/>
      <c r="CM137" s="32"/>
      <c r="CN137" s="32"/>
      <c r="CO137" s="32"/>
      <c r="CP137" s="32"/>
      <c r="CQ137" s="32"/>
      <c r="CR137" s="32"/>
      <c r="CS137" s="32"/>
      <c r="CT137" s="32"/>
      <c r="CU137" s="32"/>
      <c r="CV137" s="32"/>
      <c r="CW137" s="32"/>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row>
    <row r="138" spans="1:131">
      <c r="A138" s="11" t="s">
        <v>668</v>
      </c>
      <c r="B138" s="11"/>
      <c r="C138" s="166">
        <v>327.31145340319665</v>
      </c>
      <c r="D138" s="166">
        <v>113.40810404906972</v>
      </c>
      <c r="E138" s="166">
        <v>22.681620809813946</v>
      </c>
      <c r="F138" s="166">
        <v>136.08972485888367</v>
      </c>
      <c r="G138" s="166">
        <v>-246.78404455533823</v>
      </c>
      <c r="H138" s="166">
        <v>215.83401368381348</v>
      </c>
      <c r="I138" s="166">
        <v>3642.2373166858997</v>
      </c>
      <c r="J138" s="166">
        <v>8.6789776363219229</v>
      </c>
      <c r="K138" s="166">
        <v>-68.731079037080974</v>
      </c>
      <c r="L138" s="382">
        <v>3.2221408348517913</v>
      </c>
      <c r="M138" s="166">
        <v>3.109467045598445</v>
      </c>
      <c r="N138" s="166">
        <v>7.6399321391375424E-2</v>
      </c>
      <c r="O138" s="166">
        <v>13.405847760628477</v>
      </c>
      <c r="P138" s="166">
        <v>9.9104403633442892</v>
      </c>
      <c r="Q138" s="166">
        <v>9.2320322947720754</v>
      </c>
      <c r="R138" s="166">
        <v>5.2998660086111791</v>
      </c>
      <c r="S138" s="166">
        <v>4.2573236582329095</v>
      </c>
      <c r="T138" s="166">
        <v>3.3024378660413309</v>
      </c>
      <c r="U138" s="166">
        <v>3.4460681308315255</v>
      </c>
      <c r="V138" s="166">
        <v>5.0158659436189756</v>
      </c>
      <c r="W138" s="166">
        <v>6.3371529039448617</v>
      </c>
      <c r="X138" s="166">
        <v>10.338349500632882</v>
      </c>
      <c r="Y138" s="166">
        <v>11.972086583086911</v>
      </c>
      <c r="Z138" s="166">
        <v>14.102876580967084</v>
      </c>
      <c r="AA138" s="166"/>
      <c r="AB138" s="166">
        <v>22.218084772927305</v>
      </c>
      <c r="AC138" s="166">
        <v>19.272326811572601</v>
      </c>
      <c r="AD138" s="166">
        <v>19.428590693501764</v>
      </c>
      <c r="AE138" s="166">
        <v>18.500875203589072</v>
      </c>
      <c r="AF138" s="166">
        <v>17.04024781160178</v>
      </c>
      <c r="AG138" s="166">
        <v>15.482647792872569</v>
      </c>
      <c r="AH138" s="166">
        <v>16.906651918914203</v>
      </c>
      <c r="AI138" s="166">
        <v>18.255862401883515</v>
      </c>
      <c r="AJ138" s="166">
        <v>19.677937557907565</v>
      </c>
      <c r="AK138" s="166">
        <v>20.308746339638414</v>
      </c>
      <c r="AL138" s="166">
        <v>21.289237818974108</v>
      </c>
      <c r="AM138" s="32">
        <v>22.309896685101304</v>
      </c>
      <c r="AN138" s="32"/>
      <c r="AO138" s="32"/>
      <c r="AP138" s="32"/>
      <c r="AQ138" s="32"/>
      <c r="AR138" s="32"/>
      <c r="AS138" s="32"/>
      <c r="AT138" s="32"/>
      <c r="AU138" s="32"/>
      <c r="AV138" s="32"/>
      <c r="AW138" s="32"/>
      <c r="AX138" s="32"/>
      <c r="AY138" s="32"/>
      <c r="AZ138" s="32"/>
      <c r="BA138" s="32"/>
      <c r="BB138" s="32"/>
      <c r="BC138" s="32"/>
      <c r="BD138" s="32"/>
      <c r="BE138" s="32"/>
      <c r="BF138" s="32"/>
      <c r="BG138" s="32"/>
      <c r="BH138" s="32"/>
      <c r="BI138" s="32"/>
      <c r="BJ138" s="32"/>
      <c r="BK138" s="32"/>
      <c r="BL138" s="32"/>
      <c r="BM138" s="32"/>
      <c r="BN138" s="32"/>
      <c r="BO138" s="32"/>
      <c r="BP138" s="32"/>
      <c r="BQ138" s="32"/>
      <c r="BR138" s="32"/>
      <c r="BS138" s="32"/>
      <c r="BT138" s="32"/>
      <c r="BU138" s="32"/>
      <c r="BV138" s="32"/>
      <c r="BW138" s="32"/>
      <c r="BX138" s="32"/>
      <c r="BY138" s="32"/>
      <c r="BZ138" s="32"/>
      <c r="CA138" s="32"/>
      <c r="CB138" s="32"/>
      <c r="CC138" s="32"/>
      <c r="CD138" s="32"/>
      <c r="CE138" s="32"/>
      <c r="CF138" s="32"/>
      <c r="CG138" s="32"/>
      <c r="CH138" s="32"/>
      <c r="CI138" s="32"/>
      <c r="CJ138" s="32"/>
      <c r="CK138" s="32"/>
      <c r="CL138" s="32"/>
      <c r="CM138" s="32"/>
      <c r="CN138" s="32"/>
      <c r="CO138" s="32"/>
      <c r="CP138" s="32"/>
      <c r="CQ138" s="32"/>
      <c r="CR138" s="32"/>
      <c r="CS138" s="32"/>
      <c r="CT138" s="32"/>
      <c r="CU138" s="32"/>
      <c r="CV138" s="32"/>
      <c r="CW138" s="32"/>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row>
    <row r="139" spans="1:131">
      <c r="A139" s="11" t="s">
        <v>670</v>
      </c>
      <c r="B139" s="11"/>
      <c r="C139" s="166">
        <v>714.55317292247162</v>
      </c>
      <c r="D139" s="166">
        <v>162.01157721295672</v>
      </c>
      <c r="E139" s="166">
        <v>32.402315442591345</v>
      </c>
      <c r="F139" s="166">
        <v>194.41389265554807</v>
      </c>
      <c r="G139" s="166">
        <v>-160.46186526487142</v>
      </c>
      <c r="H139" s="166">
        <v>471.18693128156463</v>
      </c>
      <c r="I139" s="166">
        <v>2383.3995344211876</v>
      </c>
      <c r="J139" s="166">
        <v>1.0990030039660381</v>
      </c>
      <c r="K139" s="166">
        <v>-29.77611933318255</v>
      </c>
      <c r="L139" s="382">
        <v>3.1238444789711561</v>
      </c>
      <c r="M139" s="166">
        <v>6.788273127714926</v>
      </c>
      <c r="N139" s="166">
        <v>0.16678725092483371</v>
      </c>
      <c r="O139" s="166">
        <v>29.266287364752312</v>
      </c>
      <c r="P139" s="166">
        <v>21.635468398850211</v>
      </c>
      <c r="Q139" s="166">
        <v>20.154436699854532</v>
      </c>
      <c r="R139" s="166">
        <v>11.570130018799055</v>
      </c>
      <c r="S139" s="166">
        <v>9.2941572820577623</v>
      </c>
      <c r="T139" s="166">
        <v>7.2095474540338929</v>
      </c>
      <c r="U139" s="166">
        <v>7.5231064828012189</v>
      </c>
      <c r="V139" s="166">
        <v>10.950129876914666</v>
      </c>
      <c r="W139" s="166">
        <v>13.834629579034559</v>
      </c>
      <c r="X139" s="166">
        <v>22.569636233776009</v>
      </c>
      <c r="Y139" s="166">
        <v>26.136245357443258</v>
      </c>
      <c r="Z139" s="166">
        <v>30.787970000702796</v>
      </c>
      <c r="AA139" s="166"/>
      <c r="AB139" s="166">
        <v>48.504269574700466</v>
      </c>
      <c r="AC139" s="166">
        <v>42.07338951822188</v>
      </c>
      <c r="AD139" s="166">
        <v>42.414528978771465</v>
      </c>
      <c r="AE139" s="166">
        <v>40.389234599384601</v>
      </c>
      <c r="AF139" s="166">
        <v>37.200540997158818</v>
      </c>
      <c r="AG139" s="166">
        <v>33.800146590073922</v>
      </c>
      <c r="AH139" s="166">
        <v>36.908887991995798</v>
      </c>
      <c r="AI139" s="166">
        <v>39.854347497069654</v>
      </c>
      <c r="AJ139" s="166">
        <v>42.958877767263004</v>
      </c>
      <c r="AK139" s="166">
        <v>44.335995530196548</v>
      </c>
      <c r="AL139" s="166">
        <v>46.476505097760381</v>
      </c>
      <c r="AM139" s="32">
        <v>48.70470403085497</v>
      </c>
      <c r="AN139" s="32"/>
      <c r="AO139" s="32"/>
      <c r="AP139" s="32"/>
      <c r="AQ139" s="32"/>
      <c r="AR139" s="32"/>
      <c r="AS139" s="32"/>
      <c r="AT139" s="32"/>
      <c r="AU139" s="32"/>
      <c r="AV139" s="32"/>
      <c r="AW139" s="32"/>
      <c r="AX139" s="32"/>
      <c r="AY139" s="32"/>
      <c r="AZ139" s="32"/>
      <c r="BA139" s="32"/>
      <c r="BB139" s="32"/>
      <c r="BC139" s="32"/>
      <c r="BD139" s="32"/>
      <c r="BE139" s="32"/>
      <c r="BF139" s="32"/>
      <c r="BG139" s="32"/>
      <c r="BH139" s="32"/>
      <c r="BI139" s="32"/>
      <c r="BJ139" s="32"/>
      <c r="BK139" s="32"/>
      <c r="BL139" s="32"/>
      <c r="BM139" s="32"/>
      <c r="BN139" s="32"/>
      <c r="BO139" s="32"/>
      <c r="BP139" s="32"/>
      <c r="BQ139" s="32"/>
      <c r="BR139" s="32"/>
      <c r="BS139" s="32"/>
      <c r="BT139" s="32"/>
      <c r="BU139" s="32"/>
      <c r="BV139" s="32"/>
      <c r="BW139" s="32"/>
      <c r="BX139" s="32"/>
      <c r="BY139" s="32"/>
      <c r="BZ139" s="32"/>
      <c r="CA139" s="32"/>
      <c r="CB139" s="32"/>
      <c r="CC139" s="32"/>
      <c r="CD139" s="32"/>
      <c r="CE139" s="32"/>
      <c r="CF139" s="32"/>
      <c r="CG139" s="32"/>
      <c r="CH139" s="32"/>
      <c r="CI139" s="32"/>
      <c r="CJ139" s="32"/>
      <c r="CK139" s="32"/>
      <c r="CL139" s="32"/>
      <c r="CM139" s="32"/>
      <c r="CN139" s="32"/>
      <c r="CO139" s="32"/>
      <c r="CP139" s="32"/>
      <c r="CQ139" s="32"/>
      <c r="CR139" s="32"/>
      <c r="CS139" s="32"/>
      <c r="CT139" s="32"/>
      <c r="CU139" s="32"/>
      <c r="CV139" s="32"/>
      <c r="CW139" s="32"/>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row>
    <row r="140" spans="1:131">
      <c r="A140" s="11" t="s">
        <v>667</v>
      </c>
      <c r="B140" s="11"/>
      <c r="C140" s="166">
        <v>3130.2038994474719</v>
      </c>
      <c r="D140" s="166">
        <v>532.0694632777404</v>
      </c>
      <c r="E140" s="166">
        <v>106.41389265554808</v>
      </c>
      <c r="F140" s="166">
        <v>638.48335593328852</v>
      </c>
      <c r="G140" s="166">
        <v>509.59227701635024</v>
      </c>
      <c r="H140" s="166">
        <v>2064.1027505818233</v>
      </c>
      <c r="I140" s="166">
        <v>1786.8210434990756</v>
      </c>
      <c r="J140" s="166">
        <v>-2.4932388965458538</v>
      </c>
      <c r="K140" s="166">
        <v>-1.273422282914503</v>
      </c>
      <c r="L140" s="382">
        <v>2.5915431099214019</v>
      </c>
      <c r="M140" s="166">
        <v>29.73701583044155</v>
      </c>
      <c r="N140" s="166">
        <v>0.73063576372878758</v>
      </c>
      <c r="O140" s="166">
        <v>128.20522013333431</v>
      </c>
      <c r="P140" s="166">
        <v>94.777309953672855</v>
      </c>
      <c r="Q140" s="166">
        <v>88.289435607749851</v>
      </c>
      <c r="R140" s="166">
        <v>50.684634082351991</v>
      </c>
      <c r="S140" s="166">
        <v>40.714405125917544</v>
      </c>
      <c r="T140" s="166">
        <v>31.582469169606536</v>
      </c>
      <c r="U140" s="166">
        <v>32.956060011755014</v>
      </c>
      <c r="V140" s="166">
        <v>47.968633460806828</v>
      </c>
      <c r="W140" s="166">
        <v>60.604603123641709</v>
      </c>
      <c r="X140" s="166">
        <v>98.869567759573613</v>
      </c>
      <c r="Y140" s="166">
        <v>114.49361675938046</v>
      </c>
      <c r="Z140" s="166">
        <v>134.8711718095303</v>
      </c>
      <c r="AA140" s="166"/>
      <c r="AB140" s="166">
        <v>212.479993814333</v>
      </c>
      <c r="AC140" s="166">
        <v>184.30859021208164</v>
      </c>
      <c r="AD140" s="166">
        <v>185.80300113926339</v>
      </c>
      <c r="AE140" s="166">
        <v>176.93090511601383</v>
      </c>
      <c r="AF140" s="166">
        <v>162.96236991658603</v>
      </c>
      <c r="AG140" s="166">
        <v>148.06644861071092</v>
      </c>
      <c r="AH140" s="166">
        <v>161.68474159074287</v>
      </c>
      <c r="AI140" s="166">
        <v>174.58775451942125</v>
      </c>
      <c r="AJ140" s="166">
        <v>188.18760002562308</v>
      </c>
      <c r="AK140" s="166">
        <v>194.22026429034486</v>
      </c>
      <c r="AL140" s="166">
        <v>203.59707717018901</v>
      </c>
      <c r="AM140" s="32">
        <v>213.35802604484209</v>
      </c>
      <c r="AN140" s="32"/>
      <c r="AO140" s="32"/>
      <c r="AP140" s="32"/>
      <c r="AQ140" s="32"/>
      <c r="AR140" s="32"/>
      <c r="AS140" s="32"/>
      <c r="AT140" s="32"/>
      <c r="AU140" s="32"/>
      <c r="AV140" s="32"/>
      <c r="AW140" s="32"/>
      <c r="AX140" s="32"/>
      <c r="AY140" s="32"/>
      <c r="AZ140" s="32"/>
      <c r="BA140" s="32"/>
      <c r="BB140" s="32"/>
      <c r="BC140" s="32"/>
      <c r="BD140" s="32"/>
      <c r="BE140" s="32"/>
      <c r="BF140" s="32"/>
      <c r="BG140" s="32"/>
      <c r="BH140" s="32"/>
      <c r="BI140" s="32"/>
      <c r="BJ140" s="32"/>
      <c r="BK140" s="32"/>
      <c r="BL140" s="32"/>
      <c r="BM140" s="32"/>
      <c r="BN140" s="32"/>
      <c r="BO140" s="32"/>
      <c r="BP140" s="32"/>
      <c r="BQ140" s="32"/>
      <c r="BR140" s="32"/>
      <c r="BS140" s="32"/>
      <c r="BT140" s="32"/>
      <c r="BU140" s="32"/>
      <c r="BV140" s="32"/>
      <c r="BW140" s="32"/>
      <c r="BX140" s="32"/>
      <c r="BY140" s="32"/>
      <c r="BZ140" s="32"/>
      <c r="CA140" s="32"/>
      <c r="CB140" s="32"/>
      <c r="CC140" s="32"/>
      <c r="CD140" s="32"/>
      <c r="CE140" s="32"/>
      <c r="CF140" s="32"/>
      <c r="CG140" s="32"/>
      <c r="CH140" s="32"/>
      <c r="CI140" s="32"/>
      <c r="CJ140" s="32"/>
      <c r="CK140" s="32"/>
      <c r="CL140" s="32"/>
      <c r="CM140" s="32"/>
      <c r="CN140" s="32"/>
      <c r="CO140" s="32"/>
      <c r="CP140" s="32"/>
      <c r="CQ140" s="32"/>
      <c r="CR140" s="32"/>
      <c r="CS140" s="32"/>
      <c r="CT140" s="32"/>
      <c r="CU140" s="32"/>
      <c r="CV140" s="32"/>
      <c r="CW140" s="32"/>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row>
    <row r="141" spans="1:131">
      <c r="A141" s="11" t="s">
        <v>669</v>
      </c>
      <c r="B141" s="11"/>
      <c r="C141" s="166">
        <v>424.12188328301545</v>
      </c>
      <c r="D141" s="166">
        <v>162.01157721295672</v>
      </c>
      <c r="E141" s="166">
        <v>32.402315442591345</v>
      </c>
      <c r="F141" s="166">
        <v>194.41389265554807</v>
      </c>
      <c r="G141" s="166">
        <v>-160.46186526487142</v>
      </c>
      <c r="H141" s="166">
        <v>279.67224308325115</v>
      </c>
      <c r="I141" s="166">
        <v>4015.5100851661305</v>
      </c>
      <c r="J141" s="166">
        <v>10.926604896872652</v>
      </c>
      <c r="K141" s="166">
        <v>-41.091264258105952</v>
      </c>
      <c r="L141" s="382">
        <v>2.4798989583024276</v>
      </c>
      <c r="M141" s="166">
        <v>4.0291685661275602</v>
      </c>
      <c r="N141" s="166">
        <v>9.8996303774740002E-2</v>
      </c>
      <c r="O141" s="166">
        <v>17.370957661659439</v>
      </c>
      <c r="P141" s="166">
        <v>12.841697372220771</v>
      </c>
      <c r="Q141" s="166">
        <v>11.962633396042692</v>
      </c>
      <c r="R141" s="166">
        <v>6.8674320111581491</v>
      </c>
      <c r="S141" s="166">
        <v>5.5165320641891231</v>
      </c>
      <c r="T141" s="166">
        <v>4.2792152630394726</v>
      </c>
      <c r="U141" s="166">
        <v>4.46532771882395</v>
      </c>
      <c r="V141" s="166">
        <v>6.4994319269428988</v>
      </c>
      <c r="W141" s="166">
        <v>8.2115220727172868</v>
      </c>
      <c r="X141" s="166">
        <v>13.396171183918664</v>
      </c>
      <c r="Y141" s="166">
        <v>15.513126276675999</v>
      </c>
      <c r="Z141" s="166">
        <v>18.274149935901015</v>
      </c>
      <c r="AA141" s="166"/>
      <c r="AB141" s="166">
        <v>28.789630973370599</v>
      </c>
      <c r="AC141" s="166">
        <v>24.972592488234923</v>
      </c>
      <c r="AD141" s="166">
        <v>25.175075264819196</v>
      </c>
      <c r="AE141" s="166">
        <v>23.972965052537958</v>
      </c>
      <c r="AF141" s="166">
        <v>22.080321107991043</v>
      </c>
      <c r="AG141" s="166">
        <v>20.062022492172908</v>
      </c>
      <c r="AH141" s="166">
        <v>21.907210937184605</v>
      </c>
      <c r="AI141" s="166">
        <v>23.655483675680056</v>
      </c>
      <c r="AJ141" s="166">
        <v>25.498172610246431</v>
      </c>
      <c r="AK141" s="166">
        <v>26.315558637277952</v>
      </c>
      <c r="AL141" s="166">
        <v>27.586054638670678</v>
      </c>
      <c r="AM141" s="32">
        <v>28.908598521539727</v>
      </c>
      <c r="AN141" s="32"/>
      <c r="AO141" s="32"/>
      <c r="AP141" s="32"/>
      <c r="AQ141" s="32"/>
      <c r="AR141" s="32"/>
      <c r="AS141" s="32"/>
      <c r="AT141" s="32"/>
      <c r="AU141" s="32"/>
      <c r="AV141" s="32"/>
      <c r="AW141" s="32"/>
      <c r="AX141" s="32"/>
      <c r="AY141" s="32"/>
      <c r="AZ141" s="32"/>
      <c r="BA141" s="32"/>
      <c r="BB141" s="32"/>
      <c r="BC141" s="32"/>
      <c r="BD141" s="32"/>
      <c r="BE141" s="32"/>
      <c r="BF141" s="32"/>
      <c r="BG141" s="32"/>
      <c r="BH141" s="32"/>
      <c r="BI141" s="32"/>
      <c r="BJ141" s="32"/>
      <c r="BK141" s="32"/>
      <c r="BL141" s="32"/>
      <c r="BM141" s="32"/>
      <c r="BN141" s="32"/>
      <c r="BO141" s="32"/>
      <c r="BP141" s="32"/>
      <c r="BQ141" s="32"/>
      <c r="BR141" s="32"/>
      <c r="BS141" s="32"/>
      <c r="BT141" s="32"/>
      <c r="BU141" s="32"/>
      <c r="BV141" s="32"/>
      <c r="BW141" s="32"/>
      <c r="BX141" s="32"/>
      <c r="BY141" s="32"/>
      <c r="BZ141" s="32"/>
      <c r="CA141" s="32"/>
      <c r="CB141" s="32"/>
      <c r="CC141" s="32"/>
      <c r="CD141" s="32"/>
      <c r="CE141" s="32"/>
      <c r="CF141" s="32"/>
      <c r="CG141" s="32"/>
      <c r="CH141" s="32"/>
      <c r="CI141" s="32"/>
      <c r="CJ141" s="32"/>
      <c r="CK141" s="32"/>
      <c r="CL141" s="32"/>
      <c r="CM141" s="32"/>
      <c r="CN141" s="32"/>
      <c r="CO141" s="32"/>
      <c r="CP141" s="32"/>
      <c r="CQ141" s="32"/>
      <c r="CR141" s="32"/>
      <c r="CS141" s="32"/>
      <c r="CT141" s="32"/>
      <c r="CU141" s="32"/>
      <c r="CV141" s="32"/>
      <c r="CW141" s="32"/>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row>
    <row r="142" spans="1:131">
      <c r="A142" s="11" t="s">
        <v>671</v>
      </c>
      <c r="B142" s="11"/>
      <c r="C142" s="166">
        <v>1235.4854860853059</v>
      </c>
      <c r="D142" s="166">
        <v>324.02315442591345</v>
      </c>
      <c r="E142" s="166">
        <v>64.804630885182689</v>
      </c>
      <c r="F142" s="166">
        <v>388.82778531109614</v>
      </c>
      <c r="G142" s="166">
        <v>129.71497923384788</v>
      </c>
      <c r="H142" s="166">
        <v>814.69740376425398</v>
      </c>
      <c r="I142" s="166">
        <v>2756.9173719051046</v>
      </c>
      <c r="J142" s="166">
        <v>3.3481059247307288</v>
      </c>
      <c r="K142" s="166">
        <v>-5.5269867849872165</v>
      </c>
      <c r="L142" s="382">
        <v>2.1515862521114051</v>
      </c>
      <c r="M142" s="166">
        <v>11.737143214371596</v>
      </c>
      <c r="N142" s="166">
        <v>0.28838053708293826</v>
      </c>
      <c r="O142" s="166">
        <v>50.602354927442711</v>
      </c>
      <c r="P142" s="166">
        <v>37.408422779947465</v>
      </c>
      <c r="Q142" s="166">
        <v>34.847671197167841</v>
      </c>
      <c r="R142" s="166">
        <v>20.005128032504174</v>
      </c>
      <c r="S142" s="166">
        <v>16.069897752203097</v>
      </c>
      <c r="T142" s="166">
        <v>12.465540114071507</v>
      </c>
      <c r="U142" s="166">
        <v>13.007693789617592</v>
      </c>
      <c r="V142" s="166">
        <v>18.93312778718149</v>
      </c>
      <c r="W142" s="166">
        <v>23.920520820524271</v>
      </c>
      <c r="X142" s="166">
        <v>39.023629100980457</v>
      </c>
      <c r="Y142" s="166">
        <v>45.190411327708347</v>
      </c>
      <c r="Z142" s="166">
        <v>53.233393291537745</v>
      </c>
      <c r="AA142" s="166"/>
      <c r="AB142" s="166">
        <v>83.865446748514358</v>
      </c>
      <c r="AC142" s="166">
        <v>72.746247683119122</v>
      </c>
      <c r="AD142" s="166">
        <v>73.336088814908095</v>
      </c>
      <c r="AE142" s="166">
        <v>69.834289500871449</v>
      </c>
      <c r="AF142" s="166">
        <v>64.320935401539117</v>
      </c>
      <c r="AG142" s="166">
        <v>58.441543781547168</v>
      </c>
      <c r="AH142" s="166">
        <v>63.816657947450807</v>
      </c>
      <c r="AI142" s="166">
        <v>68.909452446546254</v>
      </c>
      <c r="AJ142" s="166">
        <v>74.277285429848305</v>
      </c>
      <c r="AK142" s="166">
        <v>76.658366465114042</v>
      </c>
      <c r="AL142" s="166">
        <v>80.359376556127629</v>
      </c>
      <c r="AM142" s="32">
        <v>84.212004388833122</v>
      </c>
      <c r="AN142" s="32"/>
      <c r="AO142" s="32"/>
      <c r="AP142" s="32"/>
      <c r="AQ142" s="32"/>
      <c r="AR142" s="32"/>
      <c r="AS142" s="32"/>
      <c r="AT142" s="32"/>
      <c r="AU142" s="32"/>
      <c r="AV142" s="32"/>
      <c r="AW142" s="32"/>
      <c r="AX142" s="32"/>
      <c r="AY142" s="32"/>
      <c r="AZ142" s="32"/>
      <c r="BA142" s="32"/>
      <c r="BB142" s="32"/>
      <c r="BC142" s="32"/>
      <c r="BD142" s="32"/>
      <c r="BE142" s="32"/>
      <c r="BF142" s="32"/>
      <c r="BG142" s="32"/>
      <c r="BH142" s="32"/>
      <c r="BI142" s="32"/>
      <c r="BJ142" s="32"/>
      <c r="BK142" s="32"/>
      <c r="BL142" s="32"/>
      <c r="BM142" s="32"/>
      <c r="BN142" s="32"/>
      <c r="BO142" s="32"/>
      <c r="BP142" s="32"/>
      <c r="BQ142" s="32"/>
      <c r="BR142" s="32"/>
      <c r="BS142" s="32"/>
      <c r="BT142" s="32"/>
      <c r="BU142" s="32"/>
      <c r="BV142" s="32"/>
      <c r="BW142" s="32"/>
      <c r="BX142" s="32"/>
      <c r="BY142" s="32"/>
      <c r="BZ142" s="32"/>
      <c r="CA142" s="32"/>
      <c r="CB142" s="32"/>
      <c r="CC142" s="32"/>
      <c r="CD142" s="32"/>
      <c r="CE142" s="32"/>
      <c r="CF142" s="32"/>
      <c r="CG142" s="32"/>
      <c r="CH142" s="32"/>
      <c r="CI142" s="32"/>
      <c r="CJ142" s="32"/>
      <c r="CK142" s="32"/>
      <c r="CL142" s="32"/>
      <c r="CM142" s="32"/>
      <c r="CN142" s="32"/>
      <c r="CO142" s="32"/>
      <c r="CP142" s="32"/>
      <c r="CQ142" s="32"/>
      <c r="CR142" s="32"/>
      <c r="CS142" s="32"/>
      <c r="CT142" s="32"/>
      <c r="CU142" s="32"/>
      <c r="CV142" s="32"/>
      <c r="CW142" s="32"/>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row>
    <row r="143" spans="1:131">
      <c r="A143" s="11" t="s">
        <v>672</v>
      </c>
      <c r="B143" s="11"/>
      <c r="C143" s="166">
        <v>3130.2038994474719</v>
      </c>
      <c r="D143" s="166">
        <v>972.0694632777404</v>
      </c>
      <c r="E143" s="166">
        <v>194.4138926555481</v>
      </c>
      <c r="F143" s="166">
        <v>1166.4833559332885</v>
      </c>
      <c r="G143" s="166">
        <v>1317.3099542513103</v>
      </c>
      <c r="H143" s="166">
        <v>2064.1027505818233</v>
      </c>
      <c r="I143" s="166">
        <v>3264.4500250540573</v>
      </c>
      <c r="J143" s="166">
        <v>6.4041665944702748</v>
      </c>
      <c r="K143" s="166">
        <v>17.713609351930028</v>
      </c>
      <c r="L143" s="382">
        <v>1.418500429905009</v>
      </c>
      <c r="M143" s="166">
        <v>29.73701583044155</v>
      </c>
      <c r="N143" s="166">
        <v>0.73063576372878758</v>
      </c>
      <c r="O143" s="166">
        <v>128.20522013333431</v>
      </c>
      <c r="P143" s="166">
        <v>94.777309953672855</v>
      </c>
      <c r="Q143" s="166">
        <v>88.289435607749851</v>
      </c>
      <c r="R143" s="166">
        <v>50.684634082351991</v>
      </c>
      <c r="S143" s="166">
        <v>40.714405125917544</v>
      </c>
      <c r="T143" s="166">
        <v>31.582469169606536</v>
      </c>
      <c r="U143" s="166">
        <v>32.956060011755014</v>
      </c>
      <c r="V143" s="166">
        <v>47.968633460806828</v>
      </c>
      <c r="W143" s="166">
        <v>60.604603123641709</v>
      </c>
      <c r="X143" s="166">
        <v>98.869567759573613</v>
      </c>
      <c r="Y143" s="166">
        <v>114.49361675938046</v>
      </c>
      <c r="Z143" s="166">
        <v>134.8711718095303</v>
      </c>
      <c r="AA143" s="166"/>
      <c r="AB143" s="166">
        <v>212.479993814333</v>
      </c>
      <c r="AC143" s="166">
        <v>184.30859021208164</v>
      </c>
      <c r="AD143" s="166">
        <v>185.80300113926339</v>
      </c>
      <c r="AE143" s="166">
        <v>176.93090511601383</v>
      </c>
      <c r="AF143" s="166">
        <v>162.96236991658603</v>
      </c>
      <c r="AG143" s="166">
        <v>148.06644861071092</v>
      </c>
      <c r="AH143" s="166">
        <v>161.68474159074287</v>
      </c>
      <c r="AI143" s="166">
        <v>174.58775451942125</v>
      </c>
      <c r="AJ143" s="166">
        <v>188.18760002562308</v>
      </c>
      <c r="AK143" s="166">
        <v>194.22026429034486</v>
      </c>
      <c r="AL143" s="166">
        <v>203.59707717018901</v>
      </c>
      <c r="AM143" s="32">
        <v>213.35802604484209</v>
      </c>
      <c r="AN143" s="32"/>
      <c r="AO143" s="32"/>
      <c r="AP143" s="32"/>
      <c r="AQ143" s="32"/>
      <c r="AR143" s="32"/>
      <c r="AS143" s="32"/>
      <c r="AT143" s="32"/>
      <c r="AU143" s="32"/>
      <c r="AV143" s="32"/>
      <c r="AW143" s="32"/>
      <c r="AX143" s="32"/>
      <c r="AY143" s="32"/>
      <c r="AZ143" s="32"/>
      <c r="BA143" s="32"/>
      <c r="BB143" s="32"/>
      <c r="BC143" s="32"/>
      <c r="BD143" s="32"/>
      <c r="BE143" s="32"/>
      <c r="BF143" s="32"/>
      <c r="BG143" s="32"/>
      <c r="BH143" s="32"/>
      <c r="BI143" s="32"/>
      <c r="BJ143" s="32"/>
      <c r="BK143" s="32"/>
      <c r="BL143" s="32"/>
      <c r="BM143" s="32"/>
      <c r="BN143" s="32"/>
      <c r="BO143" s="32"/>
      <c r="BP143" s="32"/>
      <c r="BQ143" s="32"/>
      <c r="BR143" s="32"/>
      <c r="BS143" s="32"/>
      <c r="BT143" s="32"/>
      <c r="BU143" s="32"/>
      <c r="BV143" s="32"/>
      <c r="BW143" s="32"/>
      <c r="BX143" s="32"/>
      <c r="BY143" s="32"/>
      <c r="BZ143" s="32"/>
      <c r="CA143" s="32"/>
      <c r="CB143" s="32"/>
      <c r="CC143" s="32"/>
      <c r="CD143" s="32"/>
      <c r="CE143" s="32"/>
      <c r="CF143" s="32"/>
      <c r="CG143" s="32"/>
      <c r="CH143" s="32"/>
      <c r="CI143" s="32"/>
      <c r="CJ143" s="32"/>
      <c r="CK143" s="32"/>
      <c r="CL143" s="32"/>
      <c r="CM143" s="32"/>
      <c r="CN143" s="32"/>
      <c r="CO143" s="32"/>
      <c r="CP143" s="32"/>
      <c r="CQ143" s="32"/>
      <c r="CR143" s="32"/>
      <c r="CS143" s="32"/>
      <c r="CT143" s="32"/>
      <c r="CU143" s="32"/>
      <c r="CV143" s="32"/>
      <c r="CW143" s="32"/>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row>
    <row r="144" spans="1:131">
      <c r="A144" s="11"/>
      <c r="B144" s="11"/>
      <c r="C144" s="32"/>
      <c r="D144" s="32"/>
      <c r="E144" s="32"/>
      <c r="F144" s="32"/>
      <c r="G144" s="32"/>
      <c r="H144" s="32"/>
      <c r="I144" s="32"/>
      <c r="J144" s="32"/>
      <c r="K144" s="32"/>
      <c r="L144" s="32"/>
      <c r="M144" s="32"/>
      <c r="N144" s="32"/>
      <c r="O144" s="32"/>
      <c r="P144" s="32"/>
      <c r="Q144" s="32"/>
      <c r="R144" s="32"/>
      <c r="S144" s="32"/>
      <c r="T144" s="32"/>
      <c r="U144" s="32"/>
      <c r="V144" s="32"/>
      <c r="W144" s="32"/>
      <c r="X144" s="32"/>
      <c r="Y144" s="32"/>
      <c r="Z144" s="32"/>
      <c r="AA144" s="32"/>
      <c r="AB144" s="32"/>
      <c r="AC144" s="32"/>
      <c r="AD144" s="32"/>
      <c r="AE144" s="32"/>
      <c r="AF144" s="32"/>
      <c r="AG144" s="32"/>
      <c r="AH144" s="32"/>
      <c r="AI144" s="32"/>
      <c r="AJ144" s="32"/>
      <c r="AK144" s="32"/>
      <c r="AL144" s="32"/>
      <c r="AM144" s="32"/>
      <c r="AN144" s="32"/>
      <c r="AO144" s="32"/>
      <c r="AP144" s="32"/>
      <c r="AQ144" s="32"/>
      <c r="AR144" s="32"/>
      <c r="AS144" s="32"/>
      <c r="AT144" s="32"/>
      <c r="AU144" s="32"/>
      <c r="AV144" s="32"/>
      <c r="AW144" s="32"/>
      <c r="AX144" s="32"/>
      <c r="AY144" s="32"/>
      <c r="AZ144" s="32"/>
      <c r="BA144" s="32"/>
      <c r="BB144" s="32"/>
      <c r="BC144" s="32"/>
      <c r="BD144" s="32"/>
      <c r="BE144" s="32"/>
      <c r="BF144" s="32"/>
      <c r="BG144" s="32"/>
      <c r="BH144" s="32"/>
      <c r="BI144" s="32"/>
      <c r="BJ144" s="32"/>
      <c r="BK144" s="32"/>
      <c r="BL144" s="32"/>
      <c r="BM144" s="32"/>
      <c r="BN144" s="32"/>
      <c r="BO144" s="32"/>
      <c r="BP144" s="32"/>
      <c r="BQ144" s="32"/>
      <c r="BR144" s="32"/>
      <c r="BS144" s="32"/>
      <c r="BT144" s="32"/>
      <c r="BU144" s="32"/>
      <c r="BV144" s="32"/>
      <c r="BW144" s="32"/>
      <c r="BX144" s="32"/>
      <c r="BY144" s="32"/>
      <c r="BZ144" s="32"/>
      <c r="CA144" s="32"/>
      <c r="CB144" s="32"/>
      <c r="CC144" s="32"/>
      <c r="CD144" s="32"/>
      <c r="CE144" s="32"/>
      <c r="CF144" s="32"/>
      <c r="CG144" s="32"/>
      <c r="CH144" s="32"/>
      <c r="CI144" s="32"/>
      <c r="CJ144" s="32"/>
      <c r="CK144" s="32"/>
      <c r="CL144" s="32"/>
      <c r="CM144" s="32"/>
      <c r="CN144" s="32"/>
      <c r="CO144" s="32"/>
      <c r="CP144" s="32"/>
      <c r="CQ144" s="32"/>
      <c r="CR144" s="32"/>
      <c r="CS144" s="32"/>
      <c r="CT144" s="32"/>
      <c r="CU144" s="32"/>
      <c r="CV144" s="32"/>
      <c r="CW144" s="32"/>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row>
  </sheetData>
  <mergeCells count="3">
    <mergeCell ref="I6:N6"/>
    <mergeCell ref="O6:P6"/>
    <mergeCell ref="R6:T6"/>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dimension ref="A1:EA28"/>
  <sheetViews>
    <sheetView workbookViewId="0">
      <selection sqref="A1:EA28"/>
    </sheetView>
  </sheetViews>
  <sheetFormatPr defaultRowHeight="12.75"/>
  <sheetData>
    <row r="1" spans="1:131" ht="13.5" thickBot="1">
      <c r="A1" s="367" t="s">
        <v>661</v>
      </c>
      <c r="B1" s="369"/>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32"/>
      <c r="CU1" s="32"/>
      <c r="CV1" s="32"/>
      <c r="CW1" s="32"/>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row>
    <row r="2" spans="1:131" ht="13.5" thickBot="1">
      <c r="A2" s="395"/>
      <c r="B2" s="396"/>
      <c r="C2" s="397"/>
      <c r="D2" s="397"/>
      <c r="E2" s="397"/>
      <c r="F2" s="397"/>
      <c r="G2" s="397"/>
      <c r="H2" s="397"/>
      <c r="I2" s="397"/>
      <c r="J2" s="397"/>
      <c r="K2" s="397"/>
      <c r="L2" s="397"/>
      <c r="M2" s="397"/>
      <c r="N2" s="397"/>
      <c r="O2" s="398" t="s">
        <v>956</v>
      </c>
      <c r="P2" s="399"/>
      <c r="Q2" s="399"/>
      <c r="R2" s="399"/>
      <c r="S2" s="399"/>
      <c r="T2" s="399"/>
      <c r="U2" s="399"/>
      <c r="V2" s="399"/>
      <c r="W2" s="399"/>
      <c r="X2" s="399"/>
      <c r="Y2" s="399"/>
      <c r="Z2" s="387"/>
      <c r="AA2" s="397"/>
      <c r="AB2" s="398" t="s">
        <v>957</v>
      </c>
      <c r="AC2" s="399"/>
      <c r="AD2" s="399"/>
      <c r="AE2" s="399"/>
      <c r="AF2" s="399"/>
      <c r="AG2" s="399"/>
      <c r="AH2" s="399"/>
      <c r="AI2" s="399"/>
      <c r="AJ2" s="399"/>
      <c r="AK2" s="399"/>
      <c r="AL2" s="399"/>
      <c r="AM2" s="387"/>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row>
    <row r="3" spans="1:131" ht="191.25">
      <c r="A3" s="378" t="s">
        <v>308</v>
      </c>
      <c r="B3" s="379" t="s">
        <v>309</v>
      </c>
      <c r="C3" s="380" t="s">
        <v>662</v>
      </c>
      <c r="D3" s="380" t="s">
        <v>616</v>
      </c>
      <c r="E3" s="380" t="s">
        <v>617</v>
      </c>
      <c r="F3" s="380" t="s">
        <v>618</v>
      </c>
      <c r="G3" s="380" t="s">
        <v>619</v>
      </c>
      <c r="H3" s="380" t="s">
        <v>620</v>
      </c>
      <c r="I3" s="380" t="s">
        <v>621</v>
      </c>
      <c r="J3" s="380" t="s">
        <v>622</v>
      </c>
      <c r="K3" s="380" t="s">
        <v>372</v>
      </c>
      <c r="L3" s="380" t="s">
        <v>371</v>
      </c>
      <c r="M3" s="380" t="s">
        <v>623</v>
      </c>
      <c r="N3" s="380" t="s">
        <v>958</v>
      </c>
      <c r="O3" s="380" t="s">
        <v>624</v>
      </c>
      <c r="P3" s="380" t="s">
        <v>625</v>
      </c>
      <c r="Q3" s="380" t="s">
        <v>626</v>
      </c>
      <c r="R3" s="380" t="s">
        <v>627</v>
      </c>
      <c r="S3" s="380" t="s">
        <v>628</v>
      </c>
      <c r="T3" s="380" t="s">
        <v>629</v>
      </c>
      <c r="U3" s="380" t="s">
        <v>630</v>
      </c>
      <c r="V3" s="380" t="s">
        <v>631</v>
      </c>
      <c r="W3" s="380" t="s">
        <v>632</v>
      </c>
      <c r="X3" s="380" t="s">
        <v>633</v>
      </c>
      <c r="Y3" s="380" t="s">
        <v>634</v>
      </c>
      <c r="Z3" s="380" t="s">
        <v>635</v>
      </c>
      <c r="AA3" s="380"/>
      <c r="AB3" s="380" t="s">
        <v>624</v>
      </c>
      <c r="AC3" s="380" t="s">
        <v>625</v>
      </c>
      <c r="AD3" s="380" t="s">
        <v>626</v>
      </c>
      <c r="AE3" s="380" t="s">
        <v>627</v>
      </c>
      <c r="AF3" s="380" t="s">
        <v>628</v>
      </c>
      <c r="AG3" s="380" t="s">
        <v>629</v>
      </c>
      <c r="AH3" s="380" t="s">
        <v>630</v>
      </c>
      <c r="AI3" s="380" t="s">
        <v>631</v>
      </c>
      <c r="AJ3" s="380" t="s">
        <v>632</v>
      </c>
      <c r="AK3" s="380" t="s">
        <v>633</v>
      </c>
      <c r="AL3" s="380" t="s">
        <v>634</v>
      </c>
      <c r="AM3" s="380" t="s">
        <v>635</v>
      </c>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row>
    <row r="4" spans="1:131">
      <c r="A4" s="11" t="s">
        <v>526</v>
      </c>
      <c r="B4" s="11"/>
      <c r="C4" s="166">
        <v>364.19161716693708</v>
      </c>
      <c r="D4" s="166">
        <v>-8.5918959509302795</v>
      </c>
      <c r="E4" s="166">
        <v>-1.7183791901860559</v>
      </c>
      <c r="F4" s="166">
        <v>-10.310275141116335</v>
      </c>
      <c r="G4" s="166">
        <v>-164.6536478943049</v>
      </c>
      <c r="H4" s="166">
        <v>240.15333916931365</v>
      </c>
      <c r="I4" s="166">
        <v>-247.99585157606577</v>
      </c>
      <c r="J4" s="166">
        <v>-14.745699589622935</v>
      </c>
      <c r="K4" s="166">
        <v>-46.519253855172643</v>
      </c>
      <c r="L4" s="382">
        <v>9999</v>
      </c>
      <c r="M4" s="166">
        <v>3.4598295296095349</v>
      </c>
      <c r="N4" s="166">
        <v>8.5007695632657157E-2</v>
      </c>
      <c r="O4" s="166">
        <v>14.916365818164079</v>
      </c>
      <c r="P4" s="166">
        <v>11.027109700059137</v>
      </c>
      <c r="Q4" s="166">
        <v>10.272261285732309</v>
      </c>
      <c r="R4" s="166">
        <v>5.8970340095814526</v>
      </c>
      <c r="S4" s="166">
        <v>4.7370220985971807</v>
      </c>
      <c r="T4" s="166">
        <v>3.6745435410882417</v>
      </c>
      <c r="U4" s="166">
        <v>3.8343574976857817</v>
      </c>
      <c r="V4" s="166">
        <v>5.5810339372661835</v>
      </c>
      <c r="W4" s="166">
        <v>7.0511983015724509</v>
      </c>
      <c r="X4" s="166">
        <v>11.503233951408415</v>
      </c>
      <c r="Y4" s="166">
        <v>13.321054085406562</v>
      </c>
      <c r="Z4" s="166">
        <v>15.69193309713239</v>
      </c>
      <c r="AA4" s="166"/>
      <c r="AB4" s="166">
        <v>24.721530944524748</v>
      </c>
      <c r="AC4" s="166">
        <v>21.443856593158245</v>
      </c>
      <c r="AD4" s="166">
        <v>21.61772767305126</v>
      </c>
      <c r="AE4" s="166">
        <v>20.585480860331501</v>
      </c>
      <c r="AF4" s="166">
        <v>18.960275734035783</v>
      </c>
      <c r="AG4" s="166">
        <v>17.227171487844124</v>
      </c>
      <c r="AH4" s="166">
        <v>18.811626783017211</v>
      </c>
      <c r="AI4" s="166">
        <v>20.312860982377433</v>
      </c>
      <c r="AJ4" s="166">
        <v>21.895169958798558</v>
      </c>
      <c r="AK4" s="166">
        <v>22.597055786358236</v>
      </c>
      <c r="AL4" s="166">
        <v>23.68802517885851</v>
      </c>
      <c r="AM4" s="32">
        <v>24.823687860887368</v>
      </c>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c r="EA4" s="11"/>
    </row>
    <row r="5" spans="1:131">
      <c r="A5" s="11" t="s">
        <v>527</v>
      </c>
      <c r="B5" s="11"/>
      <c r="C5" s="166">
        <v>364.19161716693708</v>
      </c>
      <c r="D5" s="166">
        <v>-8.5918959509302795</v>
      </c>
      <c r="E5" s="166">
        <v>-1.7183791901860559</v>
      </c>
      <c r="F5" s="166">
        <v>-10.310275141116335</v>
      </c>
      <c r="G5" s="166">
        <v>-776.83060768303119</v>
      </c>
      <c r="H5" s="166">
        <v>240.15333916931365</v>
      </c>
      <c r="I5" s="166">
        <v>-247.99585157606577</v>
      </c>
      <c r="J5" s="166">
        <v>-14.745699589622935</v>
      </c>
      <c r="K5" s="166">
        <v>-170.20428692243706</v>
      </c>
      <c r="L5" s="382">
        <v>9999</v>
      </c>
      <c r="M5" s="166">
        <v>3.4598295296095349</v>
      </c>
      <c r="N5" s="166">
        <v>8.5007695632657157E-2</v>
      </c>
      <c r="O5" s="166">
        <v>14.916365818164079</v>
      </c>
      <c r="P5" s="166">
        <v>11.027109700059137</v>
      </c>
      <c r="Q5" s="166">
        <v>10.272261285732309</v>
      </c>
      <c r="R5" s="166">
        <v>5.8970340095814526</v>
      </c>
      <c r="S5" s="166">
        <v>4.7370220985971807</v>
      </c>
      <c r="T5" s="166">
        <v>3.6745435410882417</v>
      </c>
      <c r="U5" s="166">
        <v>3.8343574976857817</v>
      </c>
      <c r="V5" s="166">
        <v>5.5810339372661835</v>
      </c>
      <c r="W5" s="166">
        <v>7.0511983015724509</v>
      </c>
      <c r="X5" s="166">
        <v>11.503233951408415</v>
      </c>
      <c r="Y5" s="166">
        <v>13.321054085406562</v>
      </c>
      <c r="Z5" s="166">
        <v>15.69193309713239</v>
      </c>
      <c r="AA5" s="166"/>
      <c r="AB5" s="166">
        <v>24.721530944524748</v>
      </c>
      <c r="AC5" s="166">
        <v>21.443856593158245</v>
      </c>
      <c r="AD5" s="166">
        <v>21.61772767305126</v>
      </c>
      <c r="AE5" s="166">
        <v>20.585480860331501</v>
      </c>
      <c r="AF5" s="166">
        <v>18.960275734035783</v>
      </c>
      <c r="AG5" s="166">
        <v>17.227171487844124</v>
      </c>
      <c r="AH5" s="166">
        <v>18.811626783017211</v>
      </c>
      <c r="AI5" s="166">
        <v>20.312860982377433</v>
      </c>
      <c r="AJ5" s="166">
        <v>21.895169958798558</v>
      </c>
      <c r="AK5" s="166">
        <v>22.597055786358236</v>
      </c>
      <c r="AL5" s="166">
        <v>23.68802517885851</v>
      </c>
      <c r="AM5" s="32">
        <v>24.823687860887368</v>
      </c>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11"/>
      <c r="CY5" s="11"/>
      <c r="CZ5" s="11"/>
      <c r="DA5" s="11"/>
      <c r="DB5" s="11"/>
      <c r="DC5" s="11"/>
      <c r="DD5" s="11"/>
      <c r="DE5" s="11"/>
      <c r="DF5" s="11"/>
      <c r="DG5" s="11"/>
      <c r="DH5" s="11"/>
      <c r="DI5" s="11"/>
      <c r="DJ5" s="11"/>
      <c r="DK5" s="11"/>
      <c r="DL5" s="11"/>
      <c r="DM5" s="11"/>
      <c r="DN5" s="11"/>
      <c r="DO5" s="11"/>
      <c r="DP5" s="11"/>
      <c r="DQ5" s="11"/>
      <c r="DR5" s="11"/>
      <c r="DS5" s="11"/>
      <c r="DT5" s="11"/>
      <c r="DU5" s="11"/>
      <c r="DV5" s="11"/>
      <c r="DW5" s="11"/>
      <c r="DX5" s="11"/>
      <c r="DY5" s="11"/>
      <c r="DZ5" s="11"/>
      <c r="EA5" s="11"/>
    </row>
    <row r="6" spans="1:131">
      <c r="A6" s="11" t="s">
        <v>528</v>
      </c>
      <c r="B6" s="11"/>
      <c r="C6" s="166">
        <v>290.43128963945617</v>
      </c>
      <c r="D6" s="166">
        <v>-8.5918959509302795</v>
      </c>
      <c r="E6" s="166">
        <v>-1.7183791901860559</v>
      </c>
      <c r="F6" s="166">
        <v>-10.310275141116335</v>
      </c>
      <c r="G6" s="166">
        <v>-164.6536478943049</v>
      </c>
      <c r="H6" s="166">
        <v>191.51468819831331</v>
      </c>
      <c r="I6" s="166">
        <v>-310.97892499220944</v>
      </c>
      <c r="J6" s="166">
        <v>-15.124946308690497</v>
      </c>
      <c r="K6" s="166">
        <v>-54.967974673427442</v>
      </c>
      <c r="L6" s="382">
        <v>9999</v>
      </c>
      <c r="M6" s="166">
        <v>2.7591045615873551</v>
      </c>
      <c r="N6" s="166">
        <v>6.7790947150093692E-2</v>
      </c>
      <c r="O6" s="166">
        <v>11.895329703092875</v>
      </c>
      <c r="P6" s="166">
        <v>8.7937710266294395</v>
      </c>
      <c r="Q6" s="166">
        <v>8.1918033038118416</v>
      </c>
      <c r="R6" s="166">
        <v>4.7026980076409064</v>
      </c>
      <c r="S6" s="166">
        <v>3.7776252178686383</v>
      </c>
      <c r="T6" s="166">
        <v>2.9303321909944207</v>
      </c>
      <c r="U6" s="166">
        <v>3.0577787639772693</v>
      </c>
      <c r="V6" s="166">
        <v>4.4506979499717669</v>
      </c>
      <c r="W6" s="166">
        <v>5.6231075063172717</v>
      </c>
      <c r="X6" s="166">
        <v>9.1734650498573451</v>
      </c>
      <c r="Y6" s="166">
        <v>10.623119080767259</v>
      </c>
      <c r="Z6" s="166">
        <v>12.513820064801781</v>
      </c>
      <c r="AA6" s="166"/>
      <c r="AB6" s="166">
        <v>19.714638601329867</v>
      </c>
      <c r="AC6" s="166">
        <v>17.100797029986953</v>
      </c>
      <c r="AD6" s="166">
        <v>17.239453713952273</v>
      </c>
      <c r="AE6" s="166">
        <v>16.416269546846642</v>
      </c>
      <c r="AF6" s="166">
        <v>15.120219889167776</v>
      </c>
      <c r="AG6" s="166">
        <v>13.738124097901013</v>
      </c>
      <c r="AH6" s="166">
        <v>15.001677054811195</v>
      </c>
      <c r="AI6" s="166">
        <v>16.198863821389601</v>
      </c>
      <c r="AJ6" s="166">
        <v>17.460705157016573</v>
      </c>
      <c r="AK6" s="166">
        <v>18.020436892918596</v>
      </c>
      <c r="AL6" s="166">
        <v>18.890450459089703</v>
      </c>
      <c r="AM6" s="32">
        <v>19.796105509315243</v>
      </c>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11"/>
      <c r="CY6" s="11"/>
      <c r="CZ6" s="11"/>
      <c r="DA6" s="11"/>
      <c r="DB6" s="11"/>
      <c r="DC6" s="11"/>
      <c r="DD6" s="11"/>
      <c r="DE6" s="11"/>
      <c r="DF6" s="11"/>
      <c r="DG6" s="11"/>
      <c r="DH6" s="11"/>
      <c r="DI6" s="11"/>
      <c r="DJ6" s="11"/>
      <c r="DK6" s="11"/>
      <c r="DL6" s="11"/>
      <c r="DM6" s="11"/>
      <c r="DN6" s="11"/>
      <c r="DO6" s="11"/>
      <c r="DP6" s="11"/>
      <c r="DQ6" s="11"/>
      <c r="DR6" s="11"/>
      <c r="DS6" s="11"/>
      <c r="DT6" s="11"/>
      <c r="DU6" s="11"/>
      <c r="DV6" s="11"/>
      <c r="DW6" s="11"/>
      <c r="DX6" s="11"/>
      <c r="DY6" s="11"/>
      <c r="DZ6" s="11"/>
      <c r="EA6" s="11"/>
    </row>
    <row r="7" spans="1:131">
      <c r="A7" s="11" t="s">
        <v>529</v>
      </c>
      <c r="B7" s="11"/>
      <c r="C7" s="166">
        <v>290.43128963945617</v>
      </c>
      <c r="D7" s="166">
        <v>-8.5918959509302795</v>
      </c>
      <c r="E7" s="166">
        <v>-1.7183791901860559</v>
      </c>
      <c r="F7" s="166">
        <v>-10.310275141116335</v>
      </c>
      <c r="G7" s="166">
        <v>-776.83060768303119</v>
      </c>
      <c r="H7" s="166">
        <v>191.51468819831331</v>
      </c>
      <c r="I7" s="166">
        <v>-310.97892499220944</v>
      </c>
      <c r="J7" s="166">
        <v>-15.124946308690497</v>
      </c>
      <c r="K7" s="166">
        <v>-210.06507963079073</v>
      </c>
      <c r="L7" s="382">
        <v>9999</v>
      </c>
      <c r="M7" s="166">
        <v>2.7591045615873551</v>
      </c>
      <c r="N7" s="166">
        <v>6.7790947150093692E-2</v>
      </c>
      <c r="O7" s="166">
        <v>11.895329703092875</v>
      </c>
      <c r="P7" s="166">
        <v>8.7937710266294395</v>
      </c>
      <c r="Q7" s="166">
        <v>8.1918033038118416</v>
      </c>
      <c r="R7" s="166">
        <v>4.7026980076409064</v>
      </c>
      <c r="S7" s="166">
        <v>3.7776252178686383</v>
      </c>
      <c r="T7" s="166">
        <v>2.9303321909944207</v>
      </c>
      <c r="U7" s="166">
        <v>3.0577787639772693</v>
      </c>
      <c r="V7" s="166">
        <v>4.4506979499717669</v>
      </c>
      <c r="W7" s="166">
        <v>5.6231075063172717</v>
      </c>
      <c r="X7" s="166">
        <v>9.1734650498573451</v>
      </c>
      <c r="Y7" s="166">
        <v>10.623119080767259</v>
      </c>
      <c r="Z7" s="166">
        <v>12.513820064801781</v>
      </c>
      <c r="AA7" s="166"/>
      <c r="AB7" s="166">
        <v>19.714638601329867</v>
      </c>
      <c r="AC7" s="166">
        <v>17.100797029986953</v>
      </c>
      <c r="AD7" s="166">
        <v>17.239453713952273</v>
      </c>
      <c r="AE7" s="166">
        <v>16.416269546846642</v>
      </c>
      <c r="AF7" s="166">
        <v>15.120219889167776</v>
      </c>
      <c r="AG7" s="166">
        <v>13.738124097901013</v>
      </c>
      <c r="AH7" s="166">
        <v>15.001677054811195</v>
      </c>
      <c r="AI7" s="166">
        <v>16.198863821389601</v>
      </c>
      <c r="AJ7" s="166">
        <v>17.460705157016573</v>
      </c>
      <c r="AK7" s="166">
        <v>18.020436892918596</v>
      </c>
      <c r="AL7" s="166">
        <v>18.890450459089703</v>
      </c>
      <c r="AM7" s="32">
        <v>19.796105509315243</v>
      </c>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11"/>
      <c r="CY7" s="11"/>
      <c r="CZ7" s="11"/>
      <c r="DA7" s="11"/>
      <c r="DB7" s="11"/>
      <c r="DC7" s="11"/>
      <c r="DD7" s="11"/>
      <c r="DE7" s="11"/>
      <c r="DF7" s="11"/>
      <c r="DG7" s="11"/>
      <c r="DH7" s="11"/>
      <c r="DI7" s="11"/>
      <c r="DJ7" s="11"/>
      <c r="DK7" s="11"/>
      <c r="DL7" s="11"/>
      <c r="DM7" s="11"/>
      <c r="DN7" s="11"/>
      <c r="DO7" s="11"/>
      <c r="DP7" s="11"/>
      <c r="DQ7" s="11"/>
      <c r="DR7" s="11"/>
      <c r="DS7" s="11"/>
      <c r="DT7" s="11"/>
      <c r="DU7" s="11"/>
      <c r="DV7" s="11"/>
      <c r="DW7" s="11"/>
      <c r="DX7" s="11"/>
      <c r="DY7" s="11"/>
      <c r="DZ7" s="11"/>
      <c r="EA7" s="11"/>
    </row>
    <row r="8" spans="1:131">
      <c r="A8" s="11" t="s">
        <v>838</v>
      </c>
      <c r="B8" s="11"/>
      <c r="C8" s="166">
        <v>714.55317292247162</v>
      </c>
      <c r="D8" s="166">
        <v>2.0115772129567233</v>
      </c>
      <c r="E8" s="166">
        <v>0.40231544259134466</v>
      </c>
      <c r="F8" s="166">
        <v>2.413892655548068</v>
      </c>
      <c r="G8" s="166">
        <v>-757.36557878630833</v>
      </c>
      <c r="H8" s="166">
        <v>471.18693128156463</v>
      </c>
      <c r="I8" s="166">
        <v>29.592898700759623</v>
      </c>
      <c r="J8" s="166">
        <v>-13.074224745945859</v>
      </c>
      <c r="K8" s="166">
        <v>-91.242811642351228</v>
      </c>
      <c r="L8" s="382">
        <v>333.69793481828867</v>
      </c>
      <c r="M8" s="166">
        <v>6.788273127714926</v>
      </c>
      <c r="N8" s="166">
        <v>0.16678725092483371</v>
      </c>
      <c r="O8" s="166">
        <v>29.266287364752312</v>
      </c>
      <c r="P8" s="166">
        <v>21.635468398850211</v>
      </c>
      <c r="Q8" s="166">
        <v>20.154436699854532</v>
      </c>
      <c r="R8" s="166">
        <v>11.570130018799055</v>
      </c>
      <c r="S8" s="166">
        <v>9.2941572820577623</v>
      </c>
      <c r="T8" s="166">
        <v>7.2095474540338929</v>
      </c>
      <c r="U8" s="166">
        <v>7.5231064828012189</v>
      </c>
      <c r="V8" s="166">
        <v>10.950129876914666</v>
      </c>
      <c r="W8" s="166">
        <v>13.834629579034559</v>
      </c>
      <c r="X8" s="166">
        <v>22.569636233776009</v>
      </c>
      <c r="Y8" s="166">
        <v>26.136245357443258</v>
      </c>
      <c r="Z8" s="166">
        <v>30.787970000702796</v>
      </c>
      <c r="AA8" s="166"/>
      <c r="AB8" s="166">
        <v>48.504269574700466</v>
      </c>
      <c r="AC8" s="166">
        <v>42.07338951822188</v>
      </c>
      <c r="AD8" s="166">
        <v>42.414528978771465</v>
      </c>
      <c r="AE8" s="166">
        <v>40.389234599384601</v>
      </c>
      <c r="AF8" s="166">
        <v>37.200540997158818</v>
      </c>
      <c r="AG8" s="166">
        <v>33.800146590073922</v>
      </c>
      <c r="AH8" s="166">
        <v>36.908887991995798</v>
      </c>
      <c r="AI8" s="166">
        <v>39.854347497069654</v>
      </c>
      <c r="AJ8" s="166">
        <v>42.958877767263004</v>
      </c>
      <c r="AK8" s="166">
        <v>44.335995530196548</v>
      </c>
      <c r="AL8" s="166">
        <v>46.476505097760381</v>
      </c>
      <c r="AM8" s="32">
        <v>48.70470403085497</v>
      </c>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11"/>
      <c r="CY8" s="11"/>
      <c r="CZ8" s="11"/>
      <c r="DA8" s="11"/>
      <c r="DB8" s="11"/>
      <c r="DC8" s="11"/>
      <c r="DD8" s="11"/>
      <c r="DE8" s="11"/>
      <c r="DF8" s="11"/>
      <c r="DG8" s="11"/>
      <c r="DH8" s="11"/>
      <c r="DI8" s="11"/>
      <c r="DJ8" s="11"/>
      <c r="DK8" s="11"/>
      <c r="DL8" s="11"/>
      <c r="DM8" s="11"/>
      <c r="DN8" s="11"/>
      <c r="DO8" s="11"/>
      <c r="DP8" s="11"/>
      <c r="DQ8" s="11"/>
      <c r="DR8" s="11"/>
      <c r="DS8" s="11"/>
      <c r="DT8" s="11"/>
      <c r="DU8" s="11"/>
      <c r="DV8" s="11"/>
      <c r="DW8" s="11"/>
      <c r="DX8" s="11"/>
      <c r="DY8" s="11"/>
      <c r="DZ8" s="11"/>
      <c r="EA8" s="11"/>
    </row>
    <row r="9" spans="1:131">
      <c r="A9" s="11" t="s">
        <v>836</v>
      </c>
      <c r="B9" s="11"/>
      <c r="C9" s="166">
        <v>424.12188328301545</v>
      </c>
      <c r="D9" s="166">
        <v>2.0115772129567233</v>
      </c>
      <c r="E9" s="166">
        <v>0.40231544259134466</v>
      </c>
      <c r="F9" s="166">
        <v>2.413892655548068</v>
      </c>
      <c r="G9" s="166">
        <v>-757.36557878630833</v>
      </c>
      <c r="H9" s="166">
        <v>279.67224308325115</v>
      </c>
      <c r="I9" s="166">
        <v>49.857601071931967</v>
      </c>
      <c r="J9" s="166">
        <v>-12.952202725261527</v>
      </c>
      <c r="K9" s="166">
        <v>-144.64927847464017</v>
      </c>
      <c r="L9" s="382">
        <v>281.83483517151228</v>
      </c>
      <c r="M9" s="166">
        <v>4.0291685661275602</v>
      </c>
      <c r="N9" s="166">
        <v>9.8996303774740002E-2</v>
      </c>
      <c r="O9" s="166">
        <v>17.370957661659439</v>
      </c>
      <c r="P9" s="166">
        <v>12.841697372220771</v>
      </c>
      <c r="Q9" s="166">
        <v>11.962633396042692</v>
      </c>
      <c r="R9" s="166">
        <v>6.8674320111581491</v>
      </c>
      <c r="S9" s="166">
        <v>5.5165320641891231</v>
      </c>
      <c r="T9" s="166">
        <v>4.2792152630394726</v>
      </c>
      <c r="U9" s="166">
        <v>4.46532771882395</v>
      </c>
      <c r="V9" s="166">
        <v>6.4994319269428988</v>
      </c>
      <c r="W9" s="166">
        <v>8.2115220727172868</v>
      </c>
      <c r="X9" s="166">
        <v>13.396171183918664</v>
      </c>
      <c r="Y9" s="166">
        <v>15.513126276675999</v>
      </c>
      <c r="Z9" s="166">
        <v>18.274149935901015</v>
      </c>
      <c r="AA9" s="166"/>
      <c r="AB9" s="166">
        <v>28.789630973370599</v>
      </c>
      <c r="AC9" s="166">
        <v>24.972592488234923</v>
      </c>
      <c r="AD9" s="166">
        <v>25.175075264819196</v>
      </c>
      <c r="AE9" s="166">
        <v>23.972965052537958</v>
      </c>
      <c r="AF9" s="166">
        <v>22.080321107991043</v>
      </c>
      <c r="AG9" s="166">
        <v>20.062022492172908</v>
      </c>
      <c r="AH9" s="166">
        <v>21.907210937184605</v>
      </c>
      <c r="AI9" s="166">
        <v>23.655483675680056</v>
      </c>
      <c r="AJ9" s="166">
        <v>25.498172610246431</v>
      </c>
      <c r="AK9" s="166">
        <v>26.315558637277952</v>
      </c>
      <c r="AL9" s="166">
        <v>27.586054638670678</v>
      </c>
      <c r="AM9" s="32">
        <v>28.908598521539727</v>
      </c>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2"/>
      <c r="CK9" s="32"/>
      <c r="CL9" s="32"/>
      <c r="CM9" s="32"/>
      <c r="CN9" s="32"/>
      <c r="CO9" s="32"/>
      <c r="CP9" s="32"/>
      <c r="CQ9" s="32"/>
      <c r="CR9" s="32"/>
      <c r="CS9" s="32"/>
      <c r="CT9" s="32"/>
      <c r="CU9" s="32"/>
      <c r="CV9" s="32"/>
      <c r="CW9" s="32"/>
      <c r="CX9" s="11"/>
      <c r="CY9" s="11"/>
      <c r="CZ9" s="11"/>
      <c r="DA9" s="11"/>
      <c r="DB9" s="11"/>
      <c r="DC9" s="11"/>
      <c r="DD9" s="11"/>
      <c r="DE9" s="11"/>
      <c r="DF9" s="11"/>
      <c r="DG9" s="11"/>
      <c r="DH9" s="11"/>
      <c r="DI9" s="11"/>
      <c r="DJ9" s="11"/>
      <c r="DK9" s="11"/>
      <c r="DL9" s="11"/>
      <c r="DM9" s="11"/>
      <c r="DN9" s="11"/>
      <c r="DO9" s="11"/>
      <c r="DP9" s="11"/>
      <c r="DQ9" s="11"/>
      <c r="DR9" s="11"/>
      <c r="DS9" s="11"/>
      <c r="DT9" s="11"/>
      <c r="DU9" s="11"/>
      <c r="DV9" s="11"/>
      <c r="DW9" s="11"/>
      <c r="DX9" s="11"/>
      <c r="DY9" s="11"/>
      <c r="DZ9" s="11"/>
      <c r="EA9" s="11"/>
    </row>
    <row r="10" spans="1:131">
      <c r="A10" s="11" t="s">
        <v>837</v>
      </c>
      <c r="B10" s="11"/>
      <c r="C10" s="166">
        <v>714.55317292247162</v>
      </c>
      <c r="D10" s="166">
        <v>2.0115772129567233</v>
      </c>
      <c r="E10" s="166">
        <v>0.40231544259134466</v>
      </c>
      <c r="F10" s="166">
        <v>2.413892655548068</v>
      </c>
      <c r="G10" s="166">
        <v>-150.98918973249627</v>
      </c>
      <c r="H10" s="166">
        <v>471.18693128156463</v>
      </c>
      <c r="I10" s="166">
        <v>29.592898700759623</v>
      </c>
      <c r="J10" s="166">
        <v>-13.074224745945859</v>
      </c>
      <c r="K10" s="166">
        <v>-28.800662121066907</v>
      </c>
      <c r="L10" s="382">
        <v>169.48828915191905</v>
      </c>
      <c r="M10" s="166">
        <v>6.788273127714926</v>
      </c>
      <c r="N10" s="166">
        <v>0.16678725092483371</v>
      </c>
      <c r="O10" s="166">
        <v>29.266287364752312</v>
      </c>
      <c r="P10" s="166">
        <v>21.635468398850211</v>
      </c>
      <c r="Q10" s="166">
        <v>20.154436699854532</v>
      </c>
      <c r="R10" s="166">
        <v>11.570130018799055</v>
      </c>
      <c r="S10" s="166">
        <v>9.2941572820577623</v>
      </c>
      <c r="T10" s="166">
        <v>7.2095474540338929</v>
      </c>
      <c r="U10" s="166">
        <v>7.5231064828012189</v>
      </c>
      <c r="V10" s="166">
        <v>10.950129876914666</v>
      </c>
      <c r="W10" s="166">
        <v>13.834629579034559</v>
      </c>
      <c r="X10" s="166">
        <v>22.569636233776009</v>
      </c>
      <c r="Y10" s="166">
        <v>26.136245357443258</v>
      </c>
      <c r="Z10" s="166">
        <v>30.787970000702796</v>
      </c>
      <c r="AA10" s="166"/>
      <c r="AB10" s="166">
        <v>48.504269574700466</v>
      </c>
      <c r="AC10" s="166">
        <v>42.07338951822188</v>
      </c>
      <c r="AD10" s="166">
        <v>42.414528978771465</v>
      </c>
      <c r="AE10" s="166">
        <v>40.389234599384601</v>
      </c>
      <c r="AF10" s="166">
        <v>37.200540997158818</v>
      </c>
      <c r="AG10" s="166">
        <v>33.800146590073922</v>
      </c>
      <c r="AH10" s="166">
        <v>36.908887991995798</v>
      </c>
      <c r="AI10" s="166">
        <v>39.854347497069654</v>
      </c>
      <c r="AJ10" s="166">
        <v>42.958877767263004</v>
      </c>
      <c r="AK10" s="166">
        <v>44.335995530196548</v>
      </c>
      <c r="AL10" s="166">
        <v>46.476505097760381</v>
      </c>
      <c r="AM10" s="32">
        <v>48.70470403085497</v>
      </c>
      <c r="AN10" s="32"/>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c r="BT10" s="32"/>
      <c r="BU10" s="32"/>
      <c r="BV10" s="32"/>
      <c r="BW10" s="32"/>
      <c r="BX10" s="32"/>
      <c r="BY10" s="32"/>
      <c r="BZ10" s="32"/>
      <c r="CA10" s="32"/>
      <c r="CB10" s="32"/>
      <c r="CC10" s="32"/>
      <c r="CD10" s="32"/>
      <c r="CE10" s="32"/>
      <c r="CF10" s="32"/>
      <c r="CG10" s="32"/>
      <c r="CH10" s="32"/>
      <c r="CI10" s="32"/>
      <c r="CJ10" s="32"/>
      <c r="CK10" s="32"/>
      <c r="CL10" s="32"/>
      <c r="CM10" s="32"/>
      <c r="CN10" s="32"/>
      <c r="CO10" s="32"/>
      <c r="CP10" s="32"/>
      <c r="CQ10" s="32"/>
      <c r="CR10" s="32"/>
      <c r="CS10" s="32"/>
      <c r="CT10" s="32"/>
      <c r="CU10" s="32"/>
      <c r="CV10" s="32"/>
      <c r="CW10" s="32"/>
      <c r="CX10" s="11"/>
      <c r="CY10" s="11"/>
      <c r="CZ10" s="11"/>
      <c r="DA10" s="11"/>
      <c r="DB10" s="11"/>
      <c r="DC10" s="11"/>
      <c r="DD10" s="11"/>
      <c r="DE10" s="11"/>
      <c r="DF10" s="11"/>
      <c r="DG10" s="11"/>
      <c r="DH10" s="11"/>
      <c r="DI10" s="11"/>
      <c r="DJ10" s="11"/>
      <c r="DK10" s="11"/>
      <c r="DL10" s="11"/>
      <c r="DM10" s="11"/>
      <c r="DN10" s="11"/>
      <c r="DO10" s="11"/>
      <c r="DP10" s="11"/>
      <c r="DQ10" s="11"/>
      <c r="DR10" s="11"/>
      <c r="DS10" s="11"/>
      <c r="DT10" s="11"/>
      <c r="DU10" s="11"/>
      <c r="DV10" s="11"/>
      <c r="DW10" s="11"/>
      <c r="DX10" s="11"/>
      <c r="DY10" s="11"/>
      <c r="DZ10" s="11"/>
      <c r="EA10" s="11"/>
    </row>
    <row r="11" spans="1:131">
      <c r="A11" s="11" t="s">
        <v>835</v>
      </c>
      <c r="B11" s="11"/>
      <c r="C11" s="166">
        <v>424.12188328301545</v>
      </c>
      <c r="D11" s="166">
        <v>2.0115772129567233</v>
      </c>
      <c r="E11" s="166">
        <v>0.40231544259134466</v>
      </c>
      <c r="F11" s="166">
        <v>2.413892655548068</v>
      </c>
      <c r="G11" s="166">
        <v>-150.98918973249627</v>
      </c>
      <c r="H11" s="166">
        <v>279.67224308325115</v>
      </c>
      <c r="I11" s="166">
        <v>49.857601071931967</v>
      </c>
      <c r="J11" s="166">
        <v>-12.952202725261527</v>
      </c>
      <c r="K11" s="166">
        <v>-39.447830911606765</v>
      </c>
      <c r="L11" s="382">
        <v>117.62518950514266</v>
      </c>
      <c r="M11" s="166">
        <v>4.0291685661275602</v>
      </c>
      <c r="N11" s="166">
        <v>9.8996303774740002E-2</v>
      </c>
      <c r="O11" s="166">
        <v>17.370957661659439</v>
      </c>
      <c r="P11" s="166">
        <v>12.841697372220771</v>
      </c>
      <c r="Q11" s="166">
        <v>11.962633396042692</v>
      </c>
      <c r="R11" s="166">
        <v>6.8674320111581491</v>
      </c>
      <c r="S11" s="166">
        <v>5.5165320641891231</v>
      </c>
      <c r="T11" s="166">
        <v>4.2792152630394726</v>
      </c>
      <c r="U11" s="166">
        <v>4.46532771882395</v>
      </c>
      <c r="V11" s="166">
        <v>6.4994319269428988</v>
      </c>
      <c r="W11" s="166">
        <v>8.2115220727172868</v>
      </c>
      <c r="X11" s="166">
        <v>13.396171183918664</v>
      </c>
      <c r="Y11" s="166">
        <v>15.513126276675999</v>
      </c>
      <c r="Z11" s="166">
        <v>18.274149935901015</v>
      </c>
      <c r="AA11" s="166"/>
      <c r="AB11" s="166">
        <v>28.789630973370599</v>
      </c>
      <c r="AC11" s="166">
        <v>24.972592488234923</v>
      </c>
      <c r="AD11" s="166">
        <v>25.175075264819196</v>
      </c>
      <c r="AE11" s="166">
        <v>23.972965052537958</v>
      </c>
      <c r="AF11" s="166">
        <v>22.080321107991043</v>
      </c>
      <c r="AG11" s="166">
        <v>20.062022492172908</v>
      </c>
      <c r="AH11" s="166">
        <v>21.907210937184605</v>
      </c>
      <c r="AI11" s="166">
        <v>23.655483675680056</v>
      </c>
      <c r="AJ11" s="166">
        <v>25.498172610246431</v>
      </c>
      <c r="AK11" s="166">
        <v>26.315558637277952</v>
      </c>
      <c r="AL11" s="166">
        <v>27.586054638670678</v>
      </c>
      <c r="AM11" s="32">
        <v>28.908598521539727</v>
      </c>
      <c r="AN11" s="32"/>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c r="BO11" s="32"/>
      <c r="BP11" s="32"/>
      <c r="BQ11" s="32"/>
      <c r="BR11" s="32"/>
      <c r="BS11" s="32"/>
      <c r="BT11" s="32"/>
      <c r="BU11" s="32"/>
      <c r="BV11" s="32"/>
      <c r="BW11" s="32"/>
      <c r="BX11" s="32"/>
      <c r="BY11" s="32"/>
      <c r="BZ11" s="32"/>
      <c r="CA11" s="32"/>
      <c r="CB11" s="32"/>
      <c r="CC11" s="32"/>
      <c r="CD11" s="32"/>
      <c r="CE11" s="32"/>
      <c r="CF11" s="32"/>
      <c r="CG11" s="32"/>
      <c r="CH11" s="32"/>
      <c r="CI11" s="32"/>
      <c r="CJ11" s="32"/>
      <c r="CK11" s="32"/>
      <c r="CL11" s="32"/>
      <c r="CM11" s="32"/>
      <c r="CN11" s="32"/>
      <c r="CO11" s="32"/>
      <c r="CP11" s="32"/>
      <c r="CQ11" s="32"/>
      <c r="CR11" s="32"/>
      <c r="CS11" s="32"/>
      <c r="CT11" s="32"/>
      <c r="CU11" s="32"/>
      <c r="CV11" s="32"/>
      <c r="CW11" s="32"/>
      <c r="CX11" s="11"/>
      <c r="CY11" s="11"/>
      <c r="CZ11" s="11"/>
      <c r="DA11" s="11"/>
      <c r="DB11" s="11"/>
      <c r="DC11" s="11"/>
      <c r="DD11" s="11"/>
      <c r="DE11" s="11"/>
      <c r="DF11" s="11"/>
      <c r="DG11" s="11"/>
      <c r="DH11" s="11"/>
      <c r="DI11" s="11"/>
      <c r="DJ11" s="11"/>
      <c r="DK11" s="11"/>
      <c r="DL11" s="11"/>
      <c r="DM11" s="11"/>
      <c r="DN11" s="11"/>
      <c r="DO11" s="11"/>
      <c r="DP11" s="11"/>
      <c r="DQ11" s="11"/>
      <c r="DR11" s="11"/>
      <c r="DS11" s="11"/>
      <c r="DT11" s="11"/>
      <c r="DU11" s="11"/>
      <c r="DV11" s="11"/>
      <c r="DW11" s="11"/>
      <c r="DX11" s="11"/>
      <c r="DY11" s="11"/>
      <c r="DZ11" s="11"/>
      <c r="EA11" s="11"/>
    </row>
    <row r="12" spans="1:131">
      <c r="A12" s="11" t="s">
        <v>951</v>
      </c>
      <c r="B12" s="11"/>
      <c r="C12" s="166">
        <v>1235.4854860853059</v>
      </c>
      <c r="D12" s="166">
        <v>134.02315442591345</v>
      </c>
      <c r="E12" s="166">
        <v>26.804630885182689</v>
      </c>
      <c r="F12" s="166">
        <v>160.82778531109614</v>
      </c>
      <c r="G12" s="166">
        <v>-515.02902307136992</v>
      </c>
      <c r="H12" s="166">
        <v>814.69740376425398</v>
      </c>
      <c r="I12" s="166">
        <v>1140.3220962062569</v>
      </c>
      <c r="J12" s="166">
        <v>-6.38607218242658</v>
      </c>
      <c r="K12" s="166">
        <v>-43.925974662881053</v>
      </c>
      <c r="L12" s="382">
        <v>6.4047492917696607</v>
      </c>
      <c r="M12" s="166">
        <v>11.737143214371596</v>
      </c>
      <c r="N12" s="166">
        <v>0.28838053708293826</v>
      </c>
      <c r="O12" s="166">
        <v>50.602354927442711</v>
      </c>
      <c r="P12" s="166">
        <v>37.408422779947465</v>
      </c>
      <c r="Q12" s="166">
        <v>34.847671197167841</v>
      </c>
      <c r="R12" s="166">
        <v>20.005128032504174</v>
      </c>
      <c r="S12" s="166">
        <v>16.069897752203097</v>
      </c>
      <c r="T12" s="166">
        <v>12.465540114071507</v>
      </c>
      <c r="U12" s="166">
        <v>13.007693789617592</v>
      </c>
      <c r="V12" s="166">
        <v>18.93312778718149</v>
      </c>
      <c r="W12" s="166">
        <v>23.920520820524271</v>
      </c>
      <c r="X12" s="166">
        <v>39.023629100980457</v>
      </c>
      <c r="Y12" s="166">
        <v>45.190411327708347</v>
      </c>
      <c r="Z12" s="166">
        <v>53.233393291537745</v>
      </c>
      <c r="AA12" s="166"/>
      <c r="AB12" s="166">
        <v>83.865446748514358</v>
      </c>
      <c r="AC12" s="166">
        <v>72.746247683119122</v>
      </c>
      <c r="AD12" s="166">
        <v>73.336088814908095</v>
      </c>
      <c r="AE12" s="166">
        <v>69.834289500871449</v>
      </c>
      <c r="AF12" s="166">
        <v>64.320935401539117</v>
      </c>
      <c r="AG12" s="166">
        <v>58.441543781547168</v>
      </c>
      <c r="AH12" s="166">
        <v>63.816657947450807</v>
      </c>
      <c r="AI12" s="166">
        <v>68.909452446546254</v>
      </c>
      <c r="AJ12" s="166">
        <v>74.277285429848305</v>
      </c>
      <c r="AK12" s="166">
        <v>76.658366465114042</v>
      </c>
      <c r="AL12" s="166">
        <v>80.359376556127629</v>
      </c>
      <c r="AM12" s="32">
        <v>84.212004388833122</v>
      </c>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2"/>
      <c r="CK12" s="32"/>
      <c r="CL12" s="32"/>
      <c r="CM12" s="32"/>
      <c r="CN12" s="32"/>
      <c r="CO12" s="32"/>
      <c r="CP12" s="32"/>
      <c r="CQ12" s="32"/>
      <c r="CR12" s="32"/>
      <c r="CS12" s="32"/>
      <c r="CT12" s="32"/>
      <c r="CU12" s="32"/>
      <c r="CV12" s="32"/>
      <c r="CW12" s="32"/>
      <c r="CX12" s="11"/>
      <c r="CY12" s="11"/>
      <c r="CZ12" s="11"/>
      <c r="DA12" s="11"/>
      <c r="DB12" s="11"/>
      <c r="DC12" s="11"/>
      <c r="DD12" s="11"/>
      <c r="DE12" s="11"/>
      <c r="DF12" s="11"/>
      <c r="DG12" s="11"/>
      <c r="DH12" s="11"/>
      <c r="DI12" s="11"/>
      <c r="DJ12" s="11"/>
      <c r="DK12" s="11"/>
      <c r="DL12" s="11"/>
      <c r="DM12" s="11"/>
      <c r="DN12" s="11"/>
      <c r="DO12" s="11"/>
      <c r="DP12" s="11"/>
      <c r="DQ12" s="11"/>
      <c r="DR12" s="11"/>
      <c r="DS12" s="11"/>
      <c r="DT12" s="11"/>
      <c r="DU12" s="11"/>
      <c r="DV12" s="11"/>
      <c r="DW12" s="11"/>
      <c r="DX12" s="11"/>
      <c r="DY12" s="11"/>
      <c r="DZ12" s="11"/>
      <c r="EA12" s="11"/>
    </row>
    <row r="13" spans="1:131">
      <c r="A13" s="11" t="s">
        <v>531</v>
      </c>
      <c r="B13" s="11"/>
      <c r="C13" s="166">
        <v>364.19161716693708</v>
      </c>
      <c r="D13" s="166">
        <v>113.40810404906972</v>
      </c>
      <c r="E13" s="166">
        <v>22.681620809813946</v>
      </c>
      <c r="F13" s="166">
        <v>136.08972485888367</v>
      </c>
      <c r="G13" s="166">
        <v>-552.87252444970136</v>
      </c>
      <c r="H13" s="166">
        <v>240.15333916931365</v>
      </c>
      <c r="I13" s="166">
        <v>3273.4031580341634</v>
      </c>
      <c r="J13" s="166">
        <v>6.4580770520569777</v>
      </c>
      <c r="K13" s="166">
        <v>-124.95550307412722</v>
      </c>
      <c r="L13" s="382">
        <v>4.8092225827692152</v>
      </c>
      <c r="M13" s="166">
        <v>3.4598295296095349</v>
      </c>
      <c r="N13" s="166">
        <v>8.5007695632657157E-2</v>
      </c>
      <c r="O13" s="166">
        <v>14.916365818164079</v>
      </c>
      <c r="P13" s="166">
        <v>11.027109700059137</v>
      </c>
      <c r="Q13" s="166">
        <v>10.272261285732309</v>
      </c>
      <c r="R13" s="166">
        <v>5.8970340095814526</v>
      </c>
      <c r="S13" s="166">
        <v>4.7370220985971807</v>
      </c>
      <c r="T13" s="166">
        <v>3.6745435410882417</v>
      </c>
      <c r="U13" s="166">
        <v>3.8343574976857817</v>
      </c>
      <c r="V13" s="166">
        <v>5.5810339372661835</v>
      </c>
      <c r="W13" s="166">
        <v>7.0511983015724509</v>
      </c>
      <c r="X13" s="166">
        <v>11.503233951408415</v>
      </c>
      <c r="Y13" s="166">
        <v>13.321054085406562</v>
      </c>
      <c r="Z13" s="166">
        <v>15.69193309713239</v>
      </c>
      <c r="AA13" s="166"/>
      <c r="AB13" s="166">
        <v>24.721530944524748</v>
      </c>
      <c r="AC13" s="166">
        <v>21.443856593158245</v>
      </c>
      <c r="AD13" s="166">
        <v>21.61772767305126</v>
      </c>
      <c r="AE13" s="166">
        <v>20.585480860331501</v>
      </c>
      <c r="AF13" s="166">
        <v>18.960275734035783</v>
      </c>
      <c r="AG13" s="166">
        <v>17.227171487844124</v>
      </c>
      <c r="AH13" s="166">
        <v>18.811626783017211</v>
      </c>
      <c r="AI13" s="166">
        <v>20.312860982377433</v>
      </c>
      <c r="AJ13" s="166">
        <v>21.895169958798558</v>
      </c>
      <c r="AK13" s="166">
        <v>22.597055786358236</v>
      </c>
      <c r="AL13" s="166">
        <v>23.68802517885851</v>
      </c>
      <c r="AM13" s="32">
        <v>24.823687860887368</v>
      </c>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c r="BV13" s="32"/>
      <c r="BW13" s="32"/>
      <c r="BX13" s="32"/>
      <c r="BY13" s="32"/>
      <c r="BZ13" s="32"/>
      <c r="CA13" s="32"/>
      <c r="CB13" s="32"/>
      <c r="CC13" s="32"/>
      <c r="CD13" s="32"/>
      <c r="CE13" s="32"/>
      <c r="CF13" s="32"/>
      <c r="CG13" s="32"/>
      <c r="CH13" s="32"/>
      <c r="CI13" s="32"/>
      <c r="CJ13" s="32"/>
      <c r="CK13" s="32"/>
      <c r="CL13" s="32"/>
      <c r="CM13" s="32"/>
      <c r="CN13" s="32"/>
      <c r="CO13" s="32"/>
      <c r="CP13" s="32"/>
      <c r="CQ13" s="32"/>
      <c r="CR13" s="32"/>
      <c r="CS13" s="32"/>
      <c r="CT13" s="32"/>
      <c r="CU13" s="32"/>
      <c r="CV13" s="32"/>
      <c r="CW13" s="32"/>
      <c r="CX13" s="11"/>
      <c r="CY13" s="11"/>
      <c r="CZ13" s="11"/>
      <c r="DA13" s="11"/>
      <c r="DB13" s="11"/>
      <c r="DC13" s="11"/>
      <c r="DD13" s="11"/>
      <c r="DE13" s="11"/>
      <c r="DF13" s="11"/>
      <c r="DG13" s="11"/>
      <c r="DH13" s="11"/>
      <c r="DI13" s="11"/>
      <c r="DJ13" s="11"/>
      <c r="DK13" s="11"/>
      <c r="DL13" s="11"/>
      <c r="DM13" s="11"/>
      <c r="DN13" s="11"/>
      <c r="DO13" s="11"/>
      <c r="DP13" s="11"/>
      <c r="DQ13" s="11"/>
      <c r="DR13" s="11"/>
      <c r="DS13" s="11"/>
      <c r="DT13" s="11"/>
      <c r="DU13" s="11"/>
      <c r="DV13" s="11"/>
      <c r="DW13" s="11"/>
      <c r="DX13" s="11"/>
      <c r="DY13" s="11"/>
      <c r="DZ13" s="11"/>
      <c r="EA13" s="11"/>
    </row>
    <row r="14" spans="1:131">
      <c r="A14" s="11" t="s">
        <v>533</v>
      </c>
      <c r="B14" s="11"/>
      <c r="C14" s="166">
        <v>290.43128963945617</v>
      </c>
      <c r="D14" s="166">
        <v>113.40810404906972</v>
      </c>
      <c r="E14" s="166">
        <v>22.681620809813946</v>
      </c>
      <c r="F14" s="166">
        <v>136.08972485888367</v>
      </c>
      <c r="G14" s="166">
        <v>-552.87252444970136</v>
      </c>
      <c r="H14" s="166">
        <v>191.51468819831331</v>
      </c>
      <c r="I14" s="166">
        <v>4104.7436426142685</v>
      </c>
      <c r="J14" s="166">
        <v>11.463916464209712</v>
      </c>
      <c r="K14" s="166">
        <v>-153.32454115433868</v>
      </c>
      <c r="L14" s="382">
        <v>4.5755915548621946</v>
      </c>
      <c r="M14" s="166">
        <v>2.7591045615873551</v>
      </c>
      <c r="N14" s="166">
        <v>6.7790947150093692E-2</v>
      </c>
      <c r="O14" s="166">
        <v>11.895329703092875</v>
      </c>
      <c r="P14" s="166">
        <v>8.7937710266294395</v>
      </c>
      <c r="Q14" s="166">
        <v>8.1918033038118416</v>
      </c>
      <c r="R14" s="166">
        <v>4.7026980076409064</v>
      </c>
      <c r="S14" s="166">
        <v>3.7776252178686383</v>
      </c>
      <c r="T14" s="166">
        <v>2.9303321909944207</v>
      </c>
      <c r="U14" s="166">
        <v>3.0577787639772693</v>
      </c>
      <c r="V14" s="166">
        <v>4.4506979499717669</v>
      </c>
      <c r="W14" s="166">
        <v>5.6231075063172717</v>
      </c>
      <c r="X14" s="166">
        <v>9.1734650498573451</v>
      </c>
      <c r="Y14" s="166">
        <v>10.623119080767259</v>
      </c>
      <c r="Z14" s="166">
        <v>12.513820064801781</v>
      </c>
      <c r="AA14" s="166"/>
      <c r="AB14" s="166">
        <v>19.714638601329867</v>
      </c>
      <c r="AC14" s="166">
        <v>17.100797029986953</v>
      </c>
      <c r="AD14" s="166">
        <v>17.239453713952273</v>
      </c>
      <c r="AE14" s="166">
        <v>16.416269546846642</v>
      </c>
      <c r="AF14" s="166">
        <v>15.120219889167776</v>
      </c>
      <c r="AG14" s="166">
        <v>13.738124097901013</v>
      </c>
      <c r="AH14" s="166">
        <v>15.001677054811195</v>
      </c>
      <c r="AI14" s="166">
        <v>16.198863821389601</v>
      </c>
      <c r="AJ14" s="166">
        <v>17.460705157016573</v>
      </c>
      <c r="AK14" s="166">
        <v>18.020436892918596</v>
      </c>
      <c r="AL14" s="166">
        <v>18.890450459089703</v>
      </c>
      <c r="AM14" s="32">
        <v>19.796105509315243</v>
      </c>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c r="BU14" s="32"/>
      <c r="BV14" s="32"/>
      <c r="BW14" s="32"/>
      <c r="BX14" s="32"/>
      <c r="BY14" s="32"/>
      <c r="BZ14" s="32"/>
      <c r="CA14" s="32"/>
      <c r="CB14" s="32"/>
      <c r="CC14" s="32"/>
      <c r="CD14" s="32"/>
      <c r="CE14" s="32"/>
      <c r="CF14" s="32"/>
      <c r="CG14" s="32"/>
      <c r="CH14" s="32"/>
      <c r="CI14" s="32"/>
      <c r="CJ14" s="32"/>
      <c r="CK14" s="32"/>
      <c r="CL14" s="32"/>
      <c r="CM14" s="32"/>
      <c r="CN14" s="32"/>
      <c r="CO14" s="32"/>
      <c r="CP14" s="32"/>
      <c r="CQ14" s="32"/>
      <c r="CR14" s="32"/>
      <c r="CS14" s="32"/>
      <c r="CT14" s="32"/>
      <c r="CU14" s="32"/>
      <c r="CV14" s="32"/>
      <c r="CW14" s="32"/>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c r="DY14" s="11"/>
      <c r="DZ14" s="11"/>
      <c r="EA14" s="11"/>
    </row>
    <row r="15" spans="1:131">
      <c r="A15" s="11" t="s">
        <v>842</v>
      </c>
      <c r="B15" s="11"/>
      <c r="C15" s="166">
        <v>714.55317292247162</v>
      </c>
      <c r="D15" s="166">
        <v>162.01157721295672</v>
      </c>
      <c r="E15" s="166">
        <v>32.402315442591345</v>
      </c>
      <c r="F15" s="166">
        <v>194.41389265554807</v>
      </c>
      <c r="G15" s="166">
        <v>-463.65005979177749</v>
      </c>
      <c r="H15" s="166">
        <v>471.18693128156463</v>
      </c>
      <c r="I15" s="166">
        <v>2383.3995344211876</v>
      </c>
      <c r="J15" s="166">
        <v>1.0990030039660381</v>
      </c>
      <c r="K15" s="166">
        <v>-60.997194093824724</v>
      </c>
      <c r="L15" s="382">
        <v>4.1432789757292987</v>
      </c>
      <c r="M15" s="166">
        <v>6.788273127714926</v>
      </c>
      <c r="N15" s="166">
        <v>0.16678725092483371</v>
      </c>
      <c r="O15" s="166">
        <v>29.266287364752312</v>
      </c>
      <c r="P15" s="166">
        <v>21.635468398850211</v>
      </c>
      <c r="Q15" s="166">
        <v>20.154436699854532</v>
      </c>
      <c r="R15" s="166">
        <v>11.570130018799055</v>
      </c>
      <c r="S15" s="166">
        <v>9.2941572820577623</v>
      </c>
      <c r="T15" s="166">
        <v>7.2095474540338929</v>
      </c>
      <c r="U15" s="166">
        <v>7.5231064828012189</v>
      </c>
      <c r="V15" s="166">
        <v>10.950129876914666</v>
      </c>
      <c r="W15" s="166">
        <v>13.834629579034559</v>
      </c>
      <c r="X15" s="166">
        <v>22.569636233776009</v>
      </c>
      <c r="Y15" s="166">
        <v>26.136245357443258</v>
      </c>
      <c r="Z15" s="166">
        <v>30.787970000702796</v>
      </c>
      <c r="AA15" s="166"/>
      <c r="AB15" s="166">
        <v>48.504269574700466</v>
      </c>
      <c r="AC15" s="166">
        <v>42.07338951822188</v>
      </c>
      <c r="AD15" s="166">
        <v>42.414528978771465</v>
      </c>
      <c r="AE15" s="166">
        <v>40.389234599384601</v>
      </c>
      <c r="AF15" s="166">
        <v>37.200540997158818</v>
      </c>
      <c r="AG15" s="166">
        <v>33.800146590073922</v>
      </c>
      <c r="AH15" s="166">
        <v>36.908887991995798</v>
      </c>
      <c r="AI15" s="166">
        <v>39.854347497069654</v>
      </c>
      <c r="AJ15" s="166">
        <v>42.958877767263004</v>
      </c>
      <c r="AK15" s="166">
        <v>44.335995530196548</v>
      </c>
      <c r="AL15" s="166">
        <v>46.476505097760381</v>
      </c>
      <c r="AM15" s="32">
        <v>48.70470403085497</v>
      </c>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c r="BW15" s="32"/>
      <c r="BX15" s="32"/>
      <c r="BY15" s="32"/>
      <c r="BZ15" s="32"/>
      <c r="CA15" s="32"/>
      <c r="CB15" s="32"/>
      <c r="CC15" s="32"/>
      <c r="CD15" s="32"/>
      <c r="CE15" s="32"/>
      <c r="CF15" s="32"/>
      <c r="CG15" s="32"/>
      <c r="CH15" s="32"/>
      <c r="CI15" s="32"/>
      <c r="CJ15" s="32"/>
      <c r="CK15" s="32"/>
      <c r="CL15" s="32"/>
      <c r="CM15" s="32"/>
      <c r="CN15" s="32"/>
      <c r="CO15" s="32"/>
      <c r="CP15" s="32"/>
      <c r="CQ15" s="32"/>
      <c r="CR15" s="32"/>
      <c r="CS15" s="32"/>
      <c r="CT15" s="32"/>
      <c r="CU15" s="32"/>
      <c r="CV15" s="32"/>
      <c r="CW15" s="32"/>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row>
    <row r="16" spans="1:131">
      <c r="A16" s="11" t="s">
        <v>950</v>
      </c>
      <c r="B16" s="11"/>
      <c r="C16" s="166">
        <v>1235.4854860853059</v>
      </c>
      <c r="D16" s="166">
        <v>134.02315442591345</v>
      </c>
      <c r="E16" s="166">
        <v>26.804630885182689</v>
      </c>
      <c r="F16" s="166">
        <v>160.82778531109614</v>
      </c>
      <c r="G16" s="166">
        <v>76.88462392705469</v>
      </c>
      <c r="H16" s="166">
        <v>814.69740376425398</v>
      </c>
      <c r="I16" s="166">
        <v>1140.3220962062569</v>
      </c>
      <c r="J16" s="166">
        <v>-6.38607218242658</v>
      </c>
      <c r="K16" s="166">
        <v>-8.6734017431057939</v>
      </c>
      <c r="L16" s="382">
        <v>3.9988823406129481</v>
      </c>
      <c r="M16" s="166">
        <v>11.737143214371596</v>
      </c>
      <c r="N16" s="166">
        <v>0.28838053708293826</v>
      </c>
      <c r="O16" s="166">
        <v>50.602354927442711</v>
      </c>
      <c r="P16" s="166">
        <v>37.408422779947465</v>
      </c>
      <c r="Q16" s="166">
        <v>34.847671197167841</v>
      </c>
      <c r="R16" s="166">
        <v>20.005128032504174</v>
      </c>
      <c r="S16" s="166">
        <v>16.069897752203097</v>
      </c>
      <c r="T16" s="166">
        <v>12.465540114071507</v>
      </c>
      <c r="U16" s="166">
        <v>13.007693789617592</v>
      </c>
      <c r="V16" s="166">
        <v>18.93312778718149</v>
      </c>
      <c r="W16" s="166">
        <v>23.920520820524271</v>
      </c>
      <c r="X16" s="166">
        <v>39.023629100980457</v>
      </c>
      <c r="Y16" s="166">
        <v>45.190411327708347</v>
      </c>
      <c r="Z16" s="166">
        <v>53.233393291537745</v>
      </c>
      <c r="AA16" s="166"/>
      <c r="AB16" s="166">
        <v>83.865446748514358</v>
      </c>
      <c r="AC16" s="166">
        <v>72.746247683119122</v>
      </c>
      <c r="AD16" s="166">
        <v>73.336088814908095</v>
      </c>
      <c r="AE16" s="166">
        <v>69.834289500871449</v>
      </c>
      <c r="AF16" s="166">
        <v>64.320935401539117</v>
      </c>
      <c r="AG16" s="166">
        <v>58.441543781547168</v>
      </c>
      <c r="AH16" s="166">
        <v>63.816657947450807</v>
      </c>
      <c r="AI16" s="166">
        <v>68.909452446546254</v>
      </c>
      <c r="AJ16" s="166">
        <v>74.277285429848305</v>
      </c>
      <c r="AK16" s="166">
        <v>76.658366465114042</v>
      </c>
      <c r="AL16" s="166">
        <v>80.359376556127629</v>
      </c>
      <c r="AM16" s="32">
        <v>84.212004388833122</v>
      </c>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c r="BU16" s="32"/>
      <c r="BV16" s="32"/>
      <c r="BW16" s="32"/>
      <c r="BX16" s="32"/>
      <c r="BY16" s="32"/>
      <c r="BZ16" s="32"/>
      <c r="CA16" s="32"/>
      <c r="CB16" s="32"/>
      <c r="CC16" s="32"/>
      <c r="CD16" s="32"/>
      <c r="CE16" s="32"/>
      <c r="CF16" s="32"/>
      <c r="CG16" s="32"/>
      <c r="CH16" s="32"/>
      <c r="CI16" s="32"/>
      <c r="CJ16" s="32"/>
      <c r="CK16" s="32"/>
      <c r="CL16" s="32"/>
      <c r="CM16" s="32"/>
      <c r="CN16" s="32"/>
      <c r="CO16" s="32"/>
      <c r="CP16" s="32"/>
      <c r="CQ16" s="32"/>
      <c r="CR16" s="32"/>
      <c r="CS16" s="32"/>
      <c r="CT16" s="32"/>
      <c r="CU16" s="32"/>
      <c r="CV16" s="32"/>
      <c r="CW16" s="32"/>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row>
    <row r="17" spans="1:131">
      <c r="A17" s="11" t="s">
        <v>840</v>
      </c>
      <c r="B17" s="11"/>
      <c r="C17" s="166">
        <v>424.12188328301545</v>
      </c>
      <c r="D17" s="166">
        <v>162.01157721295672</v>
      </c>
      <c r="E17" s="166">
        <v>32.402315442591345</v>
      </c>
      <c r="F17" s="166">
        <v>194.41389265554807</v>
      </c>
      <c r="G17" s="166">
        <v>-463.65005979177749</v>
      </c>
      <c r="H17" s="166">
        <v>279.67224308325115</v>
      </c>
      <c r="I17" s="166">
        <v>4015.5100851661305</v>
      </c>
      <c r="J17" s="166">
        <v>10.926604896872652</v>
      </c>
      <c r="K17" s="166">
        <v>-93.691988039622629</v>
      </c>
      <c r="L17" s="382">
        <v>3.4993334550605701</v>
      </c>
      <c r="M17" s="166">
        <v>4.0291685661275602</v>
      </c>
      <c r="N17" s="166">
        <v>9.8996303774740002E-2</v>
      </c>
      <c r="O17" s="166">
        <v>17.370957661659439</v>
      </c>
      <c r="P17" s="166">
        <v>12.841697372220771</v>
      </c>
      <c r="Q17" s="166">
        <v>11.962633396042692</v>
      </c>
      <c r="R17" s="166">
        <v>6.8674320111581491</v>
      </c>
      <c r="S17" s="166">
        <v>5.5165320641891231</v>
      </c>
      <c r="T17" s="166">
        <v>4.2792152630394726</v>
      </c>
      <c r="U17" s="166">
        <v>4.46532771882395</v>
      </c>
      <c r="V17" s="166">
        <v>6.4994319269428988</v>
      </c>
      <c r="W17" s="166">
        <v>8.2115220727172868</v>
      </c>
      <c r="X17" s="166">
        <v>13.396171183918664</v>
      </c>
      <c r="Y17" s="166">
        <v>15.513126276675999</v>
      </c>
      <c r="Z17" s="166">
        <v>18.274149935901015</v>
      </c>
      <c r="AA17" s="166"/>
      <c r="AB17" s="166">
        <v>28.789630973370599</v>
      </c>
      <c r="AC17" s="166">
        <v>24.972592488234923</v>
      </c>
      <c r="AD17" s="166">
        <v>25.175075264819196</v>
      </c>
      <c r="AE17" s="166">
        <v>23.972965052537958</v>
      </c>
      <c r="AF17" s="166">
        <v>22.080321107991043</v>
      </c>
      <c r="AG17" s="166">
        <v>20.062022492172908</v>
      </c>
      <c r="AH17" s="166">
        <v>21.907210937184605</v>
      </c>
      <c r="AI17" s="166">
        <v>23.655483675680056</v>
      </c>
      <c r="AJ17" s="166">
        <v>25.498172610246431</v>
      </c>
      <c r="AK17" s="166">
        <v>26.315558637277952</v>
      </c>
      <c r="AL17" s="166">
        <v>27.586054638670678</v>
      </c>
      <c r="AM17" s="32">
        <v>28.908598521539727</v>
      </c>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c r="BW17" s="32"/>
      <c r="BX17" s="32"/>
      <c r="BY17" s="32"/>
      <c r="BZ17" s="32"/>
      <c r="CA17" s="32"/>
      <c r="CB17" s="32"/>
      <c r="CC17" s="32"/>
      <c r="CD17" s="32"/>
      <c r="CE17" s="32"/>
      <c r="CF17" s="32"/>
      <c r="CG17" s="32"/>
      <c r="CH17" s="32"/>
      <c r="CI17" s="32"/>
      <c r="CJ17" s="32"/>
      <c r="CK17" s="32"/>
      <c r="CL17" s="32"/>
      <c r="CM17" s="32"/>
      <c r="CN17" s="32"/>
      <c r="CO17" s="32"/>
      <c r="CP17" s="32"/>
      <c r="CQ17" s="32"/>
      <c r="CR17" s="32"/>
      <c r="CS17" s="32"/>
      <c r="CT17" s="32"/>
      <c r="CU17" s="32"/>
      <c r="CV17" s="32"/>
      <c r="CW17" s="32"/>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row>
    <row r="18" spans="1:131">
      <c r="A18" s="11" t="s">
        <v>868</v>
      </c>
      <c r="B18" s="11"/>
      <c r="C18" s="166">
        <v>3130.2038994474719</v>
      </c>
      <c r="D18" s="166">
        <v>532.0694632777404</v>
      </c>
      <c r="E18" s="166">
        <v>106.41389265554808</v>
      </c>
      <c r="F18" s="166">
        <v>638.48335593328852</v>
      </c>
      <c r="G18" s="166">
        <v>215.67334060532795</v>
      </c>
      <c r="H18" s="166">
        <v>2064.1027505818233</v>
      </c>
      <c r="I18" s="166">
        <v>1786.8210434990756</v>
      </c>
      <c r="J18" s="166">
        <v>-2.4932388965458538</v>
      </c>
      <c r="K18" s="166">
        <v>-8.1825791591389176</v>
      </c>
      <c r="L18" s="382">
        <v>2.8924639889216341</v>
      </c>
      <c r="M18" s="166">
        <v>29.73701583044155</v>
      </c>
      <c r="N18" s="166">
        <v>0.73063576372878758</v>
      </c>
      <c r="O18" s="166">
        <v>128.20522013333431</v>
      </c>
      <c r="P18" s="166">
        <v>94.777309953672855</v>
      </c>
      <c r="Q18" s="166">
        <v>88.289435607749851</v>
      </c>
      <c r="R18" s="166">
        <v>50.684634082351991</v>
      </c>
      <c r="S18" s="166">
        <v>40.714405125917544</v>
      </c>
      <c r="T18" s="166">
        <v>31.582469169606536</v>
      </c>
      <c r="U18" s="166">
        <v>32.956060011755014</v>
      </c>
      <c r="V18" s="166">
        <v>47.968633460806828</v>
      </c>
      <c r="W18" s="166">
        <v>60.604603123641709</v>
      </c>
      <c r="X18" s="166">
        <v>98.869567759573613</v>
      </c>
      <c r="Y18" s="166">
        <v>114.49361675938046</v>
      </c>
      <c r="Z18" s="166">
        <v>134.8711718095303</v>
      </c>
      <c r="AA18" s="166"/>
      <c r="AB18" s="166">
        <v>212.479993814333</v>
      </c>
      <c r="AC18" s="166">
        <v>184.30859021208164</v>
      </c>
      <c r="AD18" s="166">
        <v>185.80300113926339</v>
      </c>
      <c r="AE18" s="166">
        <v>176.93090511601383</v>
      </c>
      <c r="AF18" s="166">
        <v>162.96236991658603</v>
      </c>
      <c r="AG18" s="166">
        <v>148.06644861071092</v>
      </c>
      <c r="AH18" s="166">
        <v>161.68474159074287</v>
      </c>
      <c r="AI18" s="166">
        <v>174.58775451942125</v>
      </c>
      <c r="AJ18" s="166">
        <v>188.18760002562308</v>
      </c>
      <c r="AK18" s="166">
        <v>194.22026429034486</v>
      </c>
      <c r="AL18" s="166">
        <v>203.59707717018901</v>
      </c>
      <c r="AM18" s="32">
        <v>213.35802604484209</v>
      </c>
      <c r="AN18" s="32"/>
      <c r="AO18" s="32"/>
      <c r="AP18" s="32"/>
      <c r="AQ18" s="32"/>
      <c r="AR18" s="32"/>
      <c r="AS18" s="32"/>
      <c r="AT18" s="32"/>
      <c r="AU18" s="32"/>
      <c r="AV18" s="32"/>
      <c r="AW18" s="32"/>
      <c r="AX18" s="32"/>
      <c r="AY18" s="32"/>
      <c r="AZ18" s="32"/>
      <c r="BA18" s="32"/>
      <c r="BB18" s="32"/>
      <c r="BC18" s="32"/>
      <c r="BD18" s="32"/>
      <c r="BE18" s="32"/>
      <c r="BF18" s="32"/>
      <c r="BG18" s="32"/>
      <c r="BH18" s="32"/>
      <c r="BI18" s="32"/>
      <c r="BJ18" s="32"/>
      <c r="BK18" s="32"/>
      <c r="BL18" s="32"/>
      <c r="BM18" s="32"/>
      <c r="BN18" s="32"/>
      <c r="BO18" s="32"/>
      <c r="BP18" s="32"/>
      <c r="BQ18" s="32"/>
      <c r="BR18" s="32"/>
      <c r="BS18" s="32"/>
      <c r="BT18" s="32"/>
      <c r="BU18" s="32"/>
      <c r="BV18" s="32"/>
      <c r="BW18" s="32"/>
      <c r="BX18" s="32"/>
      <c r="BY18" s="32"/>
      <c r="BZ18" s="32"/>
      <c r="CA18" s="32"/>
      <c r="CB18" s="32"/>
      <c r="CC18" s="32"/>
      <c r="CD18" s="32"/>
      <c r="CE18" s="32"/>
      <c r="CF18" s="32"/>
      <c r="CG18" s="32"/>
      <c r="CH18" s="32"/>
      <c r="CI18" s="32"/>
      <c r="CJ18" s="32"/>
      <c r="CK18" s="32"/>
      <c r="CL18" s="32"/>
      <c r="CM18" s="32"/>
      <c r="CN18" s="32"/>
      <c r="CO18" s="32"/>
      <c r="CP18" s="32"/>
      <c r="CQ18" s="32"/>
      <c r="CR18" s="32"/>
      <c r="CS18" s="32"/>
      <c r="CT18" s="32"/>
      <c r="CU18" s="32"/>
      <c r="CV18" s="32"/>
      <c r="CW18" s="32"/>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row>
    <row r="19" spans="1:131">
      <c r="A19" s="11" t="s">
        <v>953</v>
      </c>
      <c r="B19" s="11"/>
      <c r="C19" s="166">
        <v>1235.4854860853059</v>
      </c>
      <c r="D19" s="166">
        <v>324.02315442591345</v>
      </c>
      <c r="E19" s="166">
        <v>64.804630885182689</v>
      </c>
      <c r="F19" s="166">
        <v>388.82778531109614</v>
      </c>
      <c r="G19" s="166">
        <v>-166.24184426536436</v>
      </c>
      <c r="H19" s="166">
        <v>814.69740376425398</v>
      </c>
      <c r="I19" s="166">
        <v>2756.9173719051046</v>
      </c>
      <c r="J19" s="166">
        <v>3.3481059247307288</v>
      </c>
      <c r="K19" s="166">
        <v>-23.153273244874839</v>
      </c>
      <c r="L19" s="382">
        <v>2.6491461849723184</v>
      </c>
      <c r="M19" s="166">
        <v>11.737143214371596</v>
      </c>
      <c r="N19" s="166">
        <v>0.28838053708293826</v>
      </c>
      <c r="O19" s="166">
        <v>50.602354927442711</v>
      </c>
      <c r="P19" s="166">
        <v>37.408422779947465</v>
      </c>
      <c r="Q19" s="166">
        <v>34.847671197167841</v>
      </c>
      <c r="R19" s="166">
        <v>20.005128032504174</v>
      </c>
      <c r="S19" s="166">
        <v>16.069897752203097</v>
      </c>
      <c r="T19" s="166">
        <v>12.465540114071507</v>
      </c>
      <c r="U19" s="166">
        <v>13.007693789617592</v>
      </c>
      <c r="V19" s="166">
        <v>18.93312778718149</v>
      </c>
      <c r="W19" s="166">
        <v>23.920520820524271</v>
      </c>
      <c r="X19" s="166">
        <v>39.023629100980457</v>
      </c>
      <c r="Y19" s="166">
        <v>45.190411327708347</v>
      </c>
      <c r="Z19" s="166">
        <v>53.233393291537745</v>
      </c>
      <c r="AA19" s="166"/>
      <c r="AB19" s="166">
        <v>83.865446748514358</v>
      </c>
      <c r="AC19" s="166">
        <v>72.746247683119122</v>
      </c>
      <c r="AD19" s="166">
        <v>73.336088814908095</v>
      </c>
      <c r="AE19" s="166">
        <v>69.834289500871449</v>
      </c>
      <c r="AF19" s="166">
        <v>64.320935401539117</v>
      </c>
      <c r="AG19" s="166">
        <v>58.441543781547168</v>
      </c>
      <c r="AH19" s="166">
        <v>63.816657947450807</v>
      </c>
      <c r="AI19" s="166">
        <v>68.909452446546254</v>
      </c>
      <c r="AJ19" s="166">
        <v>74.277285429848305</v>
      </c>
      <c r="AK19" s="166">
        <v>76.658366465114042</v>
      </c>
      <c r="AL19" s="166">
        <v>80.359376556127629</v>
      </c>
      <c r="AM19" s="32">
        <v>84.212004388833122</v>
      </c>
      <c r="AN19" s="32"/>
      <c r="AO19" s="32"/>
      <c r="AP19" s="32"/>
      <c r="AQ19" s="32"/>
      <c r="AR19" s="32"/>
      <c r="AS19" s="32"/>
      <c r="AT19" s="32"/>
      <c r="AU19" s="32"/>
      <c r="AV19" s="32"/>
      <c r="AW19" s="32"/>
      <c r="AX19" s="32"/>
      <c r="AY19" s="32"/>
      <c r="AZ19" s="32"/>
      <c r="BA19" s="32"/>
      <c r="BB19" s="32"/>
      <c r="BC19" s="32"/>
      <c r="BD19" s="32"/>
      <c r="BE19" s="32"/>
      <c r="BF19" s="32"/>
      <c r="BG19" s="32"/>
      <c r="BH19" s="32"/>
      <c r="BI19" s="32"/>
      <c r="BJ19" s="32"/>
      <c r="BK19" s="32"/>
      <c r="BL19" s="32"/>
      <c r="BM19" s="32"/>
      <c r="BN19" s="32"/>
      <c r="BO19" s="32"/>
      <c r="BP19" s="32"/>
      <c r="BQ19" s="32"/>
      <c r="BR19" s="32"/>
      <c r="BS19" s="32"/>
      <c r="BT19" s="32"/>
      <c r="BU19" s="32"/>
      <c r="BV19" s="32"/>
      <c r="BW19" s="32"/>
      <c r="BX19" s="32"/>
      <c r="BY19" s="32"/>
      <c r="BZ19" s="32"/>
      <c r="CA19" s="32"/>
      <c r="CB19" s="32"/>
      <c r="CC19" s="32"/>
      <c r="CD19" s="32"/>
      <c r="CE19" s="32"/>
      <c r="CF19" s="32"/>
      <c r="CG19" s="32"/>
      <c r="CH19" s="32"/>
      <c r="CI19" s="32"/>
      <c r="CJ19" s="32"/>
      <c r="CK19" s="32"/>
      <c r="CL19" s="32"/>
      <c r="CM19" s="32"/>
      <c r="CN19" s="32"/>
      <c r="CO19" s="32"/>
      <c r="CP19" s="32"/>
      <c r="CQ19" s="32"/>
      <c r="CR19" s="32"/>
      <c r="CS19" s="32"/>
      <c r="CT19" s="32"/>
      <c r="CU19" s="32"/>
      <c r="CV19" s="32"/>
      <c r="CW19" s="32"/>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row>
    <row r="20" spans="1:131">
      <c r="A20" s="11" t="s">
        <v>867</v>
      </c>
      <c r="B20" s="11"/>
      <c r="C20" s="166">
        <v>3130.2038994474719</v>
      </c>
      <c r="D20" s="166">
        <v>532.0694632777404</v>
      </c>
      <c r="E20" s="166">
        <v>106.41389265554808</v>
      </c>
      <c r="F20" s="166">
        <v>638.48335593328852</v>
      </c>
      <c r="G20" s="166">
        <v>803.51121342737258</v>
      </c>
      <c r="H20" s="166">
        <v>2064.1027505818233</v>
      </c>
      <c r="I20" s="166">
        <v>1786.8210434990756</v>
      </c>
      <c r="J20" s="166">
        <v>-2.4932388965458538</v>
      </c>
      <c r="K20" s="166">
        <v>5.6357345933099179</v>
      </c>
      <c r="L20" s="382">
        <v>2.2906222309211701</v>
      </c>
      <c r="M20" s="166">
        <v>29.73701583044155</v>
      </c>
      <c r="N20" s="166">
        <v>0.73063576372878758</v>
      </c>
      <c r="O20" s="166">
        <v>128.20522013333431</v>
      </c>
      <c r="P20" s="166">
        <v>94.777309953672855</v>
      </c>
      <c r="Q20" s="166">
        <v>88.289435607749851</v>
      </c>
      <c r="R20" s="166">
        <v>50.684634082351991</v>
      </c>
      <c r="S20" s="166">
        <v>40.714405125917544</v>
      </c>
      <c r="T20" s="166">
        <v>31.582469169606536</v>
      </c>
      <c r="U20" s="166">
        <v>32.956060011755014</v>
      </c>
      <c r="V20" s="166">
        <v>47.968633460806828</v>
      </c>
      <c r="W20" s="166">
        <v>60.604603123641709</v>
      </c>
      <c r="X20" s="166">
        <v>98.869567759573613</v>
      </c>
      <c r="Y20" s="166">
        <v>114.49361675938046</v>
      </c>
      <c r="Z20" s="166">
        <v>134.8711718095303</v>
      </c>
      <c r="AA20" s="166"/>
      <c r="AB20" s="166">
        <v>212.479993814333</v>
      </c>
      <c r="AC20" s="166">
        <v>184.30859021208164</v>
      </c>
      <c r="AD20" s="166">
        <v>185.80300113926339</v>
      </c>
      <c r="AE20" s="166">
        <v>176.93090511601383</v>
      </c>
      <c r="AF20" s="166">
        <v>162.96236991658603</v>
      </c>
      <c r="AG20" s="166">
        <v>148.06644861071092</v>
      </c>
      <c r="AH20" s="166">
        <v>161.68474159074287</v>
      </c>
      <c r="AI20" s="166">
        <v>174.58775451942125</v>
      </c>
      <c r="AJ20" s="166">
        <v>188.18760002562308</v>
      </c>
      <c r="AK20" s="166">
        <v>194.22026429034486</v>
      </c>
      <c r="AL20" s="166">
        <v>203.59707717018901</v>
      </c>
      <c r="AM20" s="32">
        <v>213.35802604484209</v>
      </c>
      <c r="AN20" s="32"/>
      <c r="AO20" s="32"/>
      <c r="AP20" s="32"/>
      <c r="AQ20" s="32"/>
      <c r="AR20" s="32"/>
      <c r="AS20" s="32"/>
      <c r="AT20" s="32"/>
      <c r="AU20" s="32"/>
      <c r="AV20" s="32"/>
      <c r="AW20" s="32"/>
      <c r="AX20" s="32"/>
      <c r="AY20" s="32"/>
      <c r="AZ20" s="32"/>
      <c r="BA20" s="32"/>
      <c r="BB20" s="32"/>
      <c r="BC20" s="32"/>
      <c r="BD20" s="32"/>
      <c r="BE20" s="32"/>
      <c r="BF20" s="32"/>
      <c r="BG20" s="32"/>
      <c r="BH20" s="32"/>
      <c r="BI20" s="32"/>
      <c r="BJ20" s="32"/>
      <c r="BK20" s="32"/>
      <c r="BL20" s="32"/>
      <c r="BM20" s="32"/>
      <c r="BN20" s="32"/>
      <c r="BO20" s="32"/>
      <c r="BP20" s="32"/>
      <c r="BQ20" s="32"/>
      <c r="BR20" s="32"/>
      <c r="BS20" s="32"/>
      <c r="BT20" s="32"/>
      <c r="BU20" s="32"/>
      <c r="BV20" s="32"/>
      <c r="BW20" s="32"/>
      <c r="BX20" s="32"/>
      <c r="BY20" s="32"/>
      <c r="BZ20" s="32"/>
      <c r="CA20" s="32"/>
      <c r="CB20" s="32"/>
      <c r="CC20" s="32"/>
      <c r="CD20" s="32"/>
      <c r="CE20" s="32"/>
      <c r="CF20" s="32"/>
      <c r="CG20" s="32"/>
      <c r="CH20" s="32"/>
      <c r="CI20" s="32"/>
      <c r="CJ20" s="32"/>
      <c r="CK20" s="32"/>
      <c r="CL20" s="32"/>
      <c r="CM20" s="32"/>
      <c r="CN20" s="32"/>
      <c r="CO20" s="32"/>
      <c r="CP20" s="32"/>
      <c r="CQ20" s="32"/>
      <c r="CR20" s="32"/>
      <c r="CS20" s="32"/>
      <c r="CT20" s="32"/>
      <c r="CU20" s="32"/>
      <c r="CV20" s="32"/>
      <c r="CW20" s="32"/>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row>
    <row r="21" spans="1:131">
      <c r="A21" s="11" t="s">
        <v>841</v>
      </c>
      <c r="B21" s="11"/>
      <c r="C21" s="166">
        <v>714.55317292247162</v>
      </c>
      <c r="D21" s="166">
        <v>162.01157721295672</v>
      </c>
      <c r="E21" s="166">
        <v>32.402315442591345</v>
      </c>
      <c r="F21" s="166">
        <v>194.41389265554807</v>
      </c>
      <c r="G21" s="166">
        <v>142.7263292620346</v>
      </c>
      <c r="H21" s="166">
        <v>471.18693128156463</v>
      </c>
      <c r="I21" s="166">
        <v>2383.3995344211876</v>
      </c>
      <c r="J21" s="166">
        <v>1.0990030039660381</v>
      </c>
      <c r="K21" s="166">
        <v>1.4449554274596133</v>
      </c>
      <c r="L21" s="382">
        <v>2.1044099822130136</v>
      </c>
      <c r="M21" s="166">
        <v>6.788273127714926</v>
      </c>
      <c r="N21" s="166">
        <v>0.16678725092483371</v>
      </c>
      <c r="O21" s="166">
        <v>29.266287364752312</v>
      </c>
      <c r="P21" s="166">
        <v>21.635468398850211</v>
      </c>
      <c r="Q21" s="166">
        <v>20.154436699854532</v>
      </c>
      <c r="R21" s="166">
        <v>11.570130018799055</v>
      </c>
      <c r="S21" s="166">
        <v>9.2941572820577623</v>
      </c>
      <c r="T21" s="166">
        <v>7.2095474540338929</v>
      </c>
      <c r="U21" s="166">
        <v>7.5231064828012189</v>
      </c>
      <c r="V21" s="166">
        <v>10.950129876914666</v>
      </c>
      <c r="W21" s="166">
        <v>13.834629579034559</v>
      </c>
      <c r="X21" s="166">
        <v>22.569636233776009</v>
      </c>
      <c r="Y21" s="166">
        <v>26.136245357443258</v>
      </c>
      <c r="Z21" s="166">
        <v>30.787970000702796</v>
      </c>
      <c r="AA21" s="166"/>
      <c r="AB21" s="166">
        <v>48.504269574700466</v>
      </c>
      <c r="AC21" s="166">
        <v>42.07338951822188</v>
      </c>
      <c r="AD21" s="166">
        <v>42.414528978771465</v>
      </c>
      <c r="AE21" s="166">
        <v>40.389234599384601</v>
      </c>
      <c r="AF21" s="166">
        <v>37.200540997158818</v>
      </c>
      <c r="AG21" s="166">
        <v>33.800146590073922</v>
      </c>
      <c r="AH21" s="166">
        <v>36.908887991995798</v>
      </c>
      <c r="AI21" s="166">
        <v>39.854347497069654</v>
      </c>
      <c r="AJ21" s="166">
        <v>42.958877767263004</v>
      </c>
      <c r="AK21" s="166">
        <v>44.335995530196548</v>
      </c>
      <c r="AL21" s="166">
        <v>46.476505097760381</v>
      </c>
      <c r="AM21" s="32">
        <v>48.70470403085497</v>
      </c>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c r="BM21" s="32"/>
      <c r="BN21" s="32"/>
      <c r="BO21" s="32"/>
      <c r="BP21" s="32"/>
      <c r="BQ21" s="32"/>
      <c r="BR21" s="32"/>
      <c r="BS21" s="32"/>
      <c r="BT21" s="32"/>
      <c r="BU21" s="32"/>
      <c r="BV21" s="32"/>
      <c r="BW21" s="32"/>
      <c r="BX21" s="32"/>
      <c r="BY21" s="32"/>
      <c r="BZ21" s="32"/>
      <c r="CA21" s="32"/>
      <c r="CB21" s="32"/>
      <c r="CC21" s="32"/>
      <c r="CD21" s="32"/>
      <c r="CE21" s="32"/>
      <c r="CF21" s="32"/>
      <c r="CG21" s="32"/>
      <c r="CH21" s="32"/>
      <c r="CI21" s="32"/>
      <c r="CJ21" s="32"/>
      <c r="CK21" s="32"/>
      <c r="CL21" s="32"/>
      <c r="CM21" s="32"/>
      <c r="CN21" s="32"/>
      <c r="CO21" s="32"/>
      <c r="CP21" s="32"/>
      <c r="CQ21" s="32"/>
      <c r="CR21" s="32"/>
      <c r="CS21" s="32"/>
      <c r="CT21" s="32"/>
      <c r="CU21" s="32"/>
      <c r="CV21" s="32"/>
      <c r="CW21" s="32"/>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row>
    <row r="22" spans="1:131">
      <c r="A22" s="11" t="s">
        <v>530</v>
      </c>
      <c r="B22" s="11"/>
      <c r="C22" s="166">
        <v>364.19161716693708</v>
      </c>
      <c r="D22" s="166">
        <v>113.40810404906972</v>
      </c>
      <c r="E22" s="166">
        <v>22.681620809813946</v>
      </c>
      <c r="F22" s="166">
        <v>136.08972485888367</v>
      </c>
      <c r="G22" s="166">
        <v>59.304435339024906</v>
      </c>
      <c r="H22" s="166">
        <v>240.15333916931365</v>
      </c>
      <c r="I22" s="166">
        <v>3273.4031580341634</v>
      </c>
      <c r="J22" s="166">
        <v>6.4580770520569777</v>
      </c>
      <c r="K22" s="166">
        <v>-1.2704700068627879</v>
      </c>
      <c r="L22" s="382">
        <v>1.868690114841389</v>
      </c>
      <c r="M22" s="166">
        <v>3.4598295296095349</v>
      </c>
      <c r="N22" s="166">
        <v>8.5007695632657157E-2</v>
      </c>
      <c r="O22" s="166">
        <v>14.916365818164079</v>
      </c>
      <c r="P22" s="166">
        <v>11.027109700059137</v>
      </c>
      <c r="Q22" s="166">
        <v>10.272261285732309</v>
      </c>
      <c r="R22" s="166">
        <v>5.8970340095814526</v>
      </c>
      <c r="S22" s="166">
        <v>4.7370220985971807</v>
      </c>
      <c r="T22" s="166">
        <v>3.6745435410882417</v>
      </c>
      <c r="U22" s="166">
        <v>3.8343574976857817</v>
      </c>
      <c r="V22" s="166">
        <v>5.5810339372661835</v>
      </c>
      <c r="W22" s="166">
        <v>7.0511983015724509</v>
      </c>
      <c r="X22" s="166">
        <v>11.503233951408415</v>
      </c>
      <c r="Y22" s="166">
        <v>13.321054085406562</v>
      </c>
      <c r="Z22" s="166">
        <v>15.69193309713239</v>
      </c>
      <c r="AA22" s="166"/>
      <c r="AB22" s="166">
        <v>24.721530944524748</v>
      </c>
      <c r="AC22" s="166">
        <v>21.443856593158245</v>
      </c>
      <c r="AD22" s="166">
        <v>21.61772767305126</v>
      </c>
      <c r="AE22" s="166">
        <v>20.585480860331501</v>
      </c>
      <c r="AF22" s="166">
        <v>18.960275734035783</v>
      </c>
      <c r="AG22" s="166">
        <v>17.227171487844124</v>
      </c>
      <c r="AH22" s="166">
        <v>18.811626783017211</v>
      </c>
      <c r="AI22" s="166">
        <v>20.312860982377433</v>
      </c>
      <c r="AJ22" s="166">
        <v>21.895169958798558</v>
      </c>
      <c r="AK22" s="166">
        <v>22.597055786358236</v>
      </c>
      <c r="AL22" s="166">
        <v>23.68802517885851</v>
      </c>
      <c r="AM22" s="32">
        <v>24.823687860887368</v>
      </c>
      <c r="AN22" s="32"/>
      <c r="AO22" s="32"/>
      <c r="AP22" s="32"/>
      <c r="AQ22" s="32"/>
      <c r="AR22" s="32"/>
      <c r="AS22" s="32"/>
      <c r="AT22" s="32"/>
      <c r="AU22" s="32"/>
      <c r="AV22" s="32"/>
      <c r="AW22" s="32"/>
      <c r="AX22" s="32"/>
      <c r="AY22" s="32"/>
      <c r="AZ22" s="32"/>
      <c r="BA22" s="32"/>
      <c r="BB22" s="32"/>
      <c r="BC22" s="32"/>
      <c r="BD22" s="32"/>
      <c r="BE22" s="32"/>
      <c r="BF22" s="32"/>
      <c r="BG22" s="32"/>
      <c r="BH22" s="32"/>
      <c r="BI22" s="32"/>
      <c r="BJ22" s="32"/>
      <c r="BK22" s="32"/>
      <c r="BL22" s="32"/>
      <c r="BM22" s="32"/>
      <c r="BN22" s="32"/>
      <c r="BO22" s="32"/>
      <c r="BP22" s="32"/>
      <c r="BQ22" s="32"/>
      <c r="BR22" s="32"/>
      <c r="BS22" s="32"/>
      <c r="BT22" s="32"/>
      <c r="BU22" s="32"/>
      <c r="BV22" s="32"/>
      <c r="BW22" s="32"/>
      <c r="BX22" s="32"/>
      <c r="BY22" s="32"/>
      <c r="BZ22" s="32"/>
      <c r="CA22" s="32"/>
      <c r="CB22" s="32"/>
      <c r="CC22" s="32"/>
      <c r="CD22" s="32"/>
      <c r="CE22" s="32"/>
      <c r="CF22" s="32"/>
      <c r="CG22" s="32"/>
      <c r="CH22" s="32"/>
      <c r="CI22" s="32"/>
      <c r="CJ22" s="32"/>
      <c r="CK22" s="32"/>
      <c r="CL22" s="32"/>
      <c r="CM22" s="32"/>
      <c r="CN22" s="32"/>
      <c r="CO22" s="32"/>
      <c r="CP22" s="32"/>
      <c r="CQ22" s="32"/>
      <c r="CR22" s="32"/>
      <c r="CS22" s="32"/>
      <c r="CT22" s="32"/>
      <c r="CU22" s="32"/>
      <c r="CV22" s="32"/>
      <c r="CW22" s="32"/>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row>
    <row r="23" spans="1:131">
      <c r="A23" s="11" t="s">
        <v>952</v>
      </c>
      <c r="B23" s="11"/>
      <c r="C23" s="166">
        <v>1235.4854860853059</v>
      </c>
      <c r="D23" s="166">
        <v>324.02315442591345</v>
      </c>
      <c r="E23" s="166">
        <v>64.804630885182689</v>
      </c>
      <c r="F23" s="166">
        <v>388.82778531109614</v>
      </c>
      <c r="G23" s="166">
        <v>425.67180273306013</v>
      </c>
      <c r="H23" s="166">
        <v>814.69740376425398</v>
      </c>
      <c r="I23" s="166">
        <v>2756.9173719051046</v>
      </c>
      <c r="J23" s="166">
        <v>3.3481059247307288</v>
      </c>
      <c r="K23" s="166">
        <v>12.09929967490041</v>
      </c>
      <c r="L23" s="382">
        <v>1.654026319250492</v>
      </c>
      <c r="M23" s="166">
        <v>11.737143214371596</v>
      </c>
      <c r="N23" s="166">
        <v>0.28838053708293826</v>
      </c>
      <c r="O23" s="166">
        <v>50.602354927442711</v>
      </c>
      <c r="P23" s="166">
        <v>37.408422779947465</v>
      </c>
      <c r="Q23" s="166">
        <v>34.847671197167841</v>
      </c>
      <c r="R23" s="166">
        <v>20.005128032504174</v>
      </c>
      <c r="S23" s="166">
        <v>16.069897752203097</v>
      </c>
      <c r="T23" s="166">
        <v>12.465540114071507</v>
      </c>
      <c r="U23" s="166">
        <v>13.007693789617592</v>
      </c>
      <c r="V23" s="166">
        <v>18.93312778718149</v>
      </c>
      <c r="W23" s="166">
        <v>23.920520820524271</v>
      </c>
      <c r="X23" s="166">
        <v>39.023629100980457</v>
      </c>
      <c r="Y23" s="166">
        <v>45.190411327708347</v>
      </c>
      <c r="Z23" s="166">
        <v>53.233393291537745</v>
      </c>
      <c r="AA23" s="166"/>
      <c r="AB23" s="166">
        <v>83.865446748514358</v>
      </c>
      <c r="AC23" s="166">
        <v>72.746247683119122</v>
      </c>
      <c r="AD23" s="166">
        <v>73.336088814908095</v>
      </c>
      <c r="AE23" s="166">
        <v>69.834289500871449</v>
      </c>
      <c r="AF23" s="166">
        <v>64.320935401539117</v>
      </c>
      <c r="AG23" s="166">
        <v>58.441543781547168</v>
      </c>
      <c r="AH23" s="166">
        <v>63.816657947450807</v>
      </c>
      <c r="AI23" s="166">
        <v>68.909452446546254</v>
      </c>
      <c r="AJ23" s="166">
        <v>74.277285429848305</v>
      </c>
      <c r="AK23" s="166">
        <v>76.658366465114042</v>
      </c>
      <c r="AL23" s="166">
        <v>80.359376556127629</v>
      </c>
      <c r="AM23" s="32">
        <v>84.212004388833122</v>
      </c>
      <c r="AN23" s="32"/>
      <c r="AO23" s="32"/>
      <c r="AP23" s="32"/>
      <c r="AQ23" s="32"/>
      <c r="AR23" s="32"/>
      <c r="AS23" s="32"/>
      <c r="AT23" s="32"/>
      <c r="AU23" s="32"/>
      <c r="AV23" s="32"/>
      <c r="AW23" s="32"/>
      <c r="AX23" s="32"/>
      <c r="AY23" s="32"/>
      <c r="AZ23" s="32"/>
      <c r="BA23" s="32"/>
      <c r="BB23" s="32"/>
      <c r="BC23" s="32"/>
      <c r="BD23" s="32"/>
      <c r="BE23" s="32"/>
      <c r="BF23" s="32"/>
      <c r="BG23" s="32"/>
      <c r="BH23" s="32"/>
      <c r="BI23" s="32"/>
      <c r="BJ23" s="32"/>
      <c r="BK23" s="32"/>
      <c r="BL23" s="32"/>
      <c r="BM23" s="32"/>
      <c r="BN23" s="32"/>
      <c r="BO23" s="32"/>
      <c r="BP23" s="32"/>
      <c r="BQ23" s="32"/>
      <c r="BR23" s="32"/>
      <c r="BS23" s="32"/>
      <c r="BT23" s="32"/>
      <c r="BU23" s="32"/>
      <c r="BV23" s="32"/>
      <c r="BW23" s="32"/>
      <c r="BX23" s="32"/>
      <c r="BY23" s="32"/>
      <c r="BZ23" s="32"/>
      <c r="CA23" s="32"/>
      <c r="CB23" s="32"/>
      <c r="CC23" s="32"/>
      <c r="CD23" s="32"/>
      <c r="CE23" s="32"/>
      <c r="CF23" s="32"/>
      <c r="CG23" s="32"/>
      <c r="CH23" s="32"/>
      <c r="CI23" s="32"/>
      <c r="CJ23" s="32"/>
      <c r="CK23" s="32"/>
      <c r="CL23" s="32"/>
      <c r="CM23" s="32"/>
      <c r="CN23" s="32"/>
      <c r="CO23" s="32"/>
      <c r="CP23" s="32"/>
      <c r="CQ23" s="32"/>
      <c r="CR23" s="32"/>
      <c r="CS23" s="32"/>
      <c r="CT23" s="32"/>
      <c r="CU23" s="32"/>
      <c r="CV23" s="32"/>
      <c r="CW23" s="32"/>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row>
    <row r="24" spans="1:131">
      <c r="A24" s="11" t="s">
        <v>532</v>
      </c>
      <c r="B24" s="11"/>
      <c r="C24" s="166">
        <v>290.43128963945617</v>
      </c>
      <c r="D24" s="166">
        <v>113.40810404906972</v>
      </c>
      <c r="E24" s="166">
        <v>22.681620809813946</v>
      </c>
      <c r="F24" s="166">
        <v>136.08972485888367</v>
      </c>
      <c r="G24" s="166">
        <v>59.304435339024906</v>
      </c>
      <c r="H24" s="166">
        <v>191.51468819831331</v>
      </c>
      <c r="I24" s="166">
        <v>4104.7436426142685</v>
      </c>
      <c r="J24" s="166">
        <v>11.463916464209712</v>
      </c>
      <c r="K24" s="166">
        <v>1.7725638030246098</v>
      </c>
      <c r="L24" s="382">
        <v>1.6350590869343675</v>
      </c>
      <c r="M24" s="166">
        <v>2.7591045615873551</v>
      </c>
      <c r="N24" s="166">
        <v>6.7790947150093692E-2</v>
      </c>
      <c r="O24" s="166">
        <v>11.895329703092875</v>
      </c>
      <c r="P24" s="166">
        <v>8.7937710266294395</v>
      </c>
      <c r="Q24" s="166">
        <v>8.1918033038118416</v>
      </c>
      <c r="R24" s="166">
        <v>4.7026980076409064</v>
      </c>
      <c r="S24" s="166">
        <v>3.7776252178686383</v>
      </c>
      <c r="T24" s="166">
        <v>2.9303321909944207</v>
      </c>
      <c r="U24" s="166">
        <v>3.0577787639772693</v>
      </c>
      <c r="V24" s="166">
        <v>4.4506979499717669</v>
      </c>
      <c r="W24" s="166">
        <v>5.6231075063172717</v>
      </c>
      <c r="X24" s="166">
        <v>9.1734650498573451</v>
      </c>
      <c r="Y24" s="166">
        <v>10.623119080767259</v>
      </c>
      <c r="Z24" s="166">
        <v>12.513820064801781</v>
      </c>
      <c r="AA24" s="166"/>
      <c r="AB24" s="166">
        <v>19.714638601329867</v>
      </c>
      <c r="AC24" s="166">
        <v>17.100797029986953</v>
      </c>
      <c r="AD24" s="166">
        <v>17.239453713952273</v>
      </c>
      <c r="AE24" s="166">
        <v>16.416269546846642</v>
      </c>
      <c r="AF24" s="166">
        <v>15.120219889167776</v>
      </c>
      <c r="AG24" s="166">
        <v>13.738124097901013</v>
      </c>
      <c r="AH24" s="166">
        <v>15.001677054811195</v>
      </c>
      <c r="AI24" s="166">
        <v>16.198863821389601</v>
      </c>
      <c r="AJ24" s="166">
        <v>17.460705157016573</v>
      </c>
      <c r="AK24" s="166">
        <v>18.020436892918596</v>
      </c>
      <c r="AL24" s="166">
        <v>18.890450459089703</v>
      </c>
      <c r="AM24" s="32">
        <v>19.796105509315243</v>
      </c>
      <c r="AN24" s="32"/>
      <c r="AO24" s="32"/>
      <c r="AP24" s="32"/>
      <c r="AQ24" s="32"/>
      <c r="AR24" s="32"/>
      <c r="AS24" s="32"/>
      <c r="AT24" s="32"/>
      <c r="AU24" s="32"/>
      <c r="AV24" s="32"/>
      <c r="AW24" s="32"/>
      <c r="AX24" s="32"/>
      <c r="AY24" s="32"/>
      <c r="AZ24" s="32"/>
      <c r="BA24" s="32"/>
      <c r="BB24" s="32"/>
      <c r="BC24" s="32"/>
      <c r="BD24" s="32"/>
      <c r="BE24" s="32"/>
      <c r="BF24" s="32"/>
      <c r="BG24" s="32"/>
      <c r="BH24" s="32"/>
      <c r="BI24" s="32"/>
      <c r="BJ24" s="32"/>
      <c r="BK24" s="32"/>
      <c r="BL24" s="32"/>
      <c r="BM24" s="32"/>
      <c r="BN24" s="32"/>
      <c r="BO24" s="32"/>
      <c r="BP24" s="32"/>
      <c r="BQ24" s="32"/>
      <c r="BR24" s="32"/>
      <c r="BS24" s="32"/>
      <c r="BT24" s="32"/>
      <c r="BU24" s="32"/>
      <c r="BV24" s="32"/>
      <c r="BW24" s="32"/>
      <c r="BX24" s="32"/>
      <c r="BY24" s="32"/>
      <c r="BZ24" s="32"/>
      <c r="CA24" s="32"/>
      <c r="CB24" s="32"/>
      <c r="CC24" s="32"/>
      <c r="CD24" s="32"/>
      <c r="CE24" s="32"/>
      <c r="CF24" s="32"/>
      <c r="CG24" s="32"/>
      <c r="CH24" s="32"/>
      <c r="CI24" s="32"/>
      <c r="CJ24" s="32"/>
      <c r="CK24" s="32"/>
      <c r="CL24" s="32"/>
      <c r="CM24" s="32"/>
      <c r="CN24" s="32"/>
      <c r="CO24" s="32"/>
      <c r="CP24" s="32"/>
      <c r="CQ24" s="32"/>
      <c r="CR24" s="32"/>
      <c r="CS24" s="32"/>
      <c r="CT24" s="32"/>
      <c r="CU24" s="32"/>
      <c r="CV24" s="32"/>
      <c r="CW24" s="32"/>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row>
    <row r="25" spans="1:131">
      <c r="A25" s="11" t="s">
        <v>870</v>
      </c>
      <c r="B25" s="11"/>
      <c r="C25" s="166">
        <v>3130.2038994474719</v>
      </c>
      <c r="D25" s="166">
        <v>972.0694632777404</v>
      </c>
      <c r="E25" s="166">
        <v>194.4138926555481</v>
      </c>
      <c r="F25" s="166">
        <v>1166.4833559332885</v>
      </c>
      <c r="G25" s="166">
        <v>1023.3910178402881</v>
      </c>
      <c r="H25" s="166">
        <v>2064.1027505818233</v>
      </c>
      <c r="I25" s="166">
        <v>3264.4500250540573</v>
      </c>
      <c r="J25" s="166">
        <v>6.4041665944702748</v>
      </c>
      <c r="K25" s="166">
        <v>10.80445247570561</v>
      </c>
      <c r="L25" s="382">
        <v>1.5832117150829619</v>
      </c>
      <c r="M25" s="166">
        <v>29.73701583044155</v>
      </c>
      <c r="N25" s="166">
        <v>0.73063576372878758</v>
      </c>
      <c r="O25" s="166">
        <v>128.20522013333431</v>
      </c>
      <c r="P25" s="166">
        <v>94.777309953672855</v>
      </c>
      <c r="Q25" s="166">
        <v>88.289435607749851</v>
      </c>
      <c r="R25" s="166">
        <v>50.684634082351991</v>
      </c>
      <c r="S25" s="166">
        <v>40.714405125917544</v>
      </c>
      <c r="T25" s="166">
        <v>31.582469169606536</v>
      </c>
      <c r="U25" s="166">
        <v>32.956060011755014</v>
      </c>
      <c r="V25" s="166">
        <v>47.968633460806828</v>
      </c>
      <c r="W25" s="166">
        <v>60.604603123641709</v>
      </c>
      <c r="X25" s="166">
        <v>98.869567759573613</v>
      </c>
      <c r="Y25" s="166">
        <v>114.49361675938046</v>
      </c>
      <c r="Z25" s="166">
        <v>134.8711718095303</v>
      </c>
      <c r="AA25" s="166"/>
      <c r="AB25" s="166">
        <v>212.479993814333</v>
      </c>
      <c r="AC25" s="166">
        <v>184.30859021208164</v>
      </c>
      <c r="AD25" s="166">
        <v>185.80300113926339</v>
      </c>
      <c r="AE25" s="166">
        <v>176.93090511601383</v>
      </c>
      <c r="AF25" s="166">
        <v>162.96236991658603</v>
      </c>
      <c r="AG25" s="166">
        <v>148.06644861071092</v>
      </c>
      <c r="AH25" s="166">
        <v>161.68474159074287</v>
      </c>
      <c r="AI25" s="166">
        <v>174.58775451942125</v>
      </c>
      <c r="AJ25" s="166">
        <v>188.18760002562308</v>
      </c>
      <c r="AK25" s="166">
        <v>194.22026429034486</v>
      </c>
      <c r="AL25" s="166">
        <v>203.59707717018901</v>
      </c>
      <c r="AM25" s="32">
        <v>213.35802604484209</v>
      </c>
      <c r="AN25" s="32"/>
      <c r="AO25" s="32"/>
      <c r="AP25" s="32"/>
      <c r="AQ25" s="32"/>
      <c r="AR25" s="32"/>
      <c r="AS25" s="32"/>
      <c r="AT25" s="32"/>
      <c r="AU25" s="32"/>
      <c r="AV25" s="32"/>
      <c r="AW25" s="32"/>
      <c r="AX25" s="32"/>
      <c r="AY25" s="32"/>
      <c r="AZ25" s="32"/>
      <c r="BA25" s="32"/>
      <c r="BB25" s="32"/>
      <c r="BC25" s="32"/>
      <c r="BD25" s="32"/>
      <c r="BE25" s="32"/>
      <c r="BF25" s="32"/>
      <c r="BG25" s="32"/>
      <c r="BH25" s="32"/>
      <c r="BI25" s="32"/>
      <c r="BJ25" s="32"/>
      <c r="BK25" s="32"/>
      <c r="BL25" s="32"/>
      <c r="BM25" s="32"/>
      <c r="BN25" s="32"/>
      <c r="BO25" s="32"/>
      <c r="BP25" s="32"/>
      <c r="BQ25" s="32"/>
      <c r="BR25" s="32"/>
      <c r="BS25" s="32"/>
      <c r="BT25" s="32"/>
      <c r="BU25" s="32"/>
      <c r="BV25" s="32"/>
      <c r="BW25" s="32"/>
      <c r="BX25" s="32"/>
      <c r="BY25" s="32"/>
      <c r="BZ25" s="32"/>
      <c r="CA25" s="32"/>
      <c r="CB25" s="32"/>
      <c r="CC25" s="32"/>
      <c r="CD25" s="32"/>
      <c r="CE25" s="32"/>
      <c r="CF25" s="32"/>
      <c r="CG25" s="32"/>
      <c r="CH25" s="32"/>
      <c r="CI25" s="32"/>
      <c r="CJ25" s="32"/>
      <c r="CK25" s="32"/>
      <c r="CL25" s="32"/>
      <c r="CM25" s="32"/>
      <c r="CN25" s="32"/>
      <c r="CO25" s="32"/>
      <c r="CP25" s="32"/>
      <c r="CQ25" s="32"/>
      <c r="CR25" s="32"/>
      <c r="CS25" s="32"/>
      <c r="CT25" s="32"/>
      <c r="CU25" s="32"/>
      <c r="CV25" s="32"/>
      <c r="CW25" s="32"/>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row>
    <row r="26" spans="1:131">
      <c r="A26" s="11" t="s">
        <v>839</v>
      </c>
      <c r="B26" s="11"/>
      <c r="C26" s="166">
        <v>424.12188328301545</v>
      </c>
      <c r="D26" s="166">
        <v>162.01157721295672</v>
      </c>
      <c r="E26" s="166">
        <v>32.402315442591345</v>
      </c>
      <c r="F26" s="166">
        <v>194.41389265554807</v>
      </c>
      <c r="G26" s="166">
        <v>142.7263292620346</v>
      </c>
      <c r="H26" s="166">
        <v>279.67224308325115</v>
      </c>
      <c r="I26" s="166">
        <v>4015.5100851661305</v>
      </c>
      <c r="J26" s="166">
        <v>10.926604896872652</v>
      </c>
      <c r="K26" s="166">
        <v>11.509459523410735</v>
      </c>
      <c r="L26" s="382">
        <v>1.4604644615442854</v>
      </c>
      <c r="M26" s="166">
        <v>4.0291685661275602</v>
      </c>
      <c r="N26" s="166">
        <v>9.8996303774740002E-2</v>
      </c>
      <c r="O26" s="166">
        <v>17.370957661659439</v>
      </c>
      <c r="P26" s="166">
        <v>12.841697372220771</v>
      </c>
      <c r="Q26" s="166">
        <v>11.962633396042692</v>
      </c>
      <c r="R26" s="166">
        <v>6.8674320111581491</v>
      </c>
      <c r="S26" s="166">
        <v>5.5165320641891231</v>
      </c>
      <c r="T26" s="166">
        <v>4.2792152630394726</v>
      </c>
      <c r="U26" s="166">
        <v>4.46532771882395</v>
      </c>
      <c r="V26" s="166">
        <v>6.4994319269428988</v>
      </c>
      <c r="W26" s="166">
        <v>8.2115220727172868</v>
      </c>
      <c r="X26" s="166">
        <v>13.396171183918664</v>
      </c>
      <c r="Y26" s="166">
        <v>15.513126276675999</v>
      </c>
      <c r="Z26" s="166">
        <v>18.274149935901015</v>
      </c>
      <c r="AA26" s="166"/>
      <c r="AB26" s="166">
        <v>28.789630973370599</v>
      </c>
      <c r="AC26" s="166">
        <v>24.972592488234923</v>
      </c>
      <c r="AD26" s="166">
        <v>25.175075264819196</v>
      </c>
      <c r="AE26" s="166">
        <v>23.972965052537958</v>
      </c>
      <c r="AF26" s="166">
        <v>22.080321107991043</v>
      </c>
      <c r="AG26" s="166">
        <v>20.062022492172908</v>
      </c>
      <c r="AH26" s="166">
        <v>21.907210937184605</v>
      </c>
      <c r="AI26" s="166">
        <v>23.655483675680056</v>
      </c>
      <c r="AJ26" s="166">
        <v>25.498172610246431</v>
      </c>
      <c r="AK26" s="166">
        <v>26.315558637277952</v>
      </c>
      <c r="AL26" s="166">
        <v>27.586054638670678</v>
      </c>
      <c r="AM26" s="32">
        <v>28.908598521539727</v>
      </c>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32"/>
      <c r="BS26" s="32"/>
      <c r="BT26" s="32"/>
      <c r="BU26" s="32"/>
      <c r="BV26" s="32"/>
      <c r="BW26" s="32"/>
      <c r="BX26" s="32"/>
      <c r="BY26" s="32"/>
      <c r="BZ26" s="32"/>
      <c r="CA26" s="32"/>
      <c r="CB26" s="32"/>
      <c r="CC26" s="32"/>
      <c r="CD26" s="32"/>
      <c r="CE26" s="32"/>
      <c r="CF26" s="32"/>
      <c r="CG26" s="32"/>
      <c r="CH26" s="32"/>
      <c r="CI26" s="32"/>
      <c r="CJ26" s="32"/>
      <c r="CK26" s="32"/>
      <c r="CL26" s="32"/>
      <c r="CM26" s="32"/>
      <c r="CN26" s="32"/>
      <c r="CO26" s="32"/>
      <c r="CP26" s="32"/>
      <c r="CQ26" s="32"/>
      <c r="CR26" s="32"/>
      <c r="CS26" s="32"/>
      <c r="CT26" s="32"/>
      <c r="CU26" s="32"/>
      <c r="CV26" s="32"/>
      <c r="CW26" s="32"/>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row>
    <row r="27" spans="1:131">
      <c r="A27" s="11" t="s">
        <v>869</v>
      </c>
      <c r="B27" s="11"/>
      <c r="C27" s="166">
        <v>3130.2038994474719</v>
      </c>
      <c r="D27" s="166">
        <v>972.0694632777404</v>
      </c>
      <c r="E27" s="166">
        <v>194.4138926555481</v>
      </c>
      <c r="F27" s="166">
        <v>1166.4833559332885</v>
      </c>
      <c r="G27" s="166">
        <v>1611.2288906623328</v>
      </c>
      <c r="H27" s="166">
        <v>2064.1027505818233</v>
      </c>
      <c r="I27" s="166">
        <v>3264.4500250540573</v>
      </c>
      <c r="J27" s="166">
        <v>6.4041665944702748</v>
      </c>
      <c r="K27" s="166">
        <v>24.622766228154447</v>
      </c>
      <c r="L27" s="382">
        <v>1.2537891447270564</v>
      </c>
      <c r="M27" s="166">
        <v>29.73701583044155</v>
      </c>
      <c r="N27" s="166">
        <v>0.73063576372878758</v>
      </c>
      <c r="O27" s="166">
        <v>128.20522013333431</v>
      </c>
      <c r="P27" s="166">
        <v>94.777309953672855</v>
      </c>
      <c r="Q27" s="166">
        <v>88.289435607749851</v>
      </c>
      <c r="R27" s="166">
        <v>50.684634082351991</v>
      </c>
      <c r="S27" s="166">
        <v>40.714405125917544</v>
      </c>
      <c r="T27" s="166">
        <v>31.582469169606536</v>
      </c>
      <c r="U27" s="166">
        <v>32.956060011755014</v>
      </c>
      <c r="V27" s="166">
        <v>47.968633460806828</v>
      </c>
      <c r="W27" s="166">
        <v>60.604603123641709</v>
      </c>
      <c r="X27" s="166">
        <v>98.869567759573613</v>
      </c>
      <c r="Y27" s="166">
        <v>114.49361675938046</v>
      </c>
      <c r="Z27" s="166">
        <v>134.8711718095303</v>
      </c>
      <c r="AA27" s="166"/>
      <c r="AB27" s="166">
        <v>212.479993814333</v>
      </c>
      <c r="AC27" s="166">
        <v>184.30859021208164</v>
      </c>
      <c r="AD27" s="166">
        <v>185.80300113926339</v>
      </c>
      <c r="AE27" s="166">
        <v>176.93090511601383</v>
      </c>
      <c r="AF27" s="166">
        <v>162.96236991658603</v>
      </c>
      <c r="AG27" s="166">
        <v>148.06644861071092</v>
      </c>
      <c r="AH27" s="166">
        <v>161.68474159074287</v>
      </c>
      <c r="AI27" s="166">
        <v>174.58775451942125</v>
      </c>
      <c r="AJ27" s="166">
        <v>188.18760002562308</v>
      </c>
      <c r="AK27" s="166">
        <v>194.22026429034486</v>
      </c>
      <c r="AL27" s="166">
        <v>203.59707717018901</v>
      </c>
      <c r="AM27" s="32">
        <v>213.35802604484209</v>
      </c>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32"/>
      <c r="BS27" s="32"/>
      <c r="BT27" s="32"/>
      <c r="BU27" s="32"/>
      <c r="BV27" s="32"/>
      <c r="BW27" s="32"/>
      <c r="BX27" s="32"/>
      <c r="BY27" s="32"/>
      <c r="BZ27" s="32"/>
      <c r="CA27" s="32"/>
      <c r="CB27" s="32"/>
      <c r="CC27" s="32"/>
      <c r="CD27" s="32"/>
      <c r="CE27" s="32"/>
      <c r="CF27" s="32"/>
      <c r="CG27" s="32"/>
      <c r="CH27" s="32"/>
      <c r="CI27" s="32"/>
      <c r="CJ27" s="32"/>
      <c r="CK27" s="32"/>
      <c r="CL27" s="32"/>
      <c r="CM27" s="32"/>
      <c r="CN27" s="32"/>
      <c r="CO27" s="32"/>
      <c r="CP27" s="32"/>
      <c r="CQ27" s="32"/>
      <c r="CR27" s="32"/>
      <c r="CS27" s="32"/>
      <c r="CT27" s="32"/>
      <c r="CU27" s="32"/>
      <c r="CV27" s="32"/>
      <c r="CW27" s="32"/>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row>
    <row r="28" spans="1:131">
      <c r="A28" s="11"/>
      <c r="B28" s="11"/>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c r="BB28" s="32"/>
      <c r="BC28" s="32"/>
      <c r="BD28" s="32"/>
      <c r="BE28" s="32"/>
      <c r="BF28" s="32"/>
      <c r="BG28" s="32"/>
      <c r="BH28" s="32"/>
      <c r="BI28" s="32"/>
      <c r="BJ28" s="32"/>
      <c r="BK28" s="32"/>
      <c r="BL28" s="32"/>
      <c r="BM28" s="32"/>
      <c r="BN28" s="32"/>
      <c r="BO28" s="32"/>
      <c r="BP28" s="32"/>
      <c r="BQ28" s="32"/>
      <c r="BR28" s="32"/>
      <c r="BS28" s="32"/>
      <c r="BT28" s="32"/>
      <c r="BU28" s="32"/>
      <c r="BV28" s="32"/>
      <c r="BW28" s="32"/>
      <c r="BX28" s="32"/>
      <c r="BY28" s="32"/>
      <c r="BZ28" s="32"/>
      <c r="CA28" s="32"/>
      <c r="CB28" s="32"/>
      <c r="CC28" s="32"/>
      <c r="CD28" s="32"/>
      <c r="CE28" s="32"/>
      <c r="CF28" s="32"/>
      <c r="CG28" s="32"/>
      <c r="CH28" s="32"/>
      <c r="CI28" s="32"/>
      <c r="CJ28" s="32"/>
      <c r="CK28" s="32"/>
      <c r="CL28" s="32"/>
      <c r="CM28" s="32"/>
      <c r="CN28" s="32"/>
      <c r="CO28" s="32"/>
      <c r="CP28" s="32"/>
      <c r="CQ28" s="32"/>
      <c r="CR28" s="32"/>
      <c r="CS28" s="32"/>
      <c r="CT28" s="32"/>
      <c r="CU28" s="32"/>
      <c r="CV28" s="32"/>
      <c r="CW28" s="32"/>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2</vt:i4>
      </vt:variant>
    </vt:vector>
  </HeadingPairs>
  <TitlesOfParts>
    <vt:vector size="27" baseType="lpstr">
      <vt:lpstr>forRPM</vt:lpstr>
      <vt:lpstr>7PSourceSummary</vt:lpstr>
      <vt:lpstr>SC-New</vt:lpstr>
      <vt:lpstr>SC-NR</vt:lpstr>
      <vt:lpstr>M_Input_Out</vt:lpstr>
      <vt:lpstr>M_Input</vt:lpstr>
      <vt:lpstr>M_Input (WT)_Out</vt:lpstr>
      <vt:lpstr>M_Input (WT)</vt:lpstr>
      <vt:lpstr>M_Input(Fixture)_Out</vt:lpstr>
      <vt:lpstr>M_Input(Fixture)</vt:lpstr>
      <vt:lpstr>M_Input (WT)(wo OM)_Out</vt:lpstr>
      <vt:lpstr>M_Input (WT)(wo OM)</vt:lpstr>
      <vt:lpstr>MMap</vt:lpstr>
      <vt:lpstr>Luminaires 7P</vt:lpstr>
      <vt:lpstr>Pricing</vt:lpstr>
      <vt:lpstr>SatPen</vt:lpstr>
      <vt:lpstr>Outdoor Stock</vt:lpstr>
      <vt:lpstr>Performance 7P</vt:lpstr>
      <vt:lpstr>Sources OM</vt:lpstr>
      <vt:lpstr>Life Table</vt:lpstr>
      <vt:lpstr>References</vt:lpstr>
      <vt:lpstr>Sources Stock 6P</vt:lpstr>
      <vt:lpstr>ToDo7P</vt:lpstr>
      <vt:lpstr>DOE 2017 Rule</vt:lpstr>
      <vt:lpstr>LOG</vt:lpstr>
      <vt:lpstr>MeasOut</vt:lpstr>
      <vt:lpstr>WattClass</vt:lpstr>
    </vt:vector>
  </TitlesOfParts>
  <Company>Northwest Power and Conservation Council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Charlie Grist</dc:creator>
  <cp:lastModifiedBy>Charlie Grist</cp:lastModifiedBy>
  <dcterms:created xsi:type="dcterms:W3CDTF">2014-11-01T20:14:00Z</dcterms:created>
  <dcterms:modified xsi:type="dcterms:W3CDTF">2015-03-19T05:39:07Z</dcterms:modified>
</cp:coreProperties>
</file>