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comments6.xml" ContentType="application/vnd.openxmlformats-officedocument.spreadsheetml.comments+xml"/>
  <Override PartName="/xl/charts/chart2.xml" ContentType="application/vnd.openxmlformats-officedocument.drawingml.chart+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drawings/drawing2.xml" ContentType="application/vnd.openxmlformats-officedocument.drawing+xml"/>
  <Override PartName="/xl/comments4.xml" ContentType="application/vnd.openxmlformats-officedocument.spreadsheetml.comment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Default Extension="doc" ContentType="application/msword"/>
  <Override PartName="/xl/worksheets/sheet17.xml" ContentType="application/vnd.openxmlformats-officedocument.spreadsheetml.worksheet+xml"/>
  <Override PartName="/xl/worksheets/sheet18.xml" ContentType="application/vnd.openxmlformats-officedocument.spreadsheetml.worksheet+xml"/>
  <Override PartName="/xl/ctrlProps/ctrlProp1.xml" ContentType="application/vnd.ms-excel.controlpropertie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14.xml" ContentType="application/vnd.openxmlformats-officedocument.spreadsheetml.worksheet+xml"/>
  <Override PartName="/xl/externalLinks/externalLink8.xml" ContentType="application/vnd.openxmlformats-officedocument.spreadsheetml.externalLink+xml"/>
  <Override PartName="/xl/tables/table1.xml" ContentType="application/vnd.openxmlformats-officedocument.spreadsheetml.table+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charts/chart3.xml" ContentType="application/vnd.openxmlformats-officedocument.drawingml.chart+xml"/>
  <Override PartName="/xl/comments7.xml" ContentType="application/vnd.openxmlformats-officedocument.spreadsheetml.comments+xml"/>
  <Override PartName="/xl/drawings/drawing5.xml" ContentType="application/vnd.openxmlformats-officedocument.drawing+xml"/>
  <Default Extension="emf" ContentType="image/x-emf"/>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comments5.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0280" windowHeight="11760" tabRatio="764"/>
  </bookViews>
  <sheets>
    <sheet name="7PSourceSummary" sheetId="137" r:id="rId1"/>
    <sheet name="forRPM" sheetId="146" r:id="rId2"/>
    <sheet name="SC-Retro" sheetId="140" r:id="rId3"/>
    <sheet name="Measure InputOutput_Out" sheetId="145" r:id="rId4"/>
    <sheet name="Measure InputOutput" sheetId="142" r:id="rId5"/>
    <sheet name="SavingsData&amp;Analysis" sheetId="116" state="hidden" r:id="rId6"/>
    <sheet name="CostData&amp;Analysis" sheetId="122" state="hidden" r:id="rId7"/>
    <sheet name="MDataMeas_Out" sheetId="147" state="hidden" r:id="rId8"/>
    <sheet name="MDataMeas" sheetId="104" state="hidden" r:id="rId9"/>
    <sheet name="Savings and Cost" sheetId="134" r:id="rId10"/>
    <sheet name="Data" sheetId="135" r:id="rId11"/>
    <sheet name="Accomplishments" sheetId="136" r:id="rId12"/>
    <sheet name="To Do 7P" sheetId="138" r:id="rId13"/>
    <sheet name="ProCost 6th Plan Inputs" sheetId="105" state="hidden" r:id="rId14"/>
    <sheet name="Levelized Cost Note" sheetId="107" state="hidden" r:id="rId15"/>
    <sheet name="Problems" sheetId="108" state="hidden" r:id="rId16"/>
    <sheet name="LookupTable" sheetId="133" state="hidden" r:id="rId17"/>
    <sheet name="MeasureTable" sheetId="132" state="hidden" r:id="rId18"/>
    <sheet name="Summary" sheetId="130" state="hidden" r:id="rId19"/>
    <sheet name="ValidationLists" sheetId="131" state="hidden" r:id="rId20"/>
  </sheets>
  <functionGroup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ftn1" localSheetId="10">Data!$A$196</definedName>
    <definedName name="_ftnref1" localSheetId="10">Data!$A$190</definedName>
    <definedName name="_Key1" localSheetId="0" hidden="1">#REF!</definedName>
    <definedName name="_Key1" localSheetId="11" hidden="1">#REF!</definedName>
    <definedName name="_Key1" localSheetId="10" hidden="1">#REF!</definedName>
    <definedName name="_Key1" localSheetId="4" hidden="1">#REF!</definedName>
    <definedName name="_Key1" localSheetId="9" hidden="1">#REF!</definedName>
    <definedName name="_Key1" localSheetId="2" hidden="1">#REF!</definedName>
    <definedName name="_Key1" localSheetId="12" hidden="1">#REF!</definedName>
    <definedName name="_Key1" hidden="1">#REF!</definedName>
    <definedName name="_Order1" hidden="1">255</definedName>
    <definedName name="_Ref159148320" localSheetId="10">Data!$A$204</definedName>
    <definedName name="_Ref159148779" localSheetId="10">Data!$A$190</definedName>
    <definedName name="_Ref159149223" localSheetId="10">Data!$A$197</definedName>
    <definedName name="_Ref159296965" localSheetId="10">Data!$A$212</definedName>
    <definedName name="_Ref161711933" localSheetId="10">Data!$A$222</definedName>
    <definedName name="_Sort" localSheetId="0" hidden="1">#REF!</definedName>
    <definedName name="_Sort" localSheetId="11" hidden="1">#REF!</definedName>
    <definedName name="_Sort" localSheetId="10" hidden="1">#REF!</definedName>
    <definedName name="_Sort" localSheetId="4" hidden="1">#REF!</definedName>
    <definedName name="_Sort" localSheetId="9" hidden="1">#REF!</definedName>
    <definedName name="_Sort" localSheetId="2" hidden="1">#REF!</definedName>
    <definedName name="_Sort" localSheetId="12" hidden="1">#REF!</definedName>
    <definedName name="_Sort" hidden="1">#REF!</definedName>
    <definedName name="APPLIC">[1]APPLIC!$B$10:$U$107</definedName>
    <definedName name="atest">"a15:c19"</definedName>
    <definedName name="Baseline">ValidationLists!$G$2:$G$4</definedName>
    <definedName name="BLDGTYP">[2]APPLIC!$C$11:$U$11</definedName>
    <definedName name="Category">ValidationLists!$D$2:$D$6</definedName>
    <definedName name="CostDataSourceTypes">ValidationLists!$A$2:$A$12</definedName>
    <definedName name="Eligible_Units">[3]Forecast!$A$3:$AA$16</definedName>
    <definedName name="ExtCred">[4]ProData!$B$17</definedName>
    <definedName name="LinkedWorkbooks">Summary!$B$15</definedName>
    <definedName name="list_6thPlanInputs">'ProCost 6th Plan Inputs'!$I$34:$I$41</definedName>
    <definedName name="LookupTable">LookupTable!$1:$1048576</definedName>
    <definedName name="Lost_Opportunity__Cumulative">[3]Forecast!$A$20:$AA$33</definedName>
    <definedName name="MeasureOutputN">[5]M_Input_Out!$A$4:$AM$21</definedName>
    <definedName name="MeasureOutputR">'Measure InputOutput_Out'!$A$4:$AM$6</definedName>
    <definedName name="Method">ValidationLists!$C$2:$C$6</definedName>
    <definedName name="OutMeas">[6]MDataMeas!$A$1:$AP$54</definedName>
    <definedName name="OutputRange">'ProCost 6th Plan Inputs'!$G$58</definedName>
    <definedName name="OutSCurve">'Measure InputOutput'!$A$55:$AL$82</definedName>
    <definedName name="PC_Main" localSheetId="9">'Savings and Cost'!PC_Main</definedName>
    <definedName name="PC_Main" localSheetId="2">'SC-Retro'!PC_Main</definedName>
    <definedName name="PC_Main">'Savings and Cost'!PC_Main</definedName>
    <definedName name="Population">'[7]Pop Forecast (Base Case)'!$B$5:$BC$10</definedName>
    <definedName name="Procedure">ValidationLists!$E$2:$E$5</definedName>
    <definedName name="Proxy_Measure">'[8]Proxy Measures'!$C$13:$AI$111</definedName>
    <definedName name="SC_Retro" localSheetId="2">'SC-Retro'!$C$32:$Y$60</definedName>
    <definedName name="SECTOR_INPUTS">'ProCost 6th Plan Inputs'!$A$1:$K$50</definedName>
    <definedName name="Share1">[4]ProData!$F$5</definedName>
    <definedName name="sort" localSheetId="4" hidden="1">#REF!</definedName>
    <definedName name="sort" hidden="1">#REF!</definedName>
    <definedName name="TestMeasure">[0]!TestMeasure</definedName>
    <definedName name="TestYear">[3]Measures!$B$12</definedName>
    <definedName name="VSTOCK">[9]Lookup!$C$4:$D$7</definedName>
  </definedNames>
  <calcPr calcId="125725"/>
</workbook>
</file>

<file path=xl/calcChain.xml><?xml version="1.0" encoding="utf-8"?>
<calcChain xmlns="http://schemas.openxmlformats.org/spreadsheetml/2006/main">
  <c r="D9" i="140"/>
  <c r="D8"/>
  <c r="B4" i="146"/>
  <c r="B5"/>
  <c r="B3"/>
  <c r="H19" i="136"/>
  <c r="H20"/>
  <c r="S3" i="134" l="1"/>
  <c r="B28" i="136"/>
  <c r="B29" s="1"/>
  <c r="B27"/>
  <c r="B26"/>
  <c r="B25"/>
  <c r="B24"/>
  <c r="C4" i="146"/>
  <c r="C5"/>
  <c r="C3"/>
  <c r="A9" i="140"/>
  <c r="E5" i="146" s="1"/>
  <c r="AD2"/>
  <c r="AC2"/>
  <c r="AB2"/>
  <c r="AA2"/>
  <c r="Z2"/>
  <c r="Y2"/>
  <c r="X2"/>
  <c r="W2"/>
  <c r="V2"/>
  <c r="U2"/>
  <c r="T2"/>
  <c r="S2"/>
  <c r="R2"/>
  <c r="Q2"/>
  <c r="P2"/>
  <c r="O2"/>
  <c r="N2"/>
  <c r="M2"/>
  <c r="L2"/>
  <c r="K2"/>
  <c r="A4"/>
  <c r="A5"/>
  <c r="A3"/>
  <c r="A30" i="140"/>
  <c r="A31"/>
  <c r="A29"/>
  <c r="B30"/>
  <c r="B31"/>
  <c r="B29"/>
  <c r="C30"/>
  <c r="J4" i="146" s="1"/>
  <c r="BC4" s="1"/>
  <c r="C31" i="140"/>
  <c r="J5" i="146" s="1"/>
  <c r="C29" i="140"/>
  <c r="J3" i="146" s="1"/>
  <c r="C75" i="140"/>
  <c r="E74"/>
  <c r="E75"/>
  <c r="E37"/>
  <c r="E38"/>
  <c r="C28"/>
  <c r="E27"/>
  <c r="E28" s="1"/>
  <c r="AC75" i="135"/>
  <c r="K35" s="1"/>
  <c r="AB75"/>
  <c r="AA75"/>
  <c r="Z75"/>
  <c r="Y75"/>
  <c r="X75"/>
  <c r="J35" s="1"/>
  <c r="W75"/>
  <c r="V75"/>
  <c r="U75"/>
  <c r="T75"/>
  <c r="S75"/>
  <c r="I35" s="1"/>
  <c r="R75"/>
  <c r="Q75"/>
  <c r="P75"/>
  <c r="O75"/>
  <c r="N75"/>
  <c r="H35" s="1"/>
  <c r="M75"/>
  <c r="L75"/>
  <c r="K75"/>
  <c r="J75"/>
  <c r="I75"/>
  <c r="G35" s="1"/>
  <c r="H75"/>
  <c r="G75"/>
  <c r="F75"/>
  <c r="E75"/>
  <c r="D75"/>
  <c r="F35" s="1"/>
  <c r="C75"/>
  <c r="B75"/>
  <c r="E35" s="1"/>
  <c r="F276"/>
  <c r="F275"/>
  <c r="F274"/>
  <c r="F273"/>
  <c r="C269"/>
  <c r="D274"/>
  <c r="D275"/>
  <c r="D273"/>
  <c r="B269"/>
  <c r="B270"/>
  <c r="B271"/>
  <c r="B268"/>
  <c r="F262"/>
  <c r="G262"/>
  <c r="H262"/>
  <c r="F263"/>
  <c r="G263"/>
  <c r="H263"/>
  <c r="F264"/>
  <c r="G264"/>
  <c r="H264"/>
  <c r="G261"/>
  <c r="H261"/>
  <c r="F261"/>
  <c r="C258"/>
  <c r="D258"/>
  <c r="B258"/>
  <c r="C257"/>
  <c r="D257"/>
  <c r="B257"/>
  <c r="C256"/>
  <c r="D256"/>
  <c r="B256"/>
  <c r="M49"/>
  <c r="M48"/>
  <c r="E48" s="1"/>
  <c r="E62" s="1"/>
  <c r="M47"/>
  <c r="E47" s="1"/>
  <c r="E61" s="1"/>
  <c r="M46"/>
  <c r="M45"/>
  <c r="M44"/>
  <c r="E44" s="1"/>
  <c r="E50" s="1"/>
  <c r="E54" s="1"/>
  <c r="M40"/>
  <c r="E40" s="1"/>
  <c r="M39"/>
  <c r="M38"/>
  <c r="B94"/>
  <c r="C91"/>
  <c r="C90"/>
  <c r="B90"/>
  <c r="A90"/>
  <c r="D89"/>
  <c r="C89"/>
  <c r="B89"/>
  <c r="A89"/>
  <c r="D88"/>
  <c r="C88"/>
  <c r="B88"/>
  <c r="A88"/>
  <c r="D87"/>
  <c r="C87"/>
  <c r="B87"/>
  <c r="A87"/>
  <c r="D86"/>
  <c r="C86"/>
  <c r="B86"/>
  <c r="A86"/>
  <c r="D85"/>
  <c r="C85"/>
  <c r="B85"/>
  <c r="A85"/>
  <c r="D84"/>
  <c r="C84"/>
  <c r="B84"/>
  <c r="A84"/>
  <c r="D83"/>
  <c r="C83"/>
  <c r="B83"/>
  <c r="A83"/>
  <c r="D82"/>
  <c r="C82"/>
  <c r="B82"/>
  <c r="A82"/>
  <c r="D81"/>
  <c r="C81"/>
  <c r="C92" s="1"/>
  <c r="B81"/>
  <c r="B92" s="1"/>
  <c r="A81"/>
  <c r="R5" i="134"/>
  <c r="R4"/>
  <c r="R3"/>
  <c r="I5"/>
  <c r="I9" s="1"/>
  <c r="G5"/>
  <c r="E275" i="135" s="1"/>
  <c r="I4" i="134"/>
  <c r="G4"/>
  <c r="I3"/>
  <c r="I7" s="1"/>
  <c r="G3"/>
  <c r="E273" i="135" s="1"/>
  <c r="B2" i="142"/>
  <c r="C74" i="135"/>
  <c r="D74"/>
  <c r="E74"/>
  <c r="F74"/>
  <c r="G74"/>
  <c r="H74"/>
  <c r="I74"/>
  <c r="J74"/>
  <c r="K74"/>
  <c r="L74"/>
  <c r="M74"/>
  <c r="N74"/>
  <c r="O74"/>
  <c r="P74"/>
  <c r="Q74"/>
  <c r="R74"/>
  <c r="S74"/>
  <c r="T74"/>
  <c r="U74"/>
  <c r="V74"/>
  <c r="W74"/>
  <c r="X74"/>
  <c r="Y74"/>
  <c r="Z74"/>
  <c r="AA74"/>
  <c r="AB74"/>
  <c r="AC74"/>
  <c r="F11" i="140"/>
  <c r="F10"/>
  <c r="E12"/>
  <c r="A1" i="138"/>
  <c r="G231" i="135"/>
  <c r="F231"/>
  <c r="H231"/>
  <c r="G230"/>
  <c r="F230"/>
  <c r="H230"/>
  <c r="G229"/>
  <c r="F229"/>
  <c r="H229"/>
  <c r="H228"/>
  <c r="G228"/>
  <c r="F228"/>
  <c r="G227"/>
  <c r="F227"/>
  <c r="H227"/>
  <c r="G226"/>
  <c r="F226"/>
  <c r="H226"/>
  <c r="G225"/>
  <c r="F225"/>
  <c r="H225"/>
  <c r="G224"/>
  <c r="F224"/>
  <c r="H224"/>
  <c r="G193"/>
  <c r="F193"/>
  <c r="G192"/>
  <c r="F192"/>
  <c r="G191"/>
  <c r="F191"/>
  <c r="D181"/>
  <c r="B181"/>
  <c r="B175"/>
  <c r="B170"/>
  <c r="D169"/>
  <c r="B167"/>
  <c r="D160"/>
  <c r="J147"/>
  <c r="J148"/>
  <c r="I147"/>
  <c r="I148"/>
  <c r="D147"/>
  <c r="C147"/>
  <c r="B147"/>
  <c r="AA146"/>
  <c r="AC146"/>
  <c r="Z146"/>
  <c r="L146"/>
  <c r="K146"/>
  <c r="H146"/>
  <c r="P146"/>
  <c r="E146"/>
  <c r="F146"/>
  <c r="AE145"/>
  <c r="Z145"/>
  <c r="AC145"/>
  <c r="H145"/>
  <c r="P145"/>
  <c r="E145"/>
  <c r="M145"/>
  <c r="AA144"/>
  <c r="AE144"/>
  <c r="Z144"/>
  <c r="K144"/>
  <c r="H144"/>
  <c r="E144"/>
  <c r="F144"/>
  <c r="AE143"/>
  <c r="AB143"/>
  <c r="AA143"/>
  <c r="Z143"/>
  <c r="AC143"/>
  <c r="L143"/>
  <c r="K143"/>
  <c r="M143"/>
  <c r="H143"/>
  <c r="F143"/>
  <c r="E143"/>
  <c r="AA142"/>
  <c r="AC142"/>
  <c r="Z142"/>
  <c r="K142"/>
  <c r="H142"/>
  <c r="P142"/>
  <c r="E142"/>
  <c r="F142"/>
  <c r="AE141"/>
  <c r="Z141"/>
  <c r="AC141"/>
  <c r="E141"/>
  <c r="F141"/>
  <c r="AA140"/>
  <c r="AE140"/>
  <c r="Z140"/>
  <c r="L140"/>
  <c r="K140"/>
  <c r="H140"/>
  <c r="E140"/>
  <c r="F140"/>
  <c r="AA139"/>
  <c r="AE139"/>
  <c r="Z139"/>
  <c r="AC139"/>
  <c r="K139"/>
  <c r="H139"/>
  <c r="E139"/>
  <c r="F139"/>
  <c r="AA138"/>
  <c r="Z138"/>
  <c r="K138"/>
  <c r="E138"/>
  <c r="F138"/>
  <c r="AE137"/>
  <c r="Z137"/>
  <c r="AC137"/>
  <c r="K137"/>
  <c r="E137"/>
  <c r="F137"/>
  <c r="AE136"/>
  <c r="AD136"/>
  <c r="Z136"/>
  <c r="AC136"/>
  <c r="P136"/>
  <c r="E136"/>
  <c r="F136"/>
  <c r="I131"/>
  <c r="Q131"/>
  <c r="N130"/>
  <c r="J130"/>
  <c r="F130"/>
  <c r="K130"/>
  <c r="N128"/>
  <c r="I128"/>
  <c r="J128"/>
  <c r="F128"/>
  <c r="L125"/>
  <c r="I125"/>
  <c r="G125"/>
  <c r="N125"/>
  <c r="N124"/>
  <c r="L124"/>
  <c r="I124"/>
  <c r="J124"/>
  <c r="F124"/>
  <c r="N123"/>
  <c r="J123"/>
  <c r="I123"/>
  <c r="F123"/>
  <c r="L122"/>
  <c r="I122"/>
  <c r="G122"/>
  <c r="I121"/>
  <c r="K121"/>
  <c r="G121"/>
  <c r="J121"/>
  <c r="F120"/>
  <c r="I120"/>
  <c r="F119"/>
  <c r="I119"/>
  <c r="F118"/>
  <c r="I118"/>
  <c r="F117"/>
  <c r="I117"/>
  <c r="F116"/>
  <c r="I116"/>
  <c r="F115"/>
  <c r="I115"/>
  <c r="F114"/>
  <c r="I114"/>
  <c r="F113"/>
  <c r="I113"/>
  <c r="F112"/>
  <c r="I112"/>
  <c r="L111"/>
  <c r="K111"/>
  <c r="J111"/>
  <c r="G111"/>
  <c r="N111"/>
  <c r="I108"/>
  <c r="F106"/>
  <c r="F105"/>
  <c r="F104"/>
  <c r="F103"/>
  <c r="F102"/>
  <c r="E49"/>
  <c r="E63" s="1"/>
  <c r="E46"/>
  <c r="E60" s="1"/>
  <c r="E45"/>
  <c r="E39"/>
  <c r="E38"/>
  <c r="B34"/>
  <c r="I18"/>
  <c r="I17"/>
  <c r="I15"/>
  <c r="I14"/>
  <c r="I13"/>
  <c r="M10"/>
  <c r="O9"/>
  <c r="P9"/>
  <c r="M9"/>
  <c r="N9"/>
  <c r="O8"/>
  <c r="M8"/>
  <c r="N8"/>
  <c r="O7"/>
  <c r="P7"/>
  <c r="M7"/>
  <c r="N7"/>
  <c r="O6"/>
  <c r="P6"/>
  <c r="M6"/>
  <c r="N6"/>
  <c r="O5"/>
  <c r="P5"/>
  <c r="M5"/>
  <c r="N5"/>
  <c r="F27" i="140"/>
  <c r="F28"/>
  <c r="F74"/>
  <c r="F75"/>
  <c r="F37"/>
  <c r="F38"/>
  <c r="F12"/>
  <c r="G10"/>
  <c r="G11"/>
  <c r="M136" i="135"/>
  <c r="AC138"/>
  <c r="M139"/>
  <c r="P140"/>
  <c r="P144"/>
  <c r="P8"/>
  <c r="M138"/>
  <c r="J125"/>
  <c r="K125"/>
  <c r="J122"/>
  <c r="K122"/>
  <c r="M144"/>
  <c r="F131"/>
  <c r="G131"/>
  <c r="N131"/>
  <c r="M137"/>
  <c r="AC140"/>
  <c r="R139"/>
  <c r="R144"/>
  <c r="AD144"/>
  <c r="N144"/>
  <c r="E147"/>
  <c r="F147"/>
  <c r="Q136"/>
  <c r="AD139"/>
  <c r="L147"/>
  <c r="L148"/>
  <c r="AB147"/>
  <c r="AB149"/>
  <c r="K123"/>
  <c r="P139"/>
  <c r="M140"/>
  <c r="P143"/>
  <c r="AC144"/>
  <c r="B29"/>
  <c r="B30"/>
  <c r="D38"/>
  <c r="C51"/>
  <c r="C53"/>
  <c r="B28"/>
  <c r="C50"/>
  <c r="C54"/>
  <c r="C52"/>
  <c r="E41"/>
  <c r="E55" s="1"/>
  <c r="D41"/>
  <c r="N121"/>
  <c r="Q139"/>
  <c r="AE142"/>
  <c r="M146"/>
  <c r="H147"/>
  <c r="G136"/>
  <c r="M142"/>
  <c r="G144"/>
  <c r="F145"/>
  <c r="K147"/>
  <c r="K148"/>
  <c r="D40"/>
  <c r="K124"/>
  <c r="K128"/>
  <c r="P137"/>
  <c r="P138"/>
  <c r="AE138"/>
  <c r="M141"/>
  <c r="Q144"/>
  <c r="AE146"/>
  <c r="D39"/>
  <c r="N136"/>
  <c r="R136"/>
  <c r="G139"/>
  <c r="N139"/>
  <c r="G27" i="140"/>
  <c r="G28"/>
  <c r="G74"/>
  <c r="G75"/>
  <c r="G37"/>
  <c r="G38"/>
  <c r="H10"/>
  <c r="H11"/>
  <c r="G12"/>
  <c r="I11"/>
  <c r="H12"/>
  <c r="S5" i="134"/>
  <c r="S4"/>
  <c r="O144" i="135"/>
  <c r="D42"/>
  <c r="O139"/>
  <c r="O136"/>
  <c r="D43"/>
  <c r="H148"/>
  <c r="W139"/>
  <c r="W140"/>
  <c r="W146"/>
  <c r="D55"/>
  <c r="D44"/>
  <c r="W141"/>
  <c r="B9" i="132"/>
  <c r="C9" s="1"/>
  <c r="I27" i="140"/>
  <c r="I28"/>
  <c r="I74"/>
  <c r="I75"/>
  <c r="I37"/>
  <c r="I38"/>
  <c r="H27"/>
  <c r="H28"/>
  <c r="H74"/>
  <c r="H75"/>
  <c r="H37"/>
  <c r="H38"/>
  <c r="J11"/>
  <c r="I10"/>
  <c r="I12"/>
  <c r="D58" i="135"/>
  <c r="D47"/>
  <c r="D50"/>
  <c r="D54"/>
  <c r="D46"/>
  <c r="D57"/>
  <c r="D56"/>
  <c r="D45"/>
  <c r="W145"/>
  <c r="W144"/>
  <c r="B8" i="132"/>
  <c r="H8" s="1"/>
  <c r="J27" i="140"/>
  <c r="J28"/>
  <c r="J74"/>
  <c r="J75"/>
  <c r="J37"/>
  <c r="J38"/>
  <c r="K11"/>
  <c r="J12"/>
  <c r="J10"/>
  <c r="K12"/>
  <c r="D59" i="135"/>
  <c r="D48"/>
  <c r="D51"/>
  <c r="D53"/>
  <c r="D49"/>
  <c r="D60"/>
  <c r="D52"/>
  <c r="D61"/>
  <c r="K27" i="140"/>
  <c r="K28"/>
  <c r="K74"/>
  <c r="K75"/>
  <c r="K37"/>
  <c r="K38"/>
  <c r="L11"/>
  <c r="K10"/>
  <c r="L12"/>
  <c r="D62" i="135"/>
  <c r="D63"/>
  <c r="L27" i="140"/>
  <c r="L28"/>
  <c r="L74"/>
  <c r="L75"/>
  <c r="L37"/>
  <c r="L38"/>
  <c r="M11"/>
  <c r="L10"/>
  <c r="N11"/>
  <c r="D1" i="132"/>
  <c r="N27" i="140"/>
  <c r="N28"/>
  <c r="N74"/>
  <c r="N75"/>
  <c r="N37"/>
  <c r="N38"/>
  <c r="M27"/>
  <c r="M28"/>
  <c r="M74"/>
  <c r="M75"/>
  <c r="M37"/>
  <c r="M38"/>
  <c r="M12"/>
  <c r="M10"/>
  <c r="O11"/>
  <c r="N12"/>
  <c r="E1" i="132"/>
  <c r="D57" i="130"/>
  <c r="D41"/>
  <c r="E35"/>
  <c r="B14"/>
  <c r="O27" i="140"/>
  <c r="O28"/>
  <c r="O74"/>
  <c r="O75"/>
  <c r="O37"/>
  <c r="O38"/>
  <c r="N10"/>
  <c r="P11"/>
  <c r="O12"/>
  <c r="F1" i="132"/>
  <c r="P27" i="140"/>
  <c r="P28"/>
  <c r="P74"/>
  <c r="P75"/>
  <c r="P37"/>
  <c r="P38"/>
  <c r="O10"/>
  <c r="Q11"/>
  <c r="P12"/>
  <c r="G1" i="132"/>
  <c r="Q27" i="140"/>
  <c r="Q28"/>
  <c r="Q74"/>
  <c r="Q75"/>
  <c r="Q37"/>
  <c r="Q38"/>
  <c r="P10"/>
  <c r="R11"/>
  <c r="Q12"/>
  <c r="H1" i="132"/>
  <c r="D56" i="105"/>
  <c r="F67" s="1"/>
  <c r="R27" i="140"/>
  <c r="R28"/>
  <c r="R37"/>
  <c r="R38"/>
  <c r="R74"/>
  <c r="R75"/>
  <c r="Q10"/>
  <c r="S11"/>
  <c r="R12"/>
  <c r="I1" i="132"/>
  <c r="S27" i="140"/>
  <c r="S28"/>
  <c r="S74"/>
  <c r="S75"/>
  <c r="S37"/>
  <c r="S38"/>
  <c r="R10"/>
  <c r="T11"/>
  <c r="S12"/>
  <c r="Q1" i="132"/>
  <c r="B2" i="105"/>
  <c r="B12"/>
  <c r="B22"/>
  <c r="I24"/>
  <c r="T27" i="140"/>
  <c r="T28"/>
  <c r="T74"/>
  <c r="T75"/>
  <c r="T37"/>
  <c r="T38"/>
  <c r="S10"/>
  <c r="U11"/>
  <c r="T12"/>
  <c r="R1" i="132"/>
  <c r="E44" i="105"/>
  <c r="D57"/>
  <c r="C68" s="1"/>
  <c r="D58"/>
  <c r="F56"/>
  <c r="C70" s="1"/>
  <c r="F57"/>
  <c r="G71" s="1"/>
  <c r="F58"/>
  <c r="C45"/>
  <c r="B44"/>
  <c r="C44"/>
  <c r="D45"/>
  <c r="E45"/>
  <c r="B45"/>
  <c r="D44"/>
  <c r="U27" i="140"/>
  <c r="U28"/>
  <c r="U74"/>
  <c r="U75"/>
  <c r="U37"/>
  <c r="U38"/>
  <c r="T10"/>
  <c r="V11"/>
  <c r="U12"/>
  <c r="S1" i="132"/>
  <c r="R8"/>
  <c r="C71" i="105"/>
  <c r="F71"/>
  <c r="B71"/>
  <c r="D71"/>
  <c r="C64"/>
  <c r="D70"/>
  <c r="V27" i="140"/>
  <c r="V28"/>
  <c r="V74"/>
  <c r="V75"/>
  <c r="V37"/>
  <c r="V38"/>
  <c r="U10"/>
  <c r="V12"/>
  <c r="W11"/>
  <c r="T1" i="132"/>
  <c r="W27" i="140"/>
  <c r="W28"/>
  <c r="W74"/>
  <c r="W75"/>
  <c r="W37"/>
  <c r="W38"/>
  <c r="V10"/>
  <c r="X11"/>
  <c r="W12"/>
  <c r="U1" i="132"/>
  <c r="X27" i="140"/>
  <c r="X28"/>
  <c r="X74"/>
  <c r="X75"/>
  <c r="X37"/>
  <c r="X38"/>
  <c r="W10"/>
  <c r="X12"/>
  <c r="V1" i="132"/>
  <c r="X10" i="140"/>
  <c r="W1" i="132"/>
  <c r="V9"/>
  <c r="X1"/>
  <c r="W8"/>
  <c r="C20" i="140"/>
  <c r="D20"/>
  <c r="C72" i="105"/>
  <c r="D72"/>
  <c r="D8" i="132" l="1"/>
  <c r="E71" i="105"/>
  <c r="C8" i="132"/>
  <c r="B70" i="105"/>
  <c r="D68"/>
  <c r="G8" i="132"/>
  <c r="D65" i="135"/>
  <c r="E52"/>
  <c r="E67" s="1"/>
  <c r="D67"/>
  <c r="B30" i="136"/>
  <c r="B32" s="1"/>
  <c r="C10" i="134" s="1"/>
  <c r="K37" i="135"/>
  <c r="K40" s="1"/>
  <c r="F70" i="105"/>
  <c r="E70"/>
  <c r="G70"/>
  <c r="B65"/>
  <c r="E64"/>
  <c r="F64"/>
  <c r="F65"/>
  <c r="D67"/>
  <c r="G58"/>
  <c r="G67"/>
  <c r="G56"/>
  <c r="D64"/>
  <c r="I9" i="132"/>
  <c r="E67" i="105"/>
  <c r="B16" i="130"/>
  <c r="X9" i="132"/>
  <c r="V8"/>
  <c r="S9"/>
  <c r="E65" i="105"/>
  <c r="G65"/>
  <c r="C65"/>
  <c r="X8" i="132"/>
  <c r="U9"/>
  <c r="T9"/>
  <c r="S8"/>
  <c r="B64" i="105"/>
  <c r="G64"/>
  <c r="G57"/>
  <c r="B68"/>
  <c r="G68"/>
  <c r="E68"/>
  <c r="Q9" i="132"/>
  <c r="B67" i="105"/>
  <c r="H9" i="132"/>
  <c r="C67" i="105"/>
  <c r="F8" i="132"/>
  <c r="E9"/>
  <c r="Q8"/>
  <c r="I8"/>
  <c r="E8"/>
  <c r="D9"/>
  <c r="W9"/>
  <c r="U8"/>
  <c r="T8"/>
  <c r="D65" i="105"/>
  <c r="F68"/>
  <c r="R9" i="132"/>
  <c r="G9"/>
  <c r="F9"/>
  <c r="AP3" i="146"/>
  <c r="AL3"/>
  <c r="AK3"/>
  <c r="AG3"/>
  <c r="AS3"/>
  <c r="AW3"/>
  <c r="AF3"/>
  <c r="AM3"/>
  <c r="G37" i="135"/>
  <c r="G40" s="1"/>
  <c r="H37"/>
  <c r="H40" s="1"/>
  <c r="F37"/>
  <c r="F40" s="1"/>
  <c r="F43" s="1"/>
  <c r="F57" s="1"/>
  <c r="D92"/>
  <c r="AR4" i="146"/>
  <c r="AN4"/>
  <c r="AS4"/>
  <c r="AJ4"/>
  <c r="AZ4"/>
  <c r="AM4"/>
  <c r="AO4"/>
  <c r="AX5"/>
  <c r="AW5"/>
  <c r="AV5"/>
  <c r="AM5"/>
  <c r="AT5"/>
  <c r="AS5"/>
  <c r="AR5"/>
  <c r="AG5"/>
  <c r="BB5"/>
  <c r="AF5"/>
  <c r="AZ5"/>
  <c r="AQ5"/>
  <c r="AL5"/>
  <c r="AK5"/>
  <c r="G5"/>
  <c r="AH5"/>
  <c r="AI5"/>
  <c r="BC5"/>
  <c r="BA5"/>
  <c r="AN5"/>
  <c r="F5"/>
  <c r="H5"/>
  <c r="AP5"/>
  <c r="AY5"/>
  <c r="AO5"/>
  <c r="AJ5"/>
  <c r="BD5"/>
  <c r="AU5"/>
  <c r="AY3"/>
  <c r="AU3"/>
  <c r="AQ3"/>
  <c r="AZ3"/>
  <c r="BB3"/>
  <c r="AX3"/>
  <c r="G3"/>
  <c r="AQ4"/>
  <c r="AY4"/>
  <c r="AT4"/>
  <c r="AI4"/>
  <c r="F4"/>
  <c r="AU4"/>
  <c r="H4"/>
  <c r="AI3"/>
  <c r="F3"/>
  <c r="BD3"/>
  <c r="AJ3"/>
  <c r="AO3"/>
  <c r="AH3"/>
  <c r="H3"/>
  <c r="AL4"/>
  <c r="AP4"/>
  <c r="AK4"/>
  <c r="AH4"/>
  <c r="AV4"/>
  <c r="BA4"/>
  <c r="G4"/>
  <c r="AV3"/>
  <c r="AR3"/>
  <c r="AN3"/>
  <c r="BA3"/>
  <c r="BC3"/>
  <c r="AT3"/>
  <c r="BB4"/>
  <c r="AG4"/>
  <c r="AW4"/>
  <c r="AX4"/>
  <c r="AF4"/>
  <c r="BD4"/>
  <c r="E3"/>
  <c r="E4"/>
  <c r="D66" i="135"/>
  <c r="E274"/>
  <c r="E276" s="1"/>
  <c r="I8" i="134"/>
  <c r="E59" i="135"/>
  <c r="E51"/>
  <c r="E53" s="1"/>
  <c r="A25"/>
  <c r="E42"/>
  <c r="E56" s="1"/>
  <c r="E58"/>
  <c r="E65" s="1"/>
  <c r="J37"/>
  <c r="J40" s="1"/>
  <c r="I37"/>
  <c r="E43"/>
  <c r="E57" s="1"/>
  <c r="F66" i="105" a="1"/>
  <c r="B72"/>
  <c r="G72"/>
  <c r="E69"/>
  <c r="E66"/>
  <c r="G69"/>
  <c r="B69"/>
  <c r="J9" i="132"/>
  <c r="L8"/>
  <c r="E72" i="105"/>
  <c r="N9" i="132"/>
  <c r="G66" i="105"/>
  <c r="O8" i="132"/>
  <c r="C66" i="105"/>
  <c r="C69"/>
  <c r="B66"/>
  <c r="M9" i="132"/>
  <c r="J8"/>
  <c r="N8"/>
  <c r="D69" i="105"/>
  <c r="K8" i="132"/>
  <c r="O9"/>
  <c r="F72" i="105"/>
  <c r="M8" i="132"/>
  <c r="D66" i="105"/>
  <c r="K9" i="132"/>
  <c r="F69" i="105"/>
  <c r="L9" i="132"/>
  <c r="E66" i="135" l="1"/>
  <c r="E68" s="1"/>
  <c r="G38"/>
  <c r="E3" i="134" s="1"/>
  <c r="D12"/>
  <c r="E12" s="1"/>
  <c r="D14"/>
  <c r="E14" s="1"/>
  <c r="D13"/>
  <c r="E13" s="1"/>
  <c r="G39" i="135"/>
  <c r="E4" i="134" s="1"/>
  <c r="H4" s="1"/>
  <c r="K39" i="135"/>
  <c r="H39"/>
  <c r="H38"/>
  <c r="K38"/>
  <c r="F66" i="105"/>
  <c r="P8" i="132"/>
  <c r="P9"/>
  <c r="E1" i="104"/>
  <c r="D1"/>
  <c r="C1"/>
  <c r="O1"/>
  <c r="O1" i="142"/>
  <c r="F1" i="104"/>
  <c r="F39" i="135"/>
  <c r="F42" s="1"/>
  <c r="F38"/>
  <c r="K43"/>
  <c r="K57" s="1"/>
  <c r="E5" i="134"/>
  <c r="G43" i="135"/>
  <c r="G57" s="1"/>
  <c r="J39"/>
  <c r="J38"/>
  <c r="D68"/>
  <c r="F46"/>
  <c r="I38"/>
  <c r="I39"/>
  <c r="I40"/>
  <c r="H43"/>
  <c r="H57" s="1"/>
  <c r="H41" l="1"/>
  <c r="H55" s="1"/>
  <c r="H12" i="134"/>
  <c r="I12" s="1"/>
  <c r="J3"/>
  <c r="H3"/>
  <c r="E6"/>
  <c r="Q6" s="1"/>
  <c r="J4"/>
  <c r="K4" s="1"/>
  <c r="H13"/>
  <c r="I13" s="1"/>
  <c r="E15"/>
  <c r="H42" i="135"/>
  <c r="H56" s="1"/>
  <c r="K42"/>
  <c r="K56" s="1"/>
  <c r="G42"/>
  <c r="G56" s="1"/>
  <c r="G1" i="104"/>
  <c r="B1"/>
  <c r="F41" i="135"/>
  <c r="G41"/>
  <c r="G55" s="1"/>
  <c r="H14" i="134"/>
  <c r="N5"/>
  <c r="H5"/>
  <c r="J5"/>
  <c r="F49" i="135"/>
  <c r="F60"/>
  <c r="F52"/>
  <c r="G46" s="1"/>
  <c r="J42"/>
  <c r="J56" s="1"/>
  <c r="F17" i="134"/>
  <c r="F18" s="1"/>
  <c r="F19" s="1"/>
  <c r="I42" i="135"/>
  <c r="I56" s="1"/>
  <c r="I43"/>
  <c r="I57" s="1"/>
  <c r="F56"/>
  <c r="F45"/>
  <c r="I41"/>
  <c r="I55" s="1"/>
  <c r="G12" i="134"/>
  <c r="J41" i="135"/>
  <c r="J55" s="1"/>
  <c r="K41"/>
  <c r="K55" s="1"/>
  <c r="J43"/>
  <c r="J57" s="1"/>
  <c r="K3" i="134" l="1"/>
  <c r="E70" i="135" s="1"/>
  <c r="E15" i="140"/>
  <c r="N4" i="134"/>
  <c r="Y4" s="1"/>
  <c r="C9" i="142" s="1"/>
  <c r="E8" i="134"/>
  <c r="N3"/>
  <c r="Y3" s="1"/>
  <c r="G13"/>
  <c r="F55" i="135"/>
  <c r="F44"/>
  <c r="D70"/>
  <c r="C5" i="134"/>
  <c r="F5" s="1"/>
  <c r="F63" i="135"/>
  <c r="G14" i="134"/>
  <c r="I14"/>
  <c r="D5"/>
  <c r="G49" i="135"/>
  <c r="G63" s="1"/>
  <c r="G60"/>
  <c r="G52"/>
  <c r="H46" s="1"/>
  <c r="K5" i="134"/>
  <c r="K12"/>
  <c r="K13"/>
  <c r="D71" i="135"/>
  <c r="E71"/>
  <c r="J6" i="134"/>
  <c r="H6"/>
  <c r="F67" i="135"/>
  <c r="F59"/>
  <c r="F48"/>
  <c r="F51"/>
  <c r="F53" s="1"/>
  <c r="G17" i="134" l="1"/>
  <c r="G18" s="1"/>
  <c r="G19" s="1"/>
  <c r="F58" i="135"/>
  <c r="F50"/>
  <c r="F54" s="1"/>
  <c r="F47"/>
  <c r="F66"/>
  <c r="F71" s="1"/>
  <c r="L5" i="134"/>
  <c r="F93" i="135" s="1"/>
  <c r="H49"/>
  <c r="H63" s="1"/>
  <c r="H60"/>
  <c r="H52"/>
  <c r="I46" s="1"/>
  <c r="C4" i="134"/>
  <c r="F62" i="135"/>
  <c r="O4" i="134"/>
  <c r="O3"/>
  <c r="D72" i="135"/>
  <c r="D73" s="1"/>
  <c r="E72"/>
  <c r="E73" s="1"/>
  <c r="C8" i="142"/>
  <c r="G45" i="135"/>
  <c r="G67"/>
  <c r="G72" s="1"/>
  <c r="O5" i="134"/>
  <c r="P4"/>
  <c r="P3"/>
  <c r="Y5"/>
  <c r="C10" i="142" s="1"/>
  <c r="K14" i="134"/>
  <c r="F72" i="135"/>
  <c r="P5" i="134"/>
  <c r="M5" l="1"/>
  <c r="C10" i="104" s="1"/>
  <c r="F65" i="135"/>
  <c r="C3" i="134"/>
  <c r="C6" s="1"/>
  <c r="F6" s="1"/>
  <c r="F61" i="135"/>
  <c r="G44"/>
  <c r="H67"/>
  <c r="H72" s="1"/>
  <c r="G48"/>
  <c r="G62" s="1"/>
  <c r="G59"/>
  <c r="D4" i="134"/>
  <c r="G51" i="135"/>
  <c r="G53" s="1"/>
  <c r="F98"/>
  <c r="G98" s="1"/>
  <c r="G93"/>
  <c r="F4" i="134"/>
  <c r="L4"/>
  <c r="I49" i="135"/>
  <c r="I63" s="1"/>
  <c r="I60"/>
  <c r="I52"/>
  <c r="J46" s="1"/>
  <c r="Y8" i="134"/>
  <c r="I67" i="135" l="1"/>
  <c r="I72" s="1"/>
  <c r="T5" i="134"/>
  <c r="V5" s="1"/>
  <c r="Z5" s="1"/>
  <c r="E10" i="142" s="1"/>
  <c r="U5" i="134"/>
  <c r="W5" s="1"/>
  <c r="AA5" s="1"/>
  <c r="F10" i="142" s="1"/>
  <c r="F70" i="135"/>
  <c r="F73" s="1"/>
  <c r="F68"/>
  <c r="G66"/>
  <c r="G71" s="1"/>
  <c r="L3" i="134"/>
  <c r="F3"/>
  <c r="G50" i="135"/>
  <c r="G54" s="1"/>
  <c r="G58"/>
  <c r="G47"/>
  <c r="G61" s="1"/>
  <c r="D3" i="134"/>
  <c r="D6" s="1"/>
  <c r="H44" i="135"/>
  <c r="F21" i="134"/>
  <c r="M4"/>
  <c r="F92" i="135"/>
  <c r="H45"/>
  <c r="J49"/>
  <c r="J63" s="1"/>
  <c r="J60"/>
  <c r="J52"/>
  <c r="K46" s="1"/>
  <c r="F10" i="104" l="1"/>
  <c r="E10"/>
  <c r="H50" i="135"/>
  <c r="H54" s="1"/>
  <c r="H47"/>
  <c r="H61" s="1"/>
  <c r="H58"/>
  <c r="G65"/>
  <c r="M3" i="134"/>
  <c r="F91" i="135"/>
  <c r="J67"/>
  <c r="J72" s="1"/>
  <c r="K49"/>
  <c r="K63" s="1"/>
  <c r="K60"/>
  <c r="K52"/>
  <c r="T4" i="134"/>
  <c r="C9" i="104"/>
  <c r="U4" i="134"/>
  <c r="H59" i="135"/>
  <c r="H48"/>
  <c r="H62" s="1"/>
  <c r="H51"/>
  <c r="H53" s="1"/>
  <c r="F97"/>
  <c r="G97" s="1"/>
  <c r="G92"/>
  <c r="G70" l="1"/>
  <c r="G73" s="1"/>
  <c r="G68"/>
  <c r="U3" i="134"/>
  <c r="C8" i="104"/>
  <c r="T3" i="134"/>
  <c r="H65" i="135"/>
  <c r="H70" s="1"/>
  <c r="F96"/>
  <c r="G96" s="1"/>
  <c r="G91"/>
  <c r="I44"/>
  <c r="K67"/>
  <c r="K72" s="1"/>
  <c r="W4" i="134"/>
  <c r="AA4" s="1"/>
  <c r="F9" i="104"/>
  <c r="I45" i="135"/>
  <c r="E9" i="104"/>
  <c r="V4" i="134"/>
  <c r="Z4" s="1"/>
  <c r="H66" i="135"/>
  <c r="I47" l="1"/>
  <c r="I61" s="1"/>
  <c r="I58"/>
  <c r="I50"/>
  <c r="I54" s="1"/>
  <c r="E8" i="104"/>
  <c r="V3" i="134"/>
  <c r="Z3" s="1"/>
  <c r="E8" i="142" s="1"/>
  <c r="W3" i="134"/>
  <c r="AA3" s="1"/>
  <c r="F8" i="142" s="1"/>
  <c r="F8" i="104"/>
  <c r="I48" i="135"/>
  <c r="I62" s="1"/>
  <c r="I59"/>
  <c r="I51"/>
  <c r="I53" s="1"/>
  <c r="F9" i="142"/>
  <c r="E9"/>
  <c r="H71" i="135"/>
  <c r="H73" s="1"/>
  <c r="H68"/>
  <c r="Z8" i="134" l="1"/>
  <c r="AA8"/>
  <c r="I65" i="135"/>
  <c r="I70" s="1"/>
  <c r="J44"/>
  <c r="J45"/>
  <c r="J48" s="1"/>
  <c r="J62" s="1"/>
  <c r="I66"/>
  <c r="J51" l="1"/>
  <c r="J53" s="1"/>
  <c r="J50"/>
  <c r="J54" s="1"/>
  <c r="J47"/>
  <c r="J61" s="1"/>
  <c r="J58"/>
  <c r="J59"/>
  <c r="I71"/>
  <c r="I73" s="1"/>
  <c r="I68"/>
  <c r="J65" l="1"/>
  <c r="J70" s="1"/>
  <c r="K44"/>
  <c r="K47" s="1"/>
  <c r="K61" s="1"/>
  <c r="J66"/>
  <c r="J71" s="1"/>
  <c r="K45"/>
  <c r="K51" s="1"/>
  <c r="K53" s="1"/>
  <c r="J73" l="1"/>
  <c r="K58"/>
  <c r="K50"/>
  <c r="K54" s="1"/>
  <c r="K48"/>
  <c r="K62" s="1"/>
  <c r="K59"/>
  <c r="K66" s="1"/>
  <c r="K71" s="1"/>
  <c r="J68"/>
  <c r="K65" l="1"/>
  <c r="K70" s="1"/>
  <c r="K73" s="1"/>
  <c r="K68" l="1"/>
  <c r="F20" i="140" l="1"/>
  <c r="E20"/>
  <c r="H20" l="1"/>
  <c r="G20"/>
  <c r="I20" l="1"/>
  <c r="J20" l="1"/>
  <c r="K20" l="1"/>
  <c r="L20" l="1"/>
  <c r="M20" l="1"/>
  <c r="N20" l="1"/>
  <c r="O20" l="1"/>
  <c r="P20" l="1"/>
  <c r="Q20" l="1"/>
  <c r="R20" l="1"/>
  <c r="S20" l="1"/>
  <c r="T20" l="1"/>
  <c r="U20" l="1"/>
  <c r="V20" l="1"/>
  <c r="W20" l="1"/>
  <c r="X20" l="1"/>
  <c r="E13" l="1"/>
  <c r="E14" s="1"/>
  <c r="F14" s="1"/>
  <c r="G14" s="1"/>
  <c r="H14" s="1"/>
  <c r="I14" s="1"/>
  <c r="J14" s="1"/>
  <c r="K14" s="1"/>
  <c r="L14" s="1"/>
  <c r="M14" s="1"/>
  <c r="N14" s="1"/>
  <c r="O14" s="1"/>
  <c r="P14" s="1"/>
  <c r="Q14" s="1"/>
  <c r="R14" s="1"/>
  <c r="S14" s="1"/>
  <c r="T14" s="1"/>
  <c r="U14" s="1"/>
  <c r="V14" s="1"/>
  <c r="W14" s="1"/>
  <c r="X14" s="1"/>
  <c r="F13"/>
  <c r="G13"/>
  <c r="H13"/>
  <c r="I13"/>
  <c r="J13"/>
  <c r="K13"/>
  <c r="L13"/>
  <c r="M13"/>
  <c r="N13"/>
  <c r="O13"/>
  <c r="P13"/>
  <c r="Q13"/>
  <c r="R13"/>
  <c r="S13"/>
  <c r="T13"/>
  <c r="U13"/>
  <c r="V13"/>
  <c r="W13"/>
  <c r="X13"/>
  <c r="U15" l="1"/>
  <c r="Q15"/>
  <c r="M15"/>
  <c r="I15"/>
  <c r="W15"/>
  <c r="S15"/>
  <c r="O15"/>
  <c r="K15"/>
  <c r="V15"/>
  <c r="R15"/>
  <c r="N15"/>
  <c r="J15"/>
  <c r="T15"/>
  <c r="P15"/>
  <c r="L15"/>
  <c r="F15"/>
  <c r="G15"/>
  <c r="X15"/>
  <c r="H15"/>
  <c r="AB30" l="1"/>
  <c r="Y30" s="1"/>
  <c r="AE4" i="146" s="1"/>
  <c r="AB31" i="140"/>
  <c r="Y31" s="1"/>
  <c r="AE5" i="146" s="1"/>
  <c r="AB29" i="140"/>
  <c r="Y29" s="1"/>
  <c r="Y58" l="1"/>
  <c r="Y42"/>
  <c r="Y46"/>
  <c r="Y57"/>
  <c r="Y67"/>
  <c r="Y65"/>
  <c r="Y56"/>
  <c r="Y68"/>
  <c r="Y52"/>
  <c r="Y49"/>
  <c r="Y33"/>
  <c r="Y54"/>
  <c r="Y70"/>
  <c r="Y63"/>
  <c r="Y64"/>
  <c r="Y55"/>
  <c r="Y62"/>
  <c r="Y50"/>
  <c r="Y87" s="1"/>
  <c r="AE3" i="146"/>
  <c r="Y39" i="140"/>
  <c r="Y76" s="1"/>
  <c r="Y43"/>
  <c r="Y41"/>
  <c r="Y48"/>
  <c r="Y60"/>
  <c r="Y51"/>
  <c r="Y53"/>
  <c r="Y44"/>
  <c r="Y61"/>
  <c r="Y59"/>
  <c r="Y96" s="1"/>
  <c r="Y47"/>
  <c r="Y66"/>
  <c r="Y40"/>
  <c r="Y77" s="1"/>
  <c r="Y69"/>
  <c r="Y45"/>
  <c r="Y98" l="1"/>
  <c r="Y92"/>
  <c r="Y88"/>
  <c r="Y80"/>
  <c r="Y95"/>
  <c r="Y106"/>
  <c r="Y82"/>
  <c r="Y84"/>
  <c r="Y99"/>
  <c r="Y104"/>
  <c r="Y78"/>
  <c r="Y86"/>
  <c r="Y102"/>
  <c r="Y94"/>
  <c r="Y107"/>
  <c r="Y90"/>
  <c r="Y100"/>
  <c r="Y79"/>
  <c r="Y103"/>
  <c r="Y81"/>
  <c r="Y85"/>
  <c r="Y101"/>
  <c r="Y93"/>
  <c r="Y83"/>
  <c r="Y89"/>
  <c r="Y97"/>
  <c r="Y91"/>
  <c r="Y105"/>
  <c r="Y110" l="1"/>
  <c r="A21" l="1"/>
  <c r="S21" s="1"/>
  <c r="M21" l="1"/>
  <c r="M30" s="1"/>
  <c r="S4" i="146" s="1"/>
  <c r="I21" i="140"/>
  <c r="I30" s="1"/>
  <c r="O4" i="146" s="1"/>
  <c r="X21" i="140"/>
  <c r="X30" s="1"/>
  <c r="AD4" i="146" s="1"/>
  <c r="Q21" i="140"/>
  <c r="Q30" s="1"/>
  <c r="W4" i="146" s="1"/>
  <c r="U21" i="140"/>
  <c r="U29" s="1"/>
  <c r="F21"/>
  <c r="F31" s="1"/>
  <c r="L5" i="146" s="1"/>
  <c r="W21" i="140"/>
  <c r="W30" s="1"/>
  <c r="AC4" i="146" s="1"/>
  <c r="V21" i="140"/>
  <c r="V30" s="1"/>
  <c r="AB4" i="146" s="1"/>
  <c r="N21" i="140"/>
  <c r="N29" s="1"/>
  <c r="G21"/>
  <c r="G31" s="1"/>
  <c r="M5" i="146" s="1"/>
  <c r="P21" i="140"/>
  <c r="P29" s="1"/>
  <c r="L21"/>
  <c r="L29" s="1"/>
  <c r="O21"/>
  <c r="O31" s="1"/>
  <c r="U5" i="146" s="1"/>
  <c r="T21" i="140"/>
  <c r="T31" s="1"/>
  <c r="Z5" i="146" s="1"/>
  <c r="E21" i="140"/>
  <c r="E31" s="1"/>
  <c r="K5" i="146" s="1"/>
  <c r="H21" i="140"/>
  <c r="H30" s="1"/>
  <c r="N4" i="146" s="1"/>
  <c r="K21" i="140"/>
  <c r="K31" s="1"/>
  <c r="Q5" i="146" s="1"/>
  <c r="R21" i="140"/>
  <c r="R29" s="1"/>
  <c r="J21"/>
  <c r="J31" s="1"/>
  <c r="P5" i="146" s="1"/>
  <c r="S29" i="140"/>
  <c r="S31"/>
  <c r="Y5" i="146" s="1"/>
  <c r="S30" i="140"/>
  <c r="Y4" i="146" s="1"/>
  <c r="M31" i="140" l="1"/>
  <c r="S5" i="146" s="1"/>
  <c r="N30" i="140"/>
  <c r="T4" i="146" s="1"/>
  <c r="K30" i="140"/>
  <c r="Q4" i="146" s="1"/>
  <c r="M29" i="140"/>
  <c r="J30"/>
  <c r="P4" i="146" s="1"/>
  <c r="O29" i="140"/>
  <c r="E30"/>
  <c r="K4" i="146" s="1"/>
  <c r="R31" i="140"/>
  <c r="X5" i="146" s="1"/>
  <c r="P30" i="140"/>
  <c r="V4" i="146" s="1"/>
  <c r="I29" i="140"/>
  <c r="X29"/>
  <c r="W31"/>
  <c r="AC5" i="146" s="1"/>
  <c r="U31" i="140"/>
  <c r="AA5" i="146" s="1"/>
  <c r="O30" i="140"/>
  <c r="U4" i="146" s="1"/>
  <c r="U30" i="140"/>
  <c r="AA4" i="146" s="1"/>
  <c r="N31" i="140"/>
  <c r="T5" i="146" s="1"/>
  <c r="K29" i="140"/>
  <c r="Q29"/>
  <c r="T29"/>
  <c r="T41" s="1"/>
  <c r="T30"/>
  <c r="Z4" i="146" s="1"/>
  <c r="G29" i="140"/>
  <c r="I31"/>
  <c r="O5" i="146" s="1"/>
  <c r="R30" i="140"/>
  <c r="X4" i="146" s="1"/>
  <c r="G30" i="140"/>
  <c r="M4" i="146" s="1"/>
  <c r="F29" i="140"/>
  <c r="F40" s="1"/>
  <c r="F30"/>
  <c r="L4" i="146" s="1"/>
  <c r="H29" i="140"/>
  <c r="H40" s="1"/>
  <c r="Z21"/>
  <c r="AA32" s="1"/>
  <c r="P31"/>
  <c r="V5" i="146" s="1"/>
  <c r="X31" i="140"/>
  <c r="AD5" i="146" s="1"/>
  <c r="E29" i="140"/>
  <c r="J29"/>
  <c r="W29"/>
  <c r="L31"/>
  <c r="R5" i="146" s="1"/>
  <c r="L30" i="140"/>
  <c r="R4" i="146" s="1"/>
  <c r="V31" i="140"/>
  <c r="AB5" i="146" s="1"/>
  <c r="Q31" i="140"/>
  <c r="W5" i="146" s="1"/>
  <c r="H31" i="140"/>
  <c r="N5" i="146" s="1"/>
  <c r="V29" i="140"/>
  <c r="AA3" i="146"/>
  <c r="U41" i="140"/>
  <c r="V3" i="146"/>
  <c r="P40" i="140"/>
  <c r="P39"/>
  <c r="P76" s="1"/>
  <c r="X3" i="146"/>
  <c r="R39" i="140"/>
  <c r="R76" s="1"/>
  <c r="R3" i="146"/>
  <c r="N39" i="140"/>
  <c r="N76" s="1"/>
  <c r="N40"/>
  <c r="N41"/>
  <c r="T3" i="146"/>
  <c r="S39" i="140"/>
  <c r="S76" s="1"/>
  <c r="Y3" i="146"/>
  <c r="S63" i="140"/>
  <c r="S41"/>
  <c r="S40"/>
  <c r="S67"/>
  <c r="S64"/>
  <c r="S47"/>
  <c r="S49"/>
  <c r="S48"/>
  <c r="S66"/>
  <c r="S53"/>
  <c r="S58"/>
  <c r="S51"/>
  <c r="S43"/>
  <c r="S69"/>
  <c r="S45"/>
  <c r="S70"/>
  <c r="S60"/>
  <c r="S61"/>
  <c r="S46"/>
  <c r="S52"/>
  <c r="S33"/>
  <c r="S65"/>
  <c r="S55"/>
  <c r="S56"/>
  <c r="S44"/>
  <c r="S68"/>
  <c r="S54"/>
  <c r="S50"/>
  <c r="S57"/>
  <c r="S62"/>
  <c r="S42"/>
  <c r="S59"/>
  <c r="L41" l="1"/>
  <c r="R40"/>
  <c r="R77" s="1"/>
  <c r="U40"/>
  <c r="L39"/>
  <c r="L76" s="1"/>
  <c r="P41"/>
  <c r="U39"/>
  <c r="U76" s="1"/>
  <c r="Q40"/>
  <c r="O41"/>
  <c r="L40"/>
  <c r="L77" s="1"/>
  <c r="R41"/>
  <c r="R78" s="1"/>
  <c r="M62"/>
  <c r="S77"/>
  <c r="K42"/>
  <c r="N42"/>
  <c r="N79" s="1"/>
  <c r="M63"/>
  <c r="M69"/>
  <c r="M64"/>
  <c r="M55"/>
  <c r="M45"/>
  <c r="M56"/>
  <c r="M54"/>
  <c r="M39"/>
  <c r="M76" s="1"/>
  <c r="L3" i="146"/>
  <c r="S3"/>
  <c r="M50" i="140"/>
  <c r="M44"/>
  <c r="F39"/>
  <c r="F76" s="1"/>
  <c r="M59"/>
  <c r="M58"/>
  <c r="M52"/>
  <c r="M46"/>
  <c r="M83" s="1"/>
  <c r="M67"/>
  <c r="M43"/>
  <c r="M42"/>
  <c r="M49"/>
  <c r="M40"/>
  <c r="Z3" i="146"/>
  <c r="M57" i="140"/>
  <c r="M53"/>
  <c r="M61"/>
  <c r="M70"/>
  <c r="M51"/>
  <c r="M33"/>
  <c r="M68"/>
  <c r="M66"/>
  <c r="M48"/>
  <c r="M60"/>
  <c r="M41"/>
  <c r="M65"/>
  <c r="M47"/>
  <c r="W63"/>
  <c r="W42"/>
  <c r="K43"/>
  <c r="O49"/>
  <c r="U49"/>
  <c r="F63"/>
  <c r="U69"/>
  <c r="O66"/>
  <c r="T52"/>
  <c r="U43"/>
  <c r="U65"/>
  <c r="X45"/>
  <c r="O40"/>
  <c r="O78" s="1"/>
  <c r="O70"/>
  <c r="U3" i="146"/>
  <c r="N62" i="140"/>
  <c r="O65"/>
  <c r="O46"/>
  <c r="O51"/>
  <c r="K57"/>
  <c r="O45"/>
  <c r="O56"/>
  <c r="R61"/>
  <c r="P61"/>
  <c r="O59"/>
  <c r="O47"/>
  <c r="O60"/>
  <c r="O43"/>
  <c r="E61"/>
  <c r="U63"/>
  <c r="U62"/>
  <c r="E58"/>
  <c r="O42"/>
  <c r="O79" s="1"/>
  <c r="O55"/>
  <c r="O48"/>
  <c r="O61"/>
  <c r="O68"/>
  <c r="O57"/>
  <c r="O94" s="1"/>
  <c r="O62"/>
  <c r="O39"/>
  <c r="O76" s="1"/>
  <c r="F68"/>
  <c r="T50"/>
  <c r="P70"/>
  <c r="U42"/>
  <c r="U79" s="1"/>
  <c r="U78"/>
  <c r="U61"/>
  <c r="U33"/>
  <c r="U67"/>
  <c r="J61"/>
  <c r="O58"/>
  <c r="O54"/>
  <c r="O50"/>
  <c r="O67"/>
  <c r="T65"/>
  <c r="P42"/>
  <c r="P79" s="1"/>
  <c r="U48"/>
  <c r="I69"/>
  <c r="O53"/>
  <c r="O52"/>
  <c r="O33"/>
  <c r="O44"/>
  <c r="O63"/>
  <c r="O69"/>
  <c r="O64"/>
  <c r="F60"/>
  <c r="T67"/>
  <c r="J64"/>
  <c r="P59"/>
  <c r="U64"/>
  <c r="U58"/>
  <c r="U55"/>
  <c r="U70"/>
  <c r="U51"/>
  <c r="T44"/>
  <c r="K65"/>
  <c r="K40"/>
  <c r="J50"/>
  <c r="K58"/>
  <c r="K62"/>
  <c r="K45"/>
  <c r="F64"/>
  <c r="F59"/>
  <c r="F41"/>
  <c r="F78" s="1"/>
  <c r="T68"/>
  <c r="T61"/>
  <c r="T39"/>
  <c r="T76" s="1"/>
  <c r="J63"/>
  <c r="J55"/>
  <c r="P69"/>
  <c r="P63"/>
  <c r="P67"/>
  <c r="G48"/>
  <c r="U54"/>
  <c r="U52"/>
  <c r="U60"/>
  <c r="U53"/>
  <c r="U57"/>
  <c r="U45"/>
  <c r="U66"/>
  <c r="V56"/>
  <c r="G68"/>
  <c r="W53"/>
  <c r="K63"/>
  <c r="K67"/>
  <c r="K53"/>
  <c r="F47"/>
  <c r="F43"/>
  <c r="T51"/>
  <c r="T40"/>
  <c r="J52"/>
  <c r="P49"/>
  <c r="AA30"/>
  <c r="U50"/>
  <c r="U44"/>
  <c r="U56"/>
  <c r="U59"/>
  <c r="U96" s="1"/>
  <c r="U46"/>
  <c r="U47"/>
  <c r="U68"/>
  <c r="X60"/>
  <c r="N64"/>
  <c r="I41"/>
  <c r="K39"/>
  <c r="K76" s="1"/>
  <c r="K55"/>
  <c r="K46"/>
  <c r="K56"/>
  <c r="N61"/>
  <c r="I51"/>
  <c r="L45"/>
  <c r="W46"/>
  <c r="H65"/>
  <c r="Q42"/>
  <c r="X65"/>
  <c r="G70"/>
  <c r="K51"/>
  <c r="K60"/>
  <c r="K47"/>
  <c r="K48"/>
  <c r="N55"/>
  <c r="X70"/>
  <c r="I52"/>
  <c r="E47"/>
  <c r="W58"/>
  <c r="Q51"/>
  <c r="N52"/>
  <c r="N60"/>
  <c r="X42"/>
  <c r="AD3" i="146"/>
  <c r="I67" i="140"/>
  <c r="E62"/>
  <c r="R62"/>
  <c r="R99" s="1"/>
  <c r="G58"/>
  <c r="H50"/>
  <c r="Q56"/>
  <c r="K44"/>
  <c r="K50"/>
  <c r="K49"/>
  <c r="K70"/>
  <c r="K54"/>
  <c r="K33"/>
  <c r="K68"/>
  <c r="K52"/>
  <c r="N33"/>
  <c r="N66"/>
  <c r="N49"/>
  <c r="X53"/>
  <c r="X63"/>
  <c r="X39"/>
  <c r="X76" s="1"/>
  <c r="I39"/>
  <c r="I76" s="1"/>
  <c r="I64"/>
  <c r="I42"/>
  <c r="E56"/>
  <c r="E63"/>
  <c r="E100" s="1"/>
  <c r="R33"/>
  <c r="R60"/>
  <c r="J44"/>
  <c r="J66"/>
  <c r="W48"/>
  <c r="W44"/>
  <c r="G69"/>
  <c r="G107" s="1"/>
  <c r="G49"/>
  <c r="H62"/>
  <c r="Q60"/>
  <c r="Q44"/>
  <c r="N70"/>
  <c r="N44"/>
  <c r="X62"/>
  <c r="X33"/>
  <c r="I40"/>
  <c r="E46"/>
  <c r="R45"/>
  <c r="G47"/>
  <c r="Q69"/>
  <c r="Q50"/>
  <c r="V49"/>
  <c r="K59"/>
  <c r="K41"/>
  <c r="K66"/>
  <c r="K69"/>
  <c r="Q3" i="146"/>
  <c r="K64" i="140"/>
  <c r="K61"/>
  <c r="N67"/>
  <c r="N69"/>
  <c r="X40"/>
  <c r="X41"/>
  <c r="I43"/>
  <c r="O3" i="146"/>
  <c r="E68" i="140"/>
  <c r="E65"/>
  <c r="R68"/>
  <c r="R54"/>
  <c r="J69"/>
  <c r="J40"/>
  <c r="W65"/>
  <c r="W69"/>
  <c r="G33"/>
  <c r="G39"/>
  <c r="G76" s="1"/>
  <c r="G59"/>
  <c r="H55"/>
  <c r="Q67"/>
  <c r="Q41"/>
  <c r="Q70"/>
  <c r="W47"/>
  <c r="N63"/>
  <c r="N54"/>
  <c r="N58"/>
  <c r="N47"/>
  <c r="N57"/>
  <c r="N43"/>
  <c r="N51"/>
  <c r="N50"/>
  <c r="N59"/>
  <c r="E67"/>
  <c r="E49"/>
  <c r="E42"/>
  <c r="E70"/>
  <c r="R53"/>
  <c r="R42"/>
  <c r="R67"/>
  <c r="R50"/>
  <c r="R58"/>
  <c r="P66"/>
  <c r="P50"/>
  <c r="P65"/>
  <c r="P54"/>
  <c r="W43"/>
  <c r="W45"/>
  <c r="W52"/>
  <c r="W39"/>
  <c r="W76" s="1"/>
  <c r="G52"/>
  <c r="G64"/>
  <c r="G65"/>
  <c r="G40"/>
  <c r="G56"/>
  <c r="N3" i="146"/>
  <c r="H48" i="140"/>
  <c r="Q39"/>
  <c r="Q76" s="1"/>
  <c r="Q64"/>
  <c r="Q59"/>
  <c r="Q49"/>
  <c r="W3" i="146"/>
  <c r="V66" i="140"/>
  <c r="N46"/>
  <c r="N48"/>
  <c r="N68"/>
  <c r="N53"/>
  <c r="N65"/>
  <c r="N45"/>
  <c r="N56"/>
  <c r="L64"/>
  <c r="E66"/>
  <c r="E64"/>
  <c r="E69"/>
  <c r="E40"/>
  <c r="R57"/>
  <c r="R55"/>
  <c r="R63"/>
  <c r="P43"/>
  <c r="P60"/>
  <c r="P56"/>
  <c r="W33"/>
  <c r="W66"/>
  <c r="AC3" i="146"/>
  <c r="W49" i="140"/>
  <c r="W57"/>
  <c r="G42"/>
  <c r="G60"/>
  <c r="G67"/>
  <c r="G66"/>
  <c r="H47"/>
  <c r="H67"/>
  <c r="H59"/>
  <c r="Q33"/>
  <c r="Q53"/>
  <c r="Q63"/>
  <c r="Q65"/>
  <c r="Q68"/>
  <c r="X44"/>
  <c r="X55"/>
  <c r="X54"/>
  <c r="I56"/>
  <c r="I70"/>
  <c r="I46"/>
  <c r="F66"/>
  <c r="F55"/>
  <c r="F58"/>
  <c r="T63"/>
  <c r="T64"/>
  <c r="T56"/>
  <c r="T57"/>
  <c r="L43"/>
  <c r="H53"/>
  <c r="H44"/>
  <c r="H45"/>
  <c r="H57"/>
  <c r="V41"/>
  <c r="X67"/>
  <c r="X50"/>
  <c r="X69"/>
  <c r="X61"/>
  <c r="X49"/>
  <c r="X59"/>
  <c r="I65"/>
  <c r="I45"/>
  <c r="I61"/>
  <c r="I58"/>
  <c r="I47"/>
  <c r="I60"/>
  <c r="I49"/>
  <c r="I62"/>
  <c r="I57"/>
  <c r="F53"/>
  <c r="F61"/>
  <c r="F54"/>
  <c r="F57"/>
  <c r="F46"/>
  <c r="F52"/>
  <c r="F49"/>
  <c r="F50"/>
  <c r="T42"/>
  <c r="T79" s="1"/>
  <c r="T58"/>
  <c r="T59"/>
  <c r="T69"/>
  <c r="T53"/>
  <c r="T45"/>
  <c r="T66"/>
  <c r="L69"/>
  <c r="L48"/>
  <c r="E59"/>
  <c r="E48"/>
  <c r="E41"/>
  <c r="E43"/>
  <c r="E52"/>
  <c r="K3" i="146"/>
  <c r="E55" i="140"/>
  <c r="E51"/>
  <c r="E50"/>
  <c r="R70"/>
  <c r="R64"/>
  <c r="R52"/>
  <c r="R43"/>
  <c r="R69"/>
  <c r="R47"/>
  <c r="R44"/>
  <c r="R51"/>
  <c r="G41"/>
  <c r="G46"/>
  <c r="M3" i="146"/>
  <c r="G57" i="140"/>
  <c r="G54"/>
  <c r="G63"/>
  <c r="G44"/>
  <c r="G51"/>
  <c r="H43"/>
  <c r="H61"/>
  <c r="H33"/>
  <c r="H42"/>
  <c r="H49"/>
  <c r="H41"/>
  <c r="H78" s="1"/>
  <c r="H64"/>
  <c r="H58"/>
  <c r="H51"/>
  <c r="S101"/>
  <c r="X51"/>
  <c r="X47"/>
  <c r="X58"/>
  <c r="X52"/>
  <c r="I55"/>
  <c r="I66"/>
  <c r="I53"/>
  <c r="F45"/>
  <c r="F42"/>
  <c r="F70"/>
  <c r="F33"/>
  <c r="T43"/>
  <c r="T54"/>
  <c r="T46"/>
  <c r="T48"/>
  <c r="L63"/>
  <c r="H46"/>
  <c r="H56"/>
  <c r="H63"/>
  <c r="X48"/>
  <c r="X43"/>
  <c r="X56"/>
  <c r="X46"/>
  <c r="X68"/>
  <c r="X66"/>
  <c r="X64"/>
  <c r="X57"/>
  <c r="I44"/>
  <c r="I48"/>
  <c r="I59"/>
  <c r="I68"/>
  <c r="I54"/>
  <c r="I33"/>
  <c r="I63"/>
  <c r="I50"/>
  <c r="F69"/>
  <c r="F56"/>
  <c r="F44"/>
  <c r="F62"/>
  <c r="F65"/>
  <c r="F51"/>
  <c r="F67"/>
  <c r="F48"/>
  <c r="T33"/>
  <c r="T62"/>
  <c r="T47"/>
  <c r="T49"/>
  <c r="T60"/>
  <c r="T70"/>
  <c r="T55"/>
  <c r="L57"/>
  <c r="L54"/>
  <c r="E45"/>
  <c r="E54"/>
  <c r="E44"/>
  <c r="E57"/>
  <c r="E33"/>
  <c r="E60"/>
  <c r="E53"/>
  <c r="E39"/>
  <c r="E76" s="1"/>
  <c r="R49"/>
  <c r="R46"/>
  <c r="R59"/>
  <c r="R56"/>
  <c r="R65"/>
  <c r="R66"/>
  <c r="R48"/>
  <c r="G50"/>
  <c r="G53"/>
  <c r="G45"/>
  <c r="G43"/>
  <c r="G62"/>
  <c r="G55"/>
  <c r="G61"/>
  <c r="H68"/>
  <c r="H52"/>
  <c r="H39"/>
  <c r="H76" s="1"/>
  <c r="H69"/>
  <c r="H66"/>
  <c r="H70"/>
  <c r="H60"/>
  <c r="H54"/>
  <c r="J39"/>
  <c r="J76" s="1"/>
  <c r="J70"/>
  <c r="J43"/>
  <c r="S83"/>
  <c r="V63"/>
  <c r="J54"/>
  <c r="J48"/>
  <c r="J67"/>
  <c r="J58"/>
  <c r="J53"/>
  <c r="AA31"/>
  <c r="V53"/>
  <c r="V52"/>
  <c r="J51"/>
  <c r="J60"/>
  <c r="J65"/>
  <c r="J56"/>
  <c r="J62"/>
  <c r="J41"/>
  <c r="J59"/>
  <c r="J49"/>
  <c r="P55"/>
  <c r="P46"/>
  <c r="P53"/>
  <c r="P45"/>
  <c r="P68"/>
  <c r="P62"/>
  <c r="P48"/>
  <c r="W50"/>
  <c r="W70"/>
  <c r="W54"/>
  <c r="W62"/>
  <c r="W41"/>
  <c r="W68"/>
  <c r="W59"/>
  <c r="W55"/>
  <c r="AA29"/>
  <c r="Q54"/>
  <c r="Q47"/>
  <c r="Q45"/>
  <c r="Q46"/>
  <c r="Q66"/>
  <c r="Q55"/>
  <c r="J68"/>
  <c r="V47"/>
  <c r="V50"/>
  <c r="P3" i="146"/>
  <c r="J57" i="140"/>
  <c r="J47"/>
  <c r="J33"/>
  <c r="J45"/>
  <c r="J46"/>
  <c r="J42"/>
  <c r="P44"/>
  <c r="P33"/>
  <c r="P52"/>
  <c r="P64"/>
  <c r="P57"/>
  <c r="P58"/>
  <c r="P51"/>
  <c r="P47"/>
  <c r="W61"/>
  <c r="W40"/>
  <c r="W67"/>
  <c r="W64"/>
  <c r="W56"/>
  <c r="W51"/>
  <c r="W60"/>
  <c r="Q58"/>
  <c r="Q43"/>
  <c r="Q62"/>
  <c r="Q52"/>
  <c r="Q57"/>
  <c r="Q61"/>
  <c r="Q48"/>
  <c r="V33"/>
  <c r="V46"/>
  <c r="V65"/>
  <c r="V45"/>
  <c r="V68"/>
  <c r="V44"/>
  <c r="V69"/>
  <c r="V40"/>
  <c r="V64"/>
  <c r="S94"/>
  <c r="S97"/>
  <c r="S80"/>
  <c r="S103"/>
  <c r="N78"/>
  <c r="L52"/>
  <c r="L51"/>
  <c r="L58"/>
  <c r="L61"/>
  <c r="L62"/>
  <c r="L49"/>
  <c r="L56"/>
  <c r="V70"/>
  <c r="V57"/>
  <c r="V60"/>
  <c r="V54"/>
  <c r="V61"/>
  <c r="V58"/>
  <c r="AB3" i="146"/>
  <c r="V42" i="140"/>
  <c r="L55"/>
  <c r="L42"/>
  <c r="L44"/>
  <c r="L70"/>
  <c r="L67"/>
  <c r="L60"/>
  <c r="L33"/>
  <c r="V67"/>
  <c r="V48"/>
  <c r="V43"/>
  <c r="V62"/>
  <c r="V51"/>
  <c r="V59"/>
  <c r="V55"/>
  <c r="V39"/>
  <c r="V76" s="1"/>
  <c r="S86"/>
  <c r="L47"/>
  <c r="L59"/>
  <c r="L68"/>
  <c r="L46"/>
  <c r="L50"/>
  <c r="L65"/>
  <c r="L53"/>
  <c r="L66"/>
  <c r="P78"/>
  <c r="S105"/>
  <c r="S84"/>
  <c r="S78"/>
  <c r="S82"/>
  <c r="S81"/>
  <c r="S100"/>
  <c r="S99"/>
  <c r="S102"/>
  <c r="S106"/>
  <c r="S79"/>
  <c r="S91"/>
  <c r="S92"/>
  <c r="S95"/>
  <c r="N77"/>
  <c r="S90"/>
  <c r="S89"/>
  <c r="S98"/>
  <c r="S96"/>
  <c r="S87"/>
  <c r="S93"/>
  <c r="S107"/>
  <c r="S88"/>
  <c r="S85"/>
  <c r="S104"/>
  <c r="P77"/>
  <c r="R79" l="1"/>
  <c r="N99"/>
  <c r="O86"/>
  <c r="L78"/>
  <c r="Q78"/>
  <c r="L79"/>
  <c r="U77"/>
  <c r="K101"/>
  <c r="G86"/>
  <c r="M90"/>
  <c r="N80"/>
  <c r="K95"/>
  <c r="M77"/>
  <c r="U89"/>
  <c r="M101"/>
  <c r="M95"/>
  <c r="M106"/>
  <c r="M99"/>
  <c r="M100"/>
  <c r="M107"/>
  <c r="M98"/>
  <c r="M82"/>
  <c r="K80"/>
  <c r="E78"/>
  <c r="M79"/>
  <c r="I106"/>
  <c r="M89"/>
  <c r="M80"/>
  <c r="M87"/>
  <c r="M91"/>
  <c r="F77"/>
  <c r="E81"/>
  <c r="M102"/>
  <c r="M96"/>
  <c r="M92"/>
  <c r="M84"/>
  <c r="M85"/>
  <c r="M104"/>
  <c r="M88"/>
  <c r="M93"/>
  <c r="J102"/>
  <c r="M94"/>
  <c r="M81"/>
  <c r="M97"/>
  <c r="M103"/>
  <c r="M78"/>
  <c r="M86"/>
  <c r="M105"/>
  <c r="W100"/>
  <c r="F105"/>
  <c r="V93"/>
  <c r="W101"/>
  <c r="G77"/>
  <c r="T88"/>
  <c r="T87"/>
  <c r="X83"/>
  <c r="T106"/>
  <c r="X82"/>
  <c r="G97"/>
  <c r="O92"/>
  <c r="W79"/>
  <c r="R92"/>
  <c r="W80"/>
  <c r="F97"/>
  <c r="X97"/>
  <c r="R104"/>
  <c r="O84"/>
  <c r="O93"/>
  <c r="Q97"/>
  <c r="W83"/>
  <c r="P87"/>
  <c r="W84"/>
  <c r="X100"/>
  <c r="W81"/>
  <c r="K84"/>
  <c r="U81"/>
  <c r="O99"/>
  <c r="K81"/>
  <c r="O81"/>
  <c r="P86"/>
  <c r="L101"/>
  <c r="X79"/>
  <c r="U103"/>
  <c r="J101"/>
  <c r="O87"/>
  <c r="O82"/>
  <c r="O77"/>
  <c r="P96"/>
  <c r="F85"/>
  <c r="U102"/>
  <c r="J87"/>
  <c r="I90"/>
  <c r="F84"/>
  <c r="F96"/>
  <c r="I107"/>
  <c r="P98"/>
  <c r="G96"/>
  <c r="I80"/>
  <c r="K107"/>
  <c r="N82"/>
  <c r="U83"/>
  <c r="U90"/>
  <c r="U98"/>
  <c r="U99"/>
  <c r="O103"/>
  <c r="R96"/>
  <c r="W77"/>
  <c r="J93"/>
  <c r="E80"/>
  <c r="W85"/>
  <c r="K90"/>
  <c r="Q88"/>
  <c r="K98"/>
  <c r="U94"/>
  <c r="F101"/>
  <c r="U107"/>
  <c r="O102"/>
  <c r="O95"/>
  <c r="P107"/>
  <c r="R98"/>
  <c r="O83"/>
  <c r="F100"/>
  <c r="Q77"/>
  <c r="Q91"/>
  <c r="G78"/>
  <c r="E86"/>
  <c r="T104"/>
  <c r="Q106"/>
  <c r="K102"/>
  <c r="G85"/>
  <c r="X98"/>
  <c r="U106"/>
  <c r="U82"/>
  <c r="O96"/>
  <c r="K94"/>
  <c r="O104"/>
  <c r="Q101"/>
  <c r="U95"/>
  <c r="L83"/>
  <c r="L82"/>
  <c r="J90"/>
  <c r="E95"/>
  <c r="F102"/>
  <c r="W86"/>
  <c r="U105"/>
  <c r="P101"/>
  <c r="J88"/>
  <c r="H97"/>
  <c r="G90"/>
  <c r="E83"/>
  <c r="T99"/>
  <c r="X103"/>
  <c r="X81"/>
  <c r="X90"/>
  <c r="R82"/>
  <c r="T90"/>
  <c r="R100"/>
  <c r="N106"/>
  <c r="Q87"/>
  <c r="W90"/>
  <c r="N96"/>
  <c r="E105"/>
  <c r="X78"/>
  <c r="K78"/>
  <c r="N89"/>
  <c r="T89"/>
  <c r="K104"/>
  <c r="K99"/>
  <c r="O100"/>
  <c r="O90"/>
  <c r="U85"/>
  <c r="O106"/>
  <c r="U100"/>
  <c r="O85"/>
  <c r="T98"/>
  <c r="K97"/>
  <c r="U80"/>
  <c r="Q98"/>
  <c r="W91"/>
  <c r="P99"/>
  <c r="E98"/>
  <c r="F81"/>
  <c r="X102"/>
  <c r="E96"/>
  <c r="F98"/>
  <c r="T102"/>
  <c r="P80"/>
  <c r="E99"/>
  <c r="U88"/>
  <c r="O89"/>
  <c r="J89"/>
  <c r="U97"/>
  <c r="P104"/>
  <c r="T81"/>
  <c r="W93"/>
  <c r="W99"/>
  <c r="H101"/>
  <c r="H99"/>
  <c r="G100"/>
  <c r="R84"/>
  <c r="I94"/>
  <c r="I102"/>
  <c r="X107"/>
  <c r="X91"/>
  <c r="N81"/>
  <c r="N86"/>
  <c r="K89"/>
  <c r="I89"/>
  <c r="K93"/>
  <c r="U84"/>
  <c r="T77"/>
  <c r="K91"/>
  <c r="T105"/>
  <c r="K82"/>
  <c r="U93"/>
  <c r="O107"/>
  <c r="O98"/>
  <c r="V78"/>
  <c r="I93"/>
  <c r="G103"/>
  <c r="E107"/>
  <c r="N94"/>
  <c r="J99"/>
  <c r="J104"/>
  <c r="K105"/>
  <c r="N98"/>
  <c r="N92"/>
  <c r="K103"/>
  <c r="R97"/>
  <c r="O80"/>
  <c r="O91"/>
  <c r="L81"/>
  <c r="U104"/>
  <c r="U92"/>
  <c r="O101"/>
  <c r="Q105"/>
  <c r="U87"/>
  <c r="O88"/>
  <c r="T78"/>
  <c r="O105"/>
  <c r="K100"/>
  <c r="P91"/>
  <c r="G92"/>
  <c r="F94"/>
  <c r="G105"/>
  <c r="R105"/>
  <c r="R91"/>
  <c r="U86"/>
  <c r="U101"/>
  <c r="J105"/>
  <c r="P105"/>
  <c r="K86"/>
  <c r="I78"/>
  <c r="O97"/>
  <c r="I79"/>
  <c r="V98"/>
  <c r="Q94"/>
  <c r="Q93"/>
  <c r="W96"/>
  <c r="J78"/>
  <c r="J98"/>
  <c r="J92"/>
  <c r="J107"/>
  <c r="F106"/>
  <c r="T92"/>
  <c r="F79"/>
  <c r="G98"/>
  <c r="E103"/>
  <c r="Q107"/>
  <c r="L104"/>
  <c r="P102"/>
  <c r="X106"/>
  <c r="X80"/>
  <c r="L85"/>
  <c r="V94"/>
  <c r="P94"/>
  <c r="H91"/>
  <c r="H106"/>
  <c r="G82"/>
  <c r="T93"/>
  <c r="T84"/>
  <c r="I97"/>
  <c r="T80"/>
  <c r="F83"/>
  <c r="H95"/>
  <c r="G94"/>
  <c r="R88"/>
  <c r="R81"/>
  <c r="E87"/>
  <c r="E89"/>
  <c r="T83"/>
  <c r="T96"/>
  <c r="F90"/>
  <c r="I86"/>
  <c r="I98"/>
  <c r="X104"/>
  <c r="T100"/>
  <c r="I83"/>
  <c r="X93"/>
  <c r="K83"/>
  <c r="U91"/>
  <c r="F93"/>
  <c r="L96"/>
  <c r="T91"/>
  <c r="H81"/>
  <c r="F86"/>
  <c r="F91"/>
  <c r="H94"/>
  <c r="V79"/>
  <c r="L86"/>
  <c r="P93"/>
  <c r="I91"/>
  <c r="I82"/>
  <c r="H104"/>
  <c r="N83"/>
  <c r="G102"/>
  <c r="N87"/>
  <c r="N85"/>
  <c r="K87"/>
  <c r="H87"/>
  <c r="I104"/>
  <c r="K85"/>
  <c r="H103"/>
  <c r="G88"/>
  <c r="N90"/>
  <c r="I105"/>
  <c r="K96"/>
  <c r="W82"/>
  <c r="J77"/>
  <c r="R80"/>
  <c r="P88"/>
  <c r="H88"/>
  <c r="G91"/>
  <c r="I99"/>
  <c r="Q100"/>
  <c r="R94"/>
  <c r="N102"/>
  <c r="H85"/>
  <c r="R87"/>
  <c r="N101"/>
  <c r="H100"/>
  <c r="T103"/>
  <c r="H77"/>
  <c r="K77"/>
  <c r="H102"/>
  <c r="K92"/>
  <c r="K106"/>
  <c r="V104"/>
  <c r="X99"/>
  <c r="V103"/>
  <c r="Q81"/>
  <c r="P81"/>
  <c r="H105"/>
  <c r="G80"/>
  <c r="L94"/>
  <c r="F99"/>
  <c r="I88"/>
  <c r="H93"/>
  <c r="X84"/>
  <c r="H82"/>
  <c r="W95"/>
  <c r="E106"/>
  <c r="N93"/>
  <c r="N88"/>
  <c r="W103"/>
  <c r="R106"/>
  <c r="N104"/>
  <c r="V87"/>
  <c r="E84"/>
  <c r="L102"/>
  <c r="Q90"/>
  <c r="W104"/>
  <c r="G79"/>
  <c r="E85"/>
  <c r="T97"/>
  <c r="T101"/>
  <c r="T82"/>
  <c r="K79"/>
  <c r="P100"/>
  <c r="F92"/>
  <c r="L90"/>
  <c r="Q96"/>
  <c r="Q82"/>
  <c r="J96"/>
  <c r="J103"/>
  <c r="R103"/>
  <c r="R83"/>
  <c r="I100"/>
  <c r="X94"/>
  <c r="H83"/>
  <c r="X88"/>
  <c r="G101"/>
  <c r="E79"/>
  <c r="T94"/>
  <c r="H96"/>
  <c r="R93"/>
  <c r="E101"/>
  <c r="R90"/>
  <c r="N91"/>
  <c r="Q79"/>
  <c r="V86"/>
  <c r="W102"/>
  <c r="K88"/>
  <c r="X77"/>
  <c r="G106"/>
  <c r="T86"/>
  <c r="X101"/>
  <c r="I96"/>
  <c r="F80"/>
  <c r="Q83"/>
  <c r="W87"/>
  <c r="P83"/>
  <c r="H107"/>
  <c r="H89"/>
  <c r="G87"/>
  <c r="E94"/>
  <c r="F103"/>
  <c r="F107"/>
  <c r="X105"/>
  <c r="X85"/>
  <c r="T85"/>
  <c r="X96"/>
  <c r="G83"/>
  <c r="R85"/>
  <c r="R102"/>
  <c r="T107"/>
  <c r="F88"/>
  <c r="I85"/>
  <c r="I103"/>
  <c r="Q102"/>
  <c r="G93"/>
  <c r="G89"/>
  <c r="R95"/>
  <c r="T95"/>
  <c r="N105"/>
  <c r="N100"/>
  <c r="P103"/>
  <c r="X89"/>
  <c r="F89"/>
  <c r="Q85"/>
  <c r="W89"/>
  <c r="J82"/>
  <c r="E102"/>
  <c r="I77"/>
  <c r="P85"/>
  <c r="I81"/>
  <c r="V85"/>
  <c r="F82"/>
  <c r="I92"/>
  <c r="H84"/>
  <c r="I87"/>
  <c r="Q86"/>
  <c r="V91"/>
  <c r="I101"/>
  <c r="V101"/>
  <c r="P84"/>
  <c r="J79"/>
  <c r="Q103"/>
  <c r="W106"/>
  <c r="W107"/>
  <c r="P92"/>
  <c r="J81"/>
  <c r="N107"/>
  <c r="Q92"/>
  <c r="G84"/>
  <c r="W78"/>
  <c r="E77"/>
  <c r="F104"/>
  <c r="N97"/>
  <c r="H98"/>
  <c r="X95"/>
  <c r="L87"/>
  <c r="L84"/>
  <c r="N103"/>
  <c r="R101"/>
  <c r="V96"/>
  <c r="E97"/>
  <c r="L99"/>
  <c r="W94"/>
  <c r="P95"/>
  <c r="E90"/>
  <c r="H86"/>
  <c r="G104"/>
  <c r="E104"/>
  <c r="G99"/>
  <c r="E92"/>
  <c r="F95"/>
  <c r="N95"/>
  <c r="W88"/>
  <c r="F87"/>
  <c r="P97"/>
  <c r="H92"/>
  <c r="G95"/>
  <c r="N84"/>
  <c r="L91"/>
  <c r="L106"/>
  <c r="V88"/>
  <c r="L107"/>
  <c r="V107"/>
  <c r="W97"/>
  <c r="J83"/>
  <c r="J94"/>
  <c r="W92"/>
  <c r="H90"/>
  <c r="E93"/>
  <c r="L100"/>
  <c r="I84"/>
  <c r="X86"/>
  <c r="P82"/>
  <c r="J86"/>
  <c r="G81"/>
  <c r="J80"/>
  <c r="L95"/>
  <c r="R86"/>
  <c r="E82"/>
  <c r="R89"/>
  <c r="E88"/>
  <c r="X92"/>
  <c r="Q80"/>
  <c r="L80"/>
  <c r="E91"/>
  <c r="H79"/>
  <c r="L92"/>
  <c r="J106"/>
  <c r="H80"/>
  <c r="R107"/>
  <c r="I95"/>
  <c r="X87"/>
  <c r="W105"/>
  <c r="V99"/>
  <c r="V97"/>
  <c r="L93"/>
  <c r="V83"/>
  <c r="Q99"/>
  <c r="J85"/>
  <c r="V84"/>
  <c r="P89"/>
  <c r="V89"/>
  <c r="L103"/>
  <c r="P106"/>
  <c r="L105"/>
  <c r="J100"/>
  <c r="Q95"/>
  <c r="J84"/>
  <c r="Q84"/>
  <c r="J97"/>
  <c r="P90"/>
  <c r="V92"/>
  <c r="V80"/>
  <c r="L97"/>
  <c r="V105"/>
  <c r="W98"/>
  <c r="V90"/>
  <c r="Q104"/>
  <c r="Q89"/>
  <c r="J95"/>
  <c r="C10"/>
  <c r="J91"/>
  <c r="L88"/>
  <c r="V95"/>
  <c r="V106"/>
  <c r="V81"/>
  <c r="V100"/>
  <c r="L98"/>
  <c r="V102"/>
  <c r="L89"/>
  <c r="V77"/>
  <c r="V82"/>
  <c r="S109"/>
  <c r="M109" l="1"/>
  <c r="U109"/>
  <c r="O109"/>
  <c r="T109"/>
  <c r="K109"/>
  <c r="W109"/>
  <c r="I109"/>
  <c r="Q109"/>
  <c r="H109"/>
  <c r="E109"/>
  <c r="E110" s="1"/>
  <c r="R109"/>
  <c r="X109"/>
  <c r="N109"/>
  <c r="F109"/>
  <c r="G109"/>
  <c r="J109"/>
  <c r="L109"/>
  <c r="P109"/>
  <c r="V109"/>
  <c r="F110" l="1"/>
  <c r="G110" s="1"/>
  <c r="H110" s="1"/>
  <c r="I110" s="1"/>
  <c r="J110" s="1"/>
  <c r="K110" s="1"/>
  <c r="L110" s="1"/>
  <c r="M110" s="1"/>
  <c r="N110" s="1"/>
  <c r="O110" s="1"/>
  <c r="P110" s="1"/>
  <c r="Q110" s="1"/>
  <c r="R110" s="1"/>
  <c r="S110" s="1"/>
  <c r="T110" s="1"/>
  <c r="U110" s="1"/>
  <c r="V110" s="1"/>
  <c r="W110" s="1"/>
  <c r="X110"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Charlie Grist</author>
  </authors>
  <commentList>
    <comment ref="B14" authorId="0">
      <text>
        <r>
          <rPr>
            <b/>
            <sz val="8"/>
            <color indexed="81"/>
            <rFont val="Tahoma"/>
            <family val="2"/>
          </rPr>
          <t>Charlie Grist:</t>
        </r>
        <r>
          <rPr>
            <sz val="8"/>
            <color indexed="81"/>
            <rFont val="Tahoma"/>
            <family val="2"/>
          </rPr>
          <t xml:space="preserve">
Assumed rate of decrease in flow per person due to water and wastewater efficiency gains.  Same rate is used in water supply.</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7"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7"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7"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7"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5.xml><?xml version="1.0" encoding="utf-8"?>
<comments xmlns="http://schemas.openxmlformats.org/spreadsheetml/2006/main">
  <authors>
    <author>Kevin Smit</author>
  </authors>
  <commentList>
    <comment ref="G2" authorId="0">
      <text>
        <r>
          <rPr>
            <b/>
            <sz val="9"/>
            <color indexed="81"/>
            <rFont val="Tahoma"/>
            <family val="2"/>
          </rPr>
          <t>Kevin Smit:</t>
        </r>
        <r>
          <rPr>
            <sz val="9"/>
            <color indexed="81"/>
            <rFont val="Tahoma"/>
            <family val="2"/>
          </rPr>
          <t xml:space="preserve">
These values are based on the BACGEN project
</t>
        </r>
      </text>
    </comment>
    <comment ref="M2" authorId="0">
      <text>
        <r>
          <rPr>
            <b/>
            <sz val="9"/>
            <color indexed="81"/>
            <rFont val="Tahoma"/>
            <family val="2"/>
          </rPr>
          <t>Kevin Smit:</t>
        </r>
        <r>
          <rPr>
            <sz val="9"/>
            <color indexed="81"/>
            <rFont val="Tahoma"/>
            <family val="2"/>
          </rPr>
          <t xml:space="preserve">
These savings numbers to to ProData page</t>
        </r>
      </text>
    </comment>
  </commentList>
</comments>
</file>

<file path=xl/comments6.xml><?xml version="1.0" encoding="utf-8"?>
<comments xmlns="http://schemas.openxmlformats.org/spreadsheetml/2006/main">
  <authors>
    <author>Adam Hadley, PE</author>
    <author>Charlie Grist</author>
    <author>Kevin Smit</author>
  </authors>
  <commentList>
    <comment ref="D4" authorId="0">
      <text>
        <r>
          <rPr>
            <b/>
            <sz val="8"/>
            <color indexed="81"/>
            <rFont val="Tahoma"/>
            <family val="2"/>
          </rPr>
          <t>Adam Hadley, PE:</t>
        </r>
        <r>
          <rPr>
            <sz val="8"/>
            <color indexed="81"/>
            <rFont val="Tahoma"/>
            <family val="2"/>
          </rPr>
          <t xml:space="preserve">
Fixed costs include instrumentation, software, SCADA, programming, engineering, and communication system. Install costs on average run $50,000 per plant. Install costs vary more with plant layout than capacity and configuration. Costs very constant for AS systems, variable for lagoons depending on configuration. Targeting $15,000 implementation costs for small plants. No margin. Alternative metric 10 cents cost per kWh saved = cost of savings.</t>
        </r>
      </text>
    </comment>
    <comment ref="F4" authorId="0">
      <text>
        <r>
          <rPr>
            <b/>
            <sz val="8"/>
            <color indexed="81"/>
            <rFont val="Tahoma"/>
            <family val="2"/>
          </rPr>
          <t>Adam Hadley, PE:</t>
        </r>
        <r>
          <rPr>
            <sz val="8"/>
            <color indexed="81"/>
            <rFont val="Tahoma"/>
            <family val="2"/>
          </rPr>
          <t xml:space="preserve">
Service agreements $500/month for most facilities for small facilities. Proportional to energy savings and capped at 49% of monthly savinsgs.</t>
        </r>
      </text>
    </comment>
    <comment ref="H4" authorId="0">
      <text>
        <r>
          <rPr>
            <b/>
            <sz val="8"/>
            <color indexed="81"/>
            <rFont val="Tahoma"/>
            <family val="2"/>
          </rPr>
          <t>Adam Hadley, PE:</t>
        </r>
        <r>
          <rPr>
            <sz val="8"/>
            <color indexed="81"/>
            <rFont val="Tahoma"/>
            <family val="2"/>
          </rPr>
          <t xml:space="preserve">
Labor savings: Instrumentation reduces physical sampling done multiple times per day. Savings 10 person hours/week. Also electronic data collection is input directly eliminating transcription. Total 36 hours per week or 144 hours per month at $38,000/year salary. Use $34,000 per facility.  </t>
        </r>
      </text>
    </comment>
    <comment ref="I4" authorId="0">
      <text>
        <r>
          <rPr>
            <b/>
            <sz val="8"/>
            <color indexed="81"/>
            <rFont val="Tahoma"/>
            <family val="2"/>
          </rPr>
          <t>Adam Hadley, PE:</t>
        </r>
        <r>
          <rPr>
            <sz val="8"/>
            <color indexed="81"/>
            <rFont val="Tahoma"/>
            <family val="2"/>
          </rPr>
          <t xml:space="preserve">
Chemical Usage: Polimer reduction (solid reduction). $20/day cost per MDG treated. 25% reduction, AS only. </t>
        </r>
      </text>
    </comment>
    <comment ref="J4" authorId="1">
      <text>
        <r>
          <rPr>
            <b/>
            <sz val="8"/>
            <color indexed="81"/>
            <rFont val="Tahoma"/>
            <family val="2"/>
          </rPr>
          <t>Charlie Grist:</t>
        </r>
        <r>
          <rPr>
            <sz val="8"/>
            <color indexed="81"/>
            <rFont val="Tahoma"/>
            <family val="2"/>
          </rPr>
          <t xml:space="preserve">
See Note on NEB
Solids Reduction: Solids removed must be composted and pressed and hauled away. Solids removal costs $100,000 per year per MDG treated rural. Higher in dense population areas by 4. Proper aeration reduces algae in lagoons due to excess retention times. Save 25% in lagoon systems. Assume 10% in AS. </t>
        </r>
      </text>
    </comment>
    <comment ref="K4" authorId="0">
      <text>
        <r>
          <rPr>
            <b/>
            <sz val="8"/>
            <color indexed="81"/>
            <rFont val="Tahoma"/>
            <family val="2"/>
          </rPr>
          <t>Adam Hadley, PE:</t>
        </r>
        <r>
          <rPr>
            <sz val="8"/>
            <color indexed="81"/>
            <rFont val="Tahoma"/>
            <family val="2"/>
          </rPr>
          <t xml:space="preserve">
Capacity Savings:  Better process management will reduce capacity expansion.  AS capacity expansion $5M/MDG. Lagoons $1M/MDG. Average 17-20% capacity savings all facilities. Higher for lagoons (30%) and lower for AS (10%).  </t>
        </r>
      </text>
    </comment>
    <comment ref="K5" authorId="1">
      <text>
        <r>
          <rPr>
            <b/>
            <sz val="8"/>
            <color indexed="81"/>
            <rFont val="Tahoma"/>
            <family val="2"/>
          </rPr>
          <t>Charlie Grist:</t>
        </r>
        <r>
          <rPr>
            <sz val="8"/>
            <color indexed="81"/>
            <rFont val="Tahoma"/>
            <family val="2"/>
          </rPr>
          <t xml:space="preserve">
High Value but not yet part of this estimate.
</t>
        </r>
      </text>
    </comment>
    <comment ref="K6" authorId="1">
      <text>
        <r>
          <rPr>
            <b/>
            <sz val="8"/>
            <color indexed="81"/>
            <rFont val="Tahoma"/>
            <family val="2"/>
          </rPr>
          <t>Charlie Grist:</t>
        </r>
        <r>
          <rPr>
            <sz val="8"/>
            <color indexed="81"/>
            <rFont val="Tahoma"/>
            <family val="2"/>
          </rPr>
          <t xml:space="preserve">
High Value but not yet part of this estimate.
</t>
        </r>
      </text>
    </comment>
    <comment ref="K7" authorId="1">
      <text>
        <r>
          <rPr>
            <b/>
            <sz val="8"/>
            <color indexed="81"/>
            <rFont val="Tahoma"/>
            <family val="2"/>
          </rPr>
          <t>Charlie Grist:</t>
        </r>
        <r>
          <rPr>
            <sz val="8"/>
            <color indexed="81"/>
            <rFont val="Tahoma"/>
            <family val="2"/>
          </rPr>
          <t xml:space="preserve">
High Value but not yet part of this estimate.
</t>
        </r>
      </text>
    </comment>
    <comment ref="K8" authorId="1">
      <text>
        <r>
          <rPr>
            <b/>
            <sz val="8"/>
            <color indexed="81"/>
            <rFont val="Tahoma"/>
            <family val="2"/>
          </rPr>
          <t>Charlie Grist:</t>
        </r>
        <r>
          <rPr>
            <sz val="8"/>
            <color indexed="81"/>
            <rFont val="Tahoma"/>
            <family val="2"/>
          </rPr>
          <t xml:space="preserve">
High Value but not yet part of this estimate.
</t>
        </r>
      </text>
    </comment>
    <comment ref="K9" authorId="1">
      <text>
        <r>
          <rPr>
            <b/>
            <sz val="8"/>
            <color indexed="81"/>
            <rFont val="Tahoma"/>
            <family val="2"/>
          </rPr>
          <t>Charlie Grist:</t>
        </r>
        <r>
          <rPr>
            <sz val="8"/>
            <color indexed="81"/>
            <rFont val="Tahoma"/>
            <family val="2"/>
          </rPr>
          <t xml:space="preserve">
High Value but not yet part of this estimate.
</t>
        </r>
      </text>
    </comment>
    <comment ref="F12" authorId="0">
      <text>
        <r>
          <rPr>
            <b/>
            <sz val="8"/>
            <color indexed="81"/>
            <rFont val="Tahoma"/>
            <family val="2"/>
          </rPr>
          <t>Adam Hadley, PE:</t>
        </r>
        <r>
          <rPr>
            <sz val="8"/>
            <color indexed="81"/>
            <rFont val="Tahoma"/>
            <family val="2"/>
          </rPr>
          <t xml:space="preserve">
Westwide data set:
Has compiled data from 194 total facilities in PNW and Californai. 
Total 1.347 million kWh/MGD treated.  
</t>
        </r>
      </text>
    </comment>
    <comment ref="B33" authorId="0">
      <text>
        <r>
          <rPr>
            <b/>
            <sz val="8"/>
            <color indexed="81"/>
            <rFont val="Tahoma"/>
            <family val="2"/>
          </rPr>
          <t>Adam Hadley, PE:</t>
        </r>
        <r>
          <rPr>
            <sz val="8"/>
            <color indexed="81"/>
            <rFont val="Tahoma"/>
            <family val="2"/>
          </rPr>
          <t xml:space="preserve">
% of the region's expansion needs met by building new plants.</t>
        </r>
      </text>
    </comment>
    <comment ref="B34" authorId="0">
      <text>
        <r>
          <rPr>
            <b/>
            <sz val="8"/>
            <color indexed="81"/>
            <rFont val="Tahoma"/>
            <family val="2"/>
          </rPr>
          <t>Adam Hadley, PE:</t>
        </r>
        <r>
          <rPr>
            <sz val="8"/>
            <color indexed="81"/>
            <rFont val="Tahoma"/>
            <family val="2"/>
          </rPr>
          <t xml:space="preserve">
% of Region's expansion needs met by increasing plant throughput.</t>
        </r>
      </text>
    </comment>
    <comment ref="C37" authorId="2">
      <text>
        <r>
          <rPr>
            <b/>
            <sz val="9"/>
            <color indexed="81"/>
            <rFont val="Tahoma"/>
            <family val="2"/>
          </rPr>
          <t>Kevin Smit:</t>
        </r>
        <r>
          <rPr>
            <sz val="9"/>
            <color indexed="81"/>
            <rFont val="Tahoma"/>
            <family val="2"/>
          </rPr>
          <t xml:space="preserve">
Population receiving treatment by plants</t>
        </r>
      </text>
    </comment>
    <comment ref="E37" authorId="2">
      <text>
        <r>
          <rPr>
            <b/>
            <sz val="9"/>
            <color indexed="81"/>
            <rFont val="Tahoma"/>
            <family val="2"/>
          </rPr>
          <t>Kevin Smit:</t>
        </r>
        <r>
          <rPr>
            <sz val="9"/>
            <color indexed="81"/>
            <rFont val="Tahoma"/>
            <family val="2"/>
          </rPr>
          <t xml:space="preserve">
Population served by wastewater treatment.  From Sixth Plan estimates.</t>
        </r>
      </text>
    </comment>
    <comment ref="C38" authorId="2">
      <text>
        <r>
          <rPr>
            <b/>
            <sz val="9"/>
            <color indexed="81"/>
            <rFont val="Tahoma"/>
            <family val="2"/>
          </rPr>
          <t>Kevin Smit:</t>
        </r>
        <r>
          <rPr>
            <sz val="9"/>
            <color indexed="81"/>
            <rFont val="Tahoma"/>
            <family val="2"/>
          </rPr>
          <t xml:space="preserve">
These values from Sixth Plan</t>
        </r>
      </text>
    </comment>
    <comment ref="D112"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3"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4"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5"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6"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7"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8"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19"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D120" authorId="0">
      <text>
        <r>
          <rPr>
            <b/>
            <sz val="8"/>
            <color indexed="81"/>
            <rFont val="Tahoma"/>
            <family val="2"/>
          </rPr>
          <t>Adam Hadley, PE:</t>
        </r>
        <r>
          <rPr>
            <sz val="8"/>
            <color indexed="81"/>
            <rFont val="Tahoma"/>
            <family val="2"/>
          </rPr>
          <t xml:space="preserve">
Note: RBC: rotating biological contactor. AAS: air activated sludge. AAS with N/D: air activated sludge with Nitrification and Denitrification. HPO-AS PSA: high purity oxygen activated sludge, oxygen produced by pressure swing adsorption. HPO-AS Cryo: high purity oxygen activated sludge, oxygen produced by cryogenic process.</t>
        </r>
      </text>
    </comment>
    <comment ref="E121" authorId="0">
      <text>
        <r>
          <rPr>
            <b/>
            <sz val="8"/>
            <color indexed="81"/>
            <rFont val="Tahoma"/>
            <family val="2"/>
          </rPr>
          <t>Adam Hadley, PE:</t>
        </r>
        <r>
          <rPr>
            <sz val="8"/>
            <color indexed="81"/>
            <rFont val="Tahoma"/>
            <family val="2"/>
          </rPr>
          <t xml:space="preserve">
Assume 62, which is average of 49 and 75, and coincides with BacGen data (PNW wastewater.xls)</t>
        </r>
      </text>
    </comment>
    <comment ref="E122" authorId="0">
      <text>
        <r>
          <rPr>
            <b/>
            <sz val="8"/>
            <color indexed="81"/>
            <rFont val="Tahoma"/>
            <family val="2"/>
          </rPr>
          <t>Adam Hadley, PE:</t>
        </r>
        <r>
          <rPr>
            <sz val="8"/>
            <color indexed="81"/>
            <rFont val="Tahoma"/>
            <family val="2"/>
          </rPr>
          <t xml:space="preserve">
source was EPA database</t>
        </r>
      </text>
    </comment>
    <comment ref="I123" authorId="0">
      <text>
        <r>
          <rPr>
            <b/>
            <sz val="8"/>
            <color indexed="81"/>
            <rFont val="Tahoma"/>
            <family val="2"/>
          </rPr>
          <t>Adam Hadley, PE:</t>
        </r>
        <r>
          <rPr>
            <sz val="8"/>
            <color indexed="81"/>
            <rFont val="Tahoma"/>
            <family val="2"/>
          </rPr>
          <t xml:space="preserve">
based on annual bill of $994,612 and $0.0572/kWh.</t>
        </r>
      </text>
    </comment>
    <comment ref="I124" authorId="0">
      <text>
        <r>
          <rPr>
            <b/>
            <sz val="8"/>
            <color indexed="81"/>
            <rFont val="Tahoma"/>
            <family val="2"/>
          </rPr>
          <t>Adam Hadley, PE:</t>
        </r>
        <r>
          <rPr>
            <sz val="8"/>
            <color indexed="81"/>
            <rFont val="Tahoma"/>
            <family val="2"/>
          </rPr>
          <t xml:space="preserve">
based on CY 2007 cost of $443772 at about $0.065/kWh to get energy purchased, plus energy generated by methane generator.</t>
        </r>
      </text>
    </comment>
    <comment ref="L125" authorId="0">
      <text>
        <r>
          <rPr>
            <b/>
            <sz val="8"/>
            <color indexed="81"/>
            <rFont val="Tahoma"/>
            <family val="2"/>
          </rPr>
          <t>Adam Hadley, PE:</t>
        </r>
        <r>
          <rPr>
            <sz val="8"/>
            <color indexed="81"/>
            <rFont val="Tahoma"/>
            <family val="2"/>
          </rPr>
          <t xml:space="preserve">
Assumes 50% utilization for 2 months at 55kW and 2 months at 43kW</t>
        </r>
      </text>
    </comment>
    <comment ref="E128" authorId="0">
      <text>
        <r>
          <rPr>
            <b/>
            <sz val="8"/>
            <color indexed="81"/>
            <rFont val="Tahoma"/>
            <family val="2"/>
          </rPr>
          <t>Adam Hadley, PE:</t>
        </r>
        <r>
          <rPr>
            <sz val="8"/>
            <color indexed="81"/>
            <rFont val="Tahoma"/>
            <family val="2"/>
          </rPr>
          <t xml:space="preserve">
Assume 70, which is average of 35 and 105.  Note: BacGen data (PNW wastewater.xls) shows 35.  However, since annual average flows are higher than max design, this seems to be a simple issue of reporting error/inconsistency.</t>
        </r>
      </text>
    </comment>
    <comment ref="G128" authorId="0">
      <text>
        <r>
          <rPr>
            <b/>
            <sz val="8"/>
            <color indexed="81"/>
            <rFont val="Tahoma"/>
            <family val="2"/>
          </rPr>
          <t>Adam Hadley, PE:</t>
        </r>
        <r>
          <rPr>
            <sz val="8"/>
            <color indexed="81"/>
            <rFont val="Tahoma"/>
            <family val="2"/>
          </rPr>
          <t xml:space="preserve">
year 2007, 44.12 in 2006</t>
        </r>
      </text>
    </comment>
    <comment ref="I128" authorId="0">
      <text>
        <r>
          <rPr>
            <b/>
            <sz val="8"/>
            <color indexed="81"/>
            <rFont val="Tahoma"/>
            <family val="2"/>
          </rPr>
          <t>Adam Hadley, PE:</t>
        </r>
        <r>
          <rPr>
            <sz val="8"/>
            <color indexed="81"/>
            <rFont val="Tahoma"/>
            <family val="2"/>
          </rPr>
          <t xml:space="preserve">
17.9 million kWh 2007, 15.2 million kWh in 2006
These are total consumption numbers.
Purchased 13.1 million kWh and produced 4.79 million kWh
2006: 4.7 million kWh produced and 10.5 million kWh produced.</t>
        </r>
      </text>
    </comment>
    <comment ref="Z135" authorId="0">
      <text>
        <r>
          <rPr>
            <b/>
            <sz val="8"/>
            <color indexed="81"/>
            <rFont val="Tahoma"/>
            <family val="2"/>
          </rPr>
          <t>Adam Hadley, PE:</t>
        </r>
        <r>
          <rPr>
            <sz val="8"/>
            <color indexed="81"/>
            <rFont val="Tahoma"/>
            <family val="2"/>
          </rPr>
          <t xml:space="preserve">
Implementation Cost is divided by 2 to take into account the added work the engineering firm performed, above and beyond a standard energy efficiency audit/project (i.e. extra metering, documentation, etc.)</t>
        </r>
      </text>
    </comment>
    <comment ref="H137" authorId="0">
      <text>
        <r>
          <rPr>
            <b/>
            <sz val="8"/>
            <color indexed="81"/>
            <rFont val="Tahoma"/>
            <family val="2"/>
          </rPr>
          <t>Adam Hadley, PE:</t>
        </r>
        <r>
          <rPr>
            <sz val="8"/>
            <color indexed="81"/>
            <rFont val="Tahoma"/>
            <family val="2"/>
          </rPr>
          <t xml:space="preserve">
Did not include a $700k sludge thickening measure that had no energy savings and $58k O&amp;M savings.</t>
        </r>
      </text>
    </comment>
    <comment ref="L140" authorId="0">
      <text>
        <r>
          <rPr>
            <b/>
            <sz val="8"/>
            <color indexed="81"/>
            <rFont val="Tahoma"/>
            <family val="2"/>
          </rPr>
          <t>Adam Hadley, PE:</t>
        </r>
        <r>
          <rPr>
            <sz val="8"/>
            <color indexed="81"/>
            <rFont val="Tahoma"/>
            <family val="2"/>
          </rPr>
          <t xml:space="preserve">
Liquid Oxygen System
</t>
        </r>
      </text>
    </comment>
    <comment ref="H141" authorId="0">
      <text>
        <r>
          <rPr>
            <b/>
            <sz val="8"/>
            <color indexed="81"/>
            <rFont val="Tahoma"/>
            <family val="2"/>
          </rPr>
          <t>Adam Hadley, PE:</t>
        </r>
        <r>
          <rPr>
            <sz val="8"/>
            <color indexed="81"/>
            <rFont val="Tahoma"/>
            <family val="2"/>
          </rPr>
          <t xml:space="preserve">
Did not inlcude a $420k gravity belt thikener with $49k O&amp;M savings.</t>
        </r>
      </text>
    </comment>
    <comment ref="H145" authorId="0">
      <text>
        <r>
          <rPr>
            <b/>
            <sz val="8"/>
            <color indexed="81"/>
            <rFont val="Tahoma"/>
            <family val="2"/>
          </rPr>
          <t>Adam Hadley, PE:</t>
        </r>
        <r>
          <rPr>
            <sz val="8"/>
            <color indexed="81"/>
            <rFont val="Tahoma"/>
            <family val="2"/>
          </rPr>
          <t xml:space="preserve">
Did not include a $450k "high solids belt filter press" that had no energy savings and $75k O&amp;M savings</t>
        </r>
      </text>
    </comment>
  </commentList>
</comments>
</file>

<file path=xl/comments7.xml><?xml version="1.0" encoding="utf-8"?>
<comments xmlns="http://schemas.openxmlformats.org/spreadsheetml/2006/main">
  <authors>
    <author>Charlie Grist</author>
  </authors>
  <commentList>
    <comment ref="B2" authorId="0">
      <text>
        <r>
          <rPr>
            <b/>
            <sz val="8"/>
            <color indexed="81"/>
            <rFont val="Tahoma"/>
            <family val="2"/>
          </rPr>
          <t>Charlie Grist:</t>
        </r>
        <r>
          <rPr>
            <sz val="8"/>
            <color indexed="81"/>
            <rFont val="Tahoma"/>
            <family val="2"/>
          </rPr>
          <t xml:space="preserve">
Resiodential plus share of ICE</t>
        </r>
      </text>
    </comment>
    <comment ref="B12" authorId="0">
      <text>
        <r>
          <rPr>
            <b/>
            <sz val="8"/>
            <color indexed="81"/>
            <rFont val="Tahoma"/>
            <family val="2"/>
          </rPr>
          <t>Charlie Grist:</t>
        </r>
        <r>
          <rPr>
            <sz val="8"/>
            <color indexed="81"/>
            <rFont val="Tahoma"/>
            <family val="2"/>
          </rPr>
          <t xml:space="preserve">
Commercial + 4% from ICE plous DEI</t>
        </r>
      </text>
    </comment>
  </commentList>
</comments>
</file>

<file path=xl/comments8.xml><?xml version="1.0" encoding="utf-8"?>
<comments xmlns="http://schemas.openxmlformats.org/spreadsheetml/2006/main">
  <authors>
    <author>Tom Eckman</author>
    <author>Nick O'Neil</author>
  </authors>
  <commentList>
    <comment ref="B7" authorId="0">
      <text>
        <r>
          <rPr>
            <b/>
            <sz val="8"/>
            <color indexed="81"/>
            <rFont val="Tahoma"/>
            <family val="2"/>
          </rPr>
          <t>Tom Eckman:</t>
        </r>
        <r>
          <rPr>
            <sz val="8"/>
            <color indexed="81"/>
            <rFont val="Tahoma"/>
            <family val="2"/>
          </rPr>
          <t xml:space="preserve">
Name used for measure in ProCost model. Name may be different (usually parsed) in BPA reporting system. </t>
        </r>
      </text>
    </comment>
    <comment ref="G7" authorId="0">
      <text>
        <r>
          <rPr>
            <b/>
            <sz val="8"/>
            <color indexed="81"/>
            <rFont val="Tahoma"/>
            <family val="2"/>
          </rPr>
          <t>Tom Eckman:</t>
        </r>
        <r>
          <rPr>
            <sz val="8"/>
            <color indexed="81"/>
            <rFont val="Tahoma"/>
            <family val="2"/>
          </rPr>
          <t xml:space="preserve">
Lost opportunity = Measure's that have limited window for installation (e.g., new construction shell measures); Non-lost opportunity = retrofit measures</t>
        </r>
      </text>
    </comment>
    <comment ref="H7" authorId="0">
      <text>
        <r>
          <rPr>
            <b/>
            <sz val="8"/>
            <color indexed="81"/>
            <rFont val="Tahoma"/>
            <family val="2"/>
          </rPr>
          <t>Tom Eckman:</t>
        </r>
        <r>
          <rPr>
            <sz val="8"/>
            <color indexed="81"/>
            <rFont val="Tahoma"/>
            <family val="2"/>
          </rPr>
          <t xml:space="preserve">
Set limits on location (climate zone) where measure is applicable.</t>
        </r>
      </text>
    </comment>
    <comment ref="I7" authorId="0">
      <text>
        <r>
          <rPr>
            <b/>
            <sz val="8"/>
            <color indexed="81"/>
            <rFont val="Tahoma"/>
            <family val="2"/>
          </rPr>
          <t>Tom Eckman:</t>
        </r>
        <r>
          <rPr>
            <sz val="8"/>
            <color indexed="81"/>
            <rFont val="Tahoma"/>
            <family val="2"/>
          </rPr>
          <t xml:space="preserve">
Set limits on location (climate zone) where measure is applicable.</t>
        </r>
      </text>
    </comment>
    <comment ref="J7" authorId="0">
      <text>
        <r>
          <rPr>
            <b/>
            <sz val="8"/>
            <color indexed="81"/>
            <rFont val="Tahoma"/>
            <family val="2"/>
          </rPr>
          <t xml:space="preserve">Tom Eckman: </t>
        </r>
        <r>
          <rPr>
            <sz val="8"/>
            <color indexed="81"/>
            <rFont val="Tahoma"/>
            <family val="2"/>
          </rPr>
          <t>Annual gross savings on customer side of meter. Does not include line losses or "net-to-gross" adjustments for free-ridership/spillover. May include adjustment for differences between ex ante and ex post savings estimates (i.e.,  "realization rates" if for deemed and deemed calculated measures when savings are based on prior program evaluations.</t>
        </r>
      </text>
    </comment>
    <comment ref="K7" authorId="0">
      <text>
        <r>
          <rPr>
            <b/>
            <sz val="8"/>
            <color indexed="81"/>
            <rFont val="Tahoma"/>
            <family val="2"/>
          </rPr>
          <t xml:space="preserve">Tom Eckman:  </t>
        </r>
        <r>
          <rPr>
            <sz val="8"/>
            <color indexed="81"/>
            <rFont val="Tahoma"/>
            <family val="2"/>
          </rPr>
          <t>Site savings "grossed up" to account for marginal transmission and distribution system line losses. These are the power system savings.</t>
        </r>
        <r>
          <rPr>
            <sz val="8"/>
            <color indexed="81"/>
            <rFont val="Tahoma"/>
            <family val="2"/>
          </rPr>
          <t xml:space="preserve">
</t>
        </r>
      </text>
    </comment>
    <comment ref="L7" authorId="0">
      <text>
        <r>
          <rPr>
            <b/>
            <sz val="8"/>
            <color indexed="81"/>
            <rFont val="Tahoma"/>
            <family val="2"/>
          </rPr>
          <t>Tom Eckman:</t>
        </r>
        <r>
          <rPr>
            <sz val="8"/>
            <color indexed="81"/>
            <rFont val="Tahoma"/>
            <family val="2"/>
          </rPr>
          <t xml:space="preserve">
Difference in first cost between baseline efficiency and energy efficient measure, regardless of who pays those cost. Does not include marketing or administrative cost.</t>
        </r>
      </text>
    </comment>
    <comment ref="M7" authorId="0">
      <text>
        <r>
          <rPr>
            <b/>
            <sz val="8"/>
            <color indexed="81"/>
            <rFont val="Tahoma"/>
            <family val="2"/>
          </rPr>
          <t>Tom Eckman:</t>
        </r>
        <r>
          <rPr>
            <sz val="8"/>
            <color indexed="81"/>
            <rFont val="Tahoma"/>
            <family val="2"/>
          </rPr>
          <t xml:space="preserve">
Difference in annual operation and maintenance cost between baseline efficiency and energy efficient measure, regardless of who pays those cost. Does not include marketing or administrative cost.</t>
        </r>
      </text>
    </comment>
    <comment ref="N7" authorId="0">
      <text>
        <r>
          <rPr>
            <b/>
            <sz val="8"/>
            <color indexed="81"/>
            <rFont val="Tahoma"/>
            <family val="2"/>
          </rPr>
          <t>Tom Eckman:</t>
        </r>
        <r>
          <rPr>
            <sz val="8"/>
            <color indexed="81"/>
            <rFont val="Tahoma"/>
            <family val="2"/>
          </rPr>
          <t xml:space="preserve">
Expected mean functional life of measure, sometimes referred to as "Effective Useful Life (EUL)</t>
        </r>
      </text>
    </comment>
    <comment ref="O7" authorId="0">
      <text>
        <r>
          <rPr>
            <b/>
            <sz val="8"/>
            <color indexed="81"/>
            <rFont val="Tahoma"/>
            <family val="2"/>
          </rPr>
          <t>Tom Eckman:</t>
        </r>
        <r>
          <rPr>
            <sz val="8"/>
            <color indexed="81"/>
            <rFont val="Tahoma"/>
            <family val="2"/>
          </rPr>
          <t xml:space="preserve">
Ratio of discounted present value of societal benefits to discounted present value societal costs. Also referred to as "Total Resource Cost" (TRC) benefit-to-cost ratio.</t>
        </r>
      </text>
    </comment>
    <comment ref="P7" authorId="0">
      <text>
        <r>
          <rPr>
            <b/>
            <sz val="8"/>
            <color indexed="81"/>
            <rFont val="Tahoma"/>
            <family val="2"/>
          </rPr>
          <t>Tom Eckman:</t>
        </r>
        <r>
          <rPr>
            <sz val="8"/>
            <color indexed="81"/>
            <rFont val="Tahoma"/>
            <family val="2"/>
          </rPr>
          <t xml:space="preserve">
If Societal Benefit-to-Cost Ratio (TRC B/C ratio) is equal to or exceeds 1.0 measure is cost-effective.</t>
        </r>
      </text>
    </comment>
    <comment ref="Q7" authorId="0">
      <text>
        <r>
          <rPr>
            <b/>
            <sz val="8"/>
            <color indexed="81"/>
            <rFont val="Tahoma"/>
            <family val="2"/>
          </rPr>
          <t>Tom Eckman:</t>
        </r>
        <r>
          <rPr>
            <sz val="8"/>
            <color indexed="81"/>
            <rFont val="Tahoma"/>
            <family val="2"/>
          </rPr>
          <t xml:space="preserve">
Tracking unit (e.g. per sq. ft., per appliance, per home, per heat pump)</t>
        </r>
      </text>
    </comment>
    <comment ref="R7" authorId="0">
      <text>
        <r>
          <rPr>
            <b/>
            <sz val="8"/>
            <color indexed="81"/>
            <rFont val="Tahoma"/>
            <family val="2"/>
          </rPr>
          <t>Tom Eckman:</t>
        </r>
        <r>
          <rPr>
            <sz val="8"/>
            <color indexed="81"/>
            <rFont val="Tahoma"/>
            <family val="2"/>
          </rPr>
          <t xml:space="preserve">
Description of building type in which measure is applicable</t>
        </r>
      </text>
    </comment>
    <comment ref="S7" authorId="0">
      <text>
        <r>
          <rPr>
            <b/>
            <sz val="8"/>
            <color indexed="81"/>
            <rFont val="Tahoma"/>
            <family val="2"/>
          </rPr>
          <t>Tom Eckman:</t>
        </r>
        <r>
          <rPr>
            <sz val="8"/>
            <color indexed="81"/>
            <rFont val="Tahoma"/>
            <family val="2"/>
          </rPr>
          <t xml:space="preserve">
Vintage of building or application in which measure is applicable</t>
        </r>
      </text>
    </comment>
    <comment ref="T7" authorId="1">
      <text>
        <r>
          <rPr>
            <b/>
            <sz val="9"/>
            <color indexed="81"/>
            <rFont val="Tahoma"/>
            <family val="2"/>
          </rPr>
          <t>Nick O'Neil:</t>
        </r>
        <r>
          <rPr>
            <sz val="9"/>
            <color indexed="81"/>
            <rFont val="Tahoma"/>
            <family val="2"/>
          </rPr>
          <t xml:space="preserve">
Area to enter measure specification and eligibility requirements.</t>
        </r>
      </text>
    </comment>
    <comment ref="U7" authorId="1">
      <text>
        <r>
          <rPr>
            <b/>
            <sz val="9"/>
            <color indexed="81"/>
            <rFont val="Tahoma"/>
            <family val="2"/>
          </rPr>
          <t>Nick O'Neil:</t>
        </r>
        <r>
          <rPr>
            <sz val="9"/>
            <color indexed="81"/>
            <rFont val="Tahoma"/>
            <family val="2"/>
          </rPr>
          <t xml:space="preserve">
Left for user input on various measure attributes (e.g. fuel type, motor size, volume, efficiency level, etc.)</t>
        </r>
      </text>
    </comment>
    <comment ref="V7" authorId="1">
      <text>
        <r>
          <rPr>
            <b/>
            <sz val="9"/>
            <color indexed="81"/>
            <rFont val="Tahoma"/>
            <family val="2"/>
          </rPr>
          <t>Nick O'Neil:</t>
        </r>
        <r>
          <rPr>
            <sz val="9"/>
            <color indexed="81"/>
            <rFont val="Tahoma"/>
            <family val="2"/>
          </rPr>
          <t xml:space="preserve">
Left for user input on various measure attributes (e.g. fuel type, motor size, volume, efficiency level, etc.)</t>
        </r>
      </text>
    </comment>
    <comment ref="W7" authorId="0">
      <text>
        <r>
          <rPr>
            <b/>
            <sz val="8"/>
            <color indexed="81"/>
            <rFont val="Tahoma"/>
            <family val="2"/>
          </rPr>
          <t>Tom Eckman:</t>
        </r>
        <r>
          <rPr>
            <sz val="8"/>
            <color indexed="81"/>
            <rFont val="Tahoma"/>
            <family val="2"/>
          </rPr>
          <t xml:space="preserve">
Description of mechanism by which measure is delivered. Specifies conditions under which measure savings can be claimed as UES including program technical specification.</t>
        </r>
      </text>
    </comment>
    <comment ref="X7" authorId="0">
      <text>
        <r>
          <rPr>
            <b/>
            <sz val="8"/>
            <color indexed="81"/>
            <rFont val="Tahoma"/>
            <family val="2"/>
          </rPr>
          <t>Tom Eckman:</t>
        </r>
        <r>
          <rPr>
            <sz val="8"/>
            <color indexed="81"/>
            <rFont val="Tahoma"/>
            <family val="2"/>
          </rPr>
          <t xml:space="preserve">
Special notes regarding factors that might impact a particular technology, measure or practices cost, savings or use. For example, potential changes in federal standards or local codes or anticipated improvements in technology.</t>
        </r>
      </text>
    </comment>
  </commentList>
</comments>
</file>

<file path=xl/comments9.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5"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34"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34"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40"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40" authorId="0">
      <text>
        <r>
          <rPr>
            <sz val="9"/>
            <color indexed="81"/>
            <rFont val="Tahoma"/>
            <family val="2"/>
          </rPr>
          <t>Analyst's best judgment about the level of uncertainty for each cost/benefit by measure identifier.  Can be expressed as +/- % or as high, medium, low.</t>
        </r>
      </text>
    </comment>
    <comment ref="B41" authorId="0">
      <text>
        <r>
          <rPr>
            <sz val="9"/>
            <color indexed="81"/>
            <rFont val="Tahoma"/>
            <family val="2"/>
          </rPr>
          <t xml:space="preserve">Added to the ProCost input "Capital Cost"
</t>
        </r>
      </text>
    </comment>
    <comment ref="B44" authorId="0">
      <text>
        <r>
          <rPr>
            <sz val="9"/>
            <color indexed="81"/>
            <rFont val="Tahoma"/>
            <family val="2"/>
          </rPr>
          <t>Added to the ProCost input "Annual O&amp;M"</t>
        </r>
      </text>
    </comment>
    <comment ref="B47" authorId="0">
      <text>
        <r>
          <rPr>
            <sz val="9"/>
            <color indexed="81"/>
            <rFont val="Tahoma"/>
            <family val="2"/>
          </rPr>
          <t>Added to the ProCost input "Annual O&amp;M"</t>
        </r>
      </text>
    </comment>
    <comment ref="B50" authorId="0">
      <text>
        <r>
          <rPr>
            <sz val="9"/>
            <color indexed="81"/>
            <rFont val="Tahoma"/>
            <family val="2"/>
          </rPr>
          <t xml:space="preserve">Basis for the ProCost input "Non-E Val ($/yr)"
</t>
        </r>
      </text>
    </comment>
    <comment ref="B53" authorId="0">
      <text>
        <r>
          <rPr>
            <sz val="9"/>
            <color indexed="81"/>
            <rFont val="Tahoma"/>
            <family val="2"/>
          </rPr>
          <t>By default, these are not considered. Provide justification if you are considering their inclusion within the analysis</t>
        </r>
      </text>
    </comment>
    <comment ref="A56"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56" authorId="1">
      <text>
        <r>
          <rPr>
            <sz val="9"/>
            <color indexed="81"/>
            <rFont val="Tahoma"/>
            <family val="2"/>
          </rPr>
          <t xml:space="preserve">Analyst's best judgment about the level of uncertainty for each measure identifier.  Can be expressed as +/- % or as high, medium, low.
</t>
        </r>
      </text>
    </comment>
  </commentList>
</comments>
</file>

<file path=xl/sharedStrings.xml><?xml version="1.0" encoding="utf-8"?>
<sst xmlns="http://schemas.openxmlformats.org/spreadsheetml/2006/main" count="2714" uniqueCount="1360">
  <si>
    <t>Financial Life (years)</t>
  </si>
  <si>
    <t>Input Cost Reference Year</t>
  </si>
  <si>
    <t>Costs must be denominated in the same year as 'Input Cost Reference Year' =</t>
  </si>
  <si>
    <t xml:space="preserve">Repeat Periodic Replacement </t>
  </si>
  <si>
    <t>Periodic Replacement Costs and Savings and Replacement Period</t>
  </si>
  <si>
    <t>Savings (therms/yr)</t>
  </si>
  <si>
    <t>Customer</t>
  </si>
  <si>
    <t>Negative B/C Ratios</t>
  </si>
  <si>
    <t>Program</t>
  </si>
  <si>
    <t>Admin Cost @ Category Level</t>
  </si>
  <si>
    <t>Bulk System T&amp;D Credit ($/kw-yr)($/dailytherm-yr)</t>
  </si>
  <si>
    <t>Local System Dist Credit ($/kw-yr)($/dailytherm-yr)</t>
  </si>
  <si>
    <t>CO2 lbs per therm</t>
  </si>
  <si>
    <t>Sponsor Share of Admin Cost</t>
  </si>
  <si>
    <t>Sponsor Share of Periodic Replacement Cost</t>
  </si>
  <si>
    <t>Sponsor Share of Annual O&amp;M</t>
  </si>
  <si>
    <t xml:space="preserve">Sponsor Share of Initial Capital Cost </t>
  </si>
  <si>
    <t>Real After-Tax Cost of Capital</t>
  </si>
  <si>
    <t>Admin Cost (As % of Initial Capital Cost)</t>
  </si>
  <si>
    <t>Report Annual Carbon Saved for Year</t>
  </si>
  <si>
    <t>Input Data</t>
  </si>
  <si>
    <t>Category Name</t>
  </si>
  <si>
    <t>Measure Name</t>
  </si>
  <si>
    <t>Shape Pointer</t>
  </si>
  <si>
    <t>Cost 1 ($)</t>
  </si>
  <si>
    <t xml:space="preserve">Period 1 </t>
  </si>
  <si>
    <t>Cost 2 ($)</t>
  </si>
  <si>
    <t>Period 2</t>
  </si>
  <si>
    <t>Cost 3 ($)</t>
  </si>
  <si>
    <t>Period 3</t>
  </si>
  <si>
    <t>Data Set Name</t>
  </si>
  <si>
    <t>Savings (kwh/yr)</t>
  </si>
  <si>
    <t>Life (yrs)</t>
  </si>
  <si>
    <t>Capital Cost</t>
  </si>
  <si>
    <t>Annual O&amp;M</t>
  </si>
  <si>
    <t>Non-E Val ($/yr)</t>
  </si>
  <si>
    <t>Capital Real Escalation Rate</t>
  </si>
  <si>
    <t>Marginal Costs and Savings Shape File</t>
  </si>
  <si>
    <t>Electric</t>
  </si>
  <si>
    <t>Gas</t>
  </si>
  <si>
    <t>Run Parameters</t>
  </si>
  <si>
    <t>Run Type</t>
  </si>
  <si>
    <t>Gas Inputs</t>
  </si>
  <si>
    <t>Measure Index Name</t>
  </si>
  <si>
    <t>Program Parameters</t>
  </si>
  <si>
    <t>Sponsor Parameters</t>
  </si>
  <si>
    <t>Program Life (yrs)</t>
  </si>
  <si>
    <t>Program Start Date</t>
  </si>
  <si>
    <t>Present Value Time Zero</t>
  </si>
  <si>
    <t>Real Discount Rate</t>
  </si>
  <si>
    <t>Regional Act Conservation Credit (%)</t>
  </si>
  <si>
    <t>Marginal Cost &amp; Conservation Load Shape Parameters</t>
  </si>
  <si>
    <t>Wholesale Elec</t>
  </si>
  <si>
    <t>Retail Elec</t>
  </si>
  <si>
    <t>Nat Gas</t>
  </si>
  <si>
    <t>Utility System Parameters</t>
  </si>
  <si>
    <t>Zero Dollars per ton CO2</t>
  </si>
  <si>
    <t>LineLossShapes</t>
  </si>
  <si>
    <t>Bulk System T&amp;D Loss Factor by Time Segment</t>
  </si>
  <si>
    <t>Local System Dist Loss Factor by Time Segment</t>
  </si>
  <si>
    <t>WECCTrans</t>
  </si>
  <si>
    <t>NoLoss</t>
  </si>
  <si>
    <t>Flat5.0</t>
  </si>
  <si>
    <t>Flat1.0</t>
  </si>
  <si>
    <t>6P MidC Final (with carbon)</t>
  </si>
  <si>
    <t>6P_Gas_Final</t>
  </si>
  <si>
    <t>Residential Sector ProCost Input Assumptions</t>
  </si>
  <si>
    <t>Wholesale Electric</t>
  </si>
  <si>
    <t>Retail Electric</t>
  </si>
  <si>
    <t>Natural Gas</t>
  </si>
  <si>
    <t>Sponsor Share of Administrative Cost</t>
  </si>
  <si>
    <t>Last Year of Non-Customer O&amp;M &amp; Period Replacement</t>
  </si>
  <si>
    <t>Commercial Sector ProCost Assumptions</t>
  </si>
  <si>
    <t>Industrial Sector ProCost Assumptions</t>
  </si>
  <si>
    <t>Price Deflator Year 2000 to Year 2006$</t>
  </si>
  <si>
    <t>Agricultural Sector ProCost Assumptions</t>
  </si>
  <si>
    <t>Melded ProCost Assumptions (weighted by savings potential)</t>
  </si>
  <si>
    <t>ProCost Results</t>
  </si>
  <si>
    <t>Marginal Elec Avoided Cost Input Worksheet</t>
  </si>
  <si>
    <t>Elec Savings Shape Input Worksheet</t>
  </si>
  <si>
    <t>Marginal Gas Avoided Cost Input Worksheet</t>
  </si>
  <si>
    <t>Gas Savings Shape Input Worksheet</t>
  </si>
  <si>
    <t>Marginal Elec CO2 per kWh Input Worksheet</t>
  </si>
  <si>
    <t>Marginal Gas CO2 per therm Input Worksheet</t>
  </si>
  <si>
    <t>Marginal Avoided Cost CO2 Input Worksheet</t>
  </si>
  <si>
    <t>Line Loss Shape Input Worksheet</t>
  </si>
  <si>
    <t>Measure Results; Sorted in same order as input</t>
  </si>
  <si>
    <t>Savings</t>
  </si>
  <si>
    <t>Category</t>
  </si>
  <si>
    <t>Category Results; Sorted by TRC Levelized Cost</t>
  </si>
  <si>
    <t>Supply Curve Results; Categories sorted by TRC Net Levelized Cost</t>
  </si>
  <si>
    <t>Residential</t>
  </si>
  <si>
    <t>Commercial</t>
  </si>
  <si>
    <t>Industrial</t>
  </si>
  <si>
    <t>Risk-Mitigation Credit (mills/kWh)(mills/therm)(LO)</t>
  </si>
  <si>
    <t>Risk-Mitigation Credit (mills/kWh)(mills/therm)(NLO)</t>
  </si>
  <si>
    <t>Risk-Mitigation Credit (mills/kWh)(mills/therm)(SC)</t>
  </si>
  <si>
    <t>For Supply Curve Development - No Risk Credit</t>
  </si>
  <si>
    <t>For Lost Opp measures</t>
  </si>
  <si>
    <t>For Retrofit measures</t>
  </si>
  <si>
    <t>MC_AND_LOADSHAPE_6P.xls worksheet tab names</t>
  </si>
  <si>
    <t>6P CO2 lbs per kWh Hcap</t>
  </si>
  <si>
    <t>ID_Sector</t>
  </si>
  <si>
    <t>ID_Cat</t>
  </si>
  <si>
    <t>ProcostMeasureName</t>
  </si>
  <si>
    <t>ID_Unit</t>
  </si>
  <si>
    <t>ID_BldgType</t>
  </si>
  <si>
    <t>ID_Vintage</t>
  </si>
  <si>
    <t>Delivery Mechanism or Program</t>
  </si>
  <si>
    <t>Application</t>
  </si>
  <si>
    <t>ID_Application</t>
  </si>
  <si>
    <t>Lost Opportunity</t>
  </si>
  <si>
    <t>Incremental Capital Cost ($/unit)</t>
  </si>
  <si>
    <t>Incremental O&amp;M Costs and Schedule ($/unit)</t>
  </si>
  <si>
    <t>Measure Life (years)</t>
  </si>
  <si>
    <t>Annual Savings @ Site (kWh/yr)</t>
  </si>
  <si>
    <t>Annual Savings @ Busbar (kwh/yr)</t>
  </si>
  <si>
    <t>Regional Benefit / Cost Ratio</t>
  </si>
  <si>
    <t>Comments</t>
  </si>
  <si>
    <t>Cost Effective?</t>
  </si>
  <si>
    <t>Measure and Program Data</t>
  </si>
  <si>
    <t>Power System Benefits and Costs</t>
  </si>
  <si>
    <t>Program Data</t>
  </si>
  <si>
    <t>Sector</t>
  </si>
  <si>
    <t>Unit Type</t>
  </si>
  <si>
    <t>Building Type</t>
  </si>
  <si>
    <t>Vintage</t>
  </si>
  <si>
    <t>Lost Opportunity?</t>
  </si>
  <si>
    <t>Incremental O&amp;M Costs ($/unit)</t>
  </si>
  <si>
    <t>Annual Savings @ Site (kwh/yr)</t>
  </si>
  <si>
    <t>Annual Savings @ Generator Busbar (kwh/yr)</t>
  </si>
  <si>
    <t>Total Societal Benefit / Cost Ratio (TRC B/C Ratio)</t>
  </si>
  <si>
    <t>Cost-Effective</t>
  </si>
  <si>
    <t>Original Measure Name</t>
  </si>
  <si>
    <t>Market Sector</t>
  </si>
  <si>
    <t>Market Segment</t>
  </si>
  <si>
    <t>Measure Identifiers</t>
  </si>
  <si>
    <t>Identifier</t>
  </si>
  <si>
    <t>Possible Values</t>
  </si>
  <si>
    <t>Further Explanation and Sources</t>
  </si>
  <si>
    <t>Constant Parameters</t>
  </si>
  <si>
    <t>Parameter</t>
  </si>
  <si>
    <t>Analysis approach</t>
  </si>
  <si>
    <t>Primary Parameter / Adjustment Factor</t>
  </si>
  <si>
    <t>Primary Workbook</t>
  </si>
  <si>
    <t>Linked Workbooks</t>
  </si>
  <si>
    <t>Measure_InputOutput</t>
  </si>
  <si>
    <t>No External links</t>
  </si>
  <si>
    <t>Start</t>
  </si>
  <si>
    <t>End</t>
  </si>
  <si>
    <t>Sheet</t>
  </si>
  <si>
    <t>Text to search for</t>
  </si>
  <si>
    <t>row</t>
  </si>
  <si>
    <t xml:space="preserve">Text to search for </t>
  </si>
  <si>
    <t>Range</t>
  </si>
  <si>
    <t>Output Range</t>
  </si>
  <si>
    <t>Input Range</t>
  </si>
  <si>
    <t>Measure Results Range</t>
  </si>
  <si>
    <t>Life</t>
  </si>
  <si>
    <t>input range</t>
  </si>
  <si>
    <t>measure results range</t>
  </si>
  <si>
    <t>input column</t>
  </si>
  <si>
    <t>measure results column</t>
  </si>
  <si>
    <t>C</t>
  </si>
  <si>
    <t>D</t>
  </si>
  <si>
    <t>E</t>
  </si>
  <si>
    <t>F</t>
  </si>
  <si>
    <t>G</t>
  </si>
  <si>
    <t>I</t>
  </si>
  <si>
    <t>1st value input</t>
  </si>
  <si>
    <t>1st value measure results</t>
  </si>
  <si>
    <t xml:space="preserve">last value input </t>
  </si>
  <si>
    <t>last value measure results</t>
  </si>
  <si>
    <t>sum check</t>
  </si>
  <si>
    <t>1st value check</t>
  </si>
  <si>
    <t>last value check</t>
  </si>
  <si>
    <t>O</t>
  </si>
  <si>
    <t>Gas Savings</t>
  </si>
  <si>
    <t>N/A</t>
  </si>
  <si>
    <t>Early Retrofit Parameters</t>
  </si>
  <si>
    <t>Retro or LO</t>
  </si>
  <si>
    <t>Savings 2
(kWh)</t>
  </si>
  <si>
    <t>Remaining
Life (yrs)</t>
  </si>
  <si>
    <t>Salvage Value ($)</t>
  </si>
  <si>
    <t>R or L</t>
  </si>
  <si>
    <t>Bulk System T&amp;D I2R Loss Component (%)</t>
  </si>
  <si>
    <t>Local System Dist I2R Loss Component (%)</t>
  </si>
  <si>
    <t>Bulk System T&amp;D Loss Factor</t>
  </si>
  <si>
    <t>Local System Dist Loss Factor</t>
  </si>
  <si>
    <t>GLSShapes</t>
  </si>
  <si>
    <t>Off</t>
  </si>
  <si>
    <t>On</t>
  </si>
  <si>
    <t>Admin Cost (as % of Initial Capital Cost)</t>
  </si>
  <si>
    <t>Risk-Mitigation Credit (mills/kWh)(mills/therm) - Lost Op.</t>
  </si>
  <si>
    <t>Risk-Mitigation Credit (mills/kWh)(mills/therm) - Retro.</t>
  </si>
  <si>
    <t>Measure</t>
  </si>
  <si>
    <t>For Excel 2010 or 2013, if you experience ProCost run errors, particularly one along the lines of "Can't find Project or Library", odds are that this may do the trick.</t>
  </si>
  <si>
    <r>
      <t xml:space="preserve">1) </t>
    </r>
    <r>
      <rPr>
        <sz val="12"/>
        <rFont val="Times New Roman"/>
        <family val="1"/>
      </rPr>
      <t>In the VBA Editor, go to</t>
    </r>
    <r>
      <rPr>
        <b/>
        <sz val="12"/>
        <rFont val="Times New Roman"/>
        <family val="1"/>
      </rPr>
      <t xml:space="preserve"> Tools &amp; References</t>
    </r>
    <r>
      <rPr>
        <sz val="12"/>
        <rFont val="Times New Roman"/>
        <family val="1"/>
      </rPr>
      <t>.  You should see a screen pop up like the one shown in Step 2.</t>
    </r>
  </si>
  <si>
    <r>
      <t>2)</t>
    </r>
    <r>
      <rPr>
        <sz val="12"/>
        <rFont val="Calibri"/>
        <family val="2"/>
      </rPr>
      <t xml:space="preserve"> </t>
    </r>
    <r>
      <rPr>
        <u/>
        <sz val="12"/>
        <rFont val="Calibri"/>
        <family val="2"/>
      </rPr>
      <t>De-select</t>
    </r>
    <r>
      <rPr>
        <sz val="12"/>
        <rFont val="Calibri"/>
        <family val="2"/>
      </rPr>
      <t xml:space="preserve"> the “MISSING” reference check box. This should (hopefully) solve your run error.</t>
    </r>
  </si>
  <si>
    <t>Summary of Measure Assessment Methodology and Data Sources</t>
  </si>
  <si>
    <t>Measure Properties</t>
  </si>
  <si>
    <t>Measure Specifications</t>
  </si>
  <si>
    <t>Baseline</t>
  </si>
  <si>
    <t>Estimation Method</t>
  </si>
  <si>
    <t>Estimation Procedure</t>
  </si>
  <si>
    <t>Sunset Date</t>
  </si>
  <si>
    <t>Sunset Factors</t>
  </si>
  <si>
    <t>Number of Measure Applications</t>
  </si>
  <si>
    <t>Energy Savings Estimation Method, Parameters and Data Sources</t>
  </si>
  <si>
    <t>Savings Component</t>
  </si>
  <si>
    <t>Baseline Possible Values</t>
  </si>
  <si>
    <t>Efficient Case Possible Values</t>
  </si>
  <si>
    <t>Baseline Further Explanation and Sources</t>
  </si>
  <si>
    <t>Efficient Case Further Explanation and Sources</t>
  </si>
  <si>
    <t>Measure Incremental Costs and Benefits</t>
  </si>
  <si>
    <t>Cost or Benefit</t>
  </si>
  <si>
    <t>Analysis Approach</t>
  </si>
  <si>
    <t>Data Sources</t>
  </si>
  <si>
    <t>Source Type</t>
  </si>
  <si>
    <t>Year of the Dollars</t>
  </si>
  <si>
    <t>Uncertainty Estimate</t>
  </si>
  <si>
    <t>All</t>
  </si>
  <si>
    <t>Capital</t>
  </si>
  <si>
    <t>?%</t>
  </si>
  <si>
    <t>Maintenance</t>
  </si>
  <si>
    <t>Operations - Fuel</t>
  </si>
  <si>
    <t>Operations - Non-Energy Consumables</t>
  </si>
  <si>
    <t>Other Non-Energy Impacts</t>
  </si>
  <si>
    <t>Measure Lifetime</t>
  </si>
  <si>
    <t>CostDataSourceTypes</t>
  </si>
  <si>
    <t>Guideline</t>
  </si>
  <si>
    <t>Method</t>
  </si>
  <si>
    <t>Procedure</t>
  </si>
  <si>
    <t>Response</t>
  </si>
  <si>
    <t>Program Tracking Data</t>
  </si>
  <si>
    <t>Unit Energy Savings</t>
  </si>
  <si>
    <t>Proven</t>
  </si>
  <si>
    <t>Statistical</t>
  </si>
  <si>
    <t>Yes</t>
  </si>
  <si>
    <t>Pre-Conditions</t>
  </si>
  <si>
    <t>In-Store Retail</t>
  </si>
  <si>
    <t>Cost</t>
  </si>
  <si>
    <t>Standard Protocol</t>
  </si>
  <si>
    <t>Provisional</t>
  </si>
  <si>
    <t>Meta-Statistical</t>
  </si>
  <si>
    <t>No</t>
  </si>
  <si>
    <t>Current Practice</t>
  </si>
  <si>
    <t>Contractor and Project Invoices</t>
  </si>
  <si>
    <t>Lifetime</t>
  </si>
  <si>
    <t>Custom</t>
  </si>
  <si>
    <t>Small Saver</t>
  </si>
  <si>
    <t>Calibrated Engineering</t>
  </si>
  <si>
    <t>NA</t>
  </si>
  <si>
    <t>Pre-Conditions and Current Practice</t>
  </si>
  <si>
    <t>Contractor Price Sheets</t>
  </si>
  <si>
    <t>Small and Rural</t>
  </si>
  <si>
    <t>Program Impact Evaluation</t>
  </si>
  <si>
    <t>Planning</t>
  </si>
  <si>
    <t>Online Retail</t>
  </si>
  <si>
    <t>ProCost</t>
  </si>
  <si>
    <t>DOE / Other Standard Setting Process</t>
  </si>
  <si>
    <t>Roadmap</t>
  </si>
  <si>
    <t>Contractor Interview</t>
  </si>
  <si>
    <t>Distributor Interview</t>
  </si>
  <si>
    <t>Market Actor Interviews</t>
  </si>
  <si>
    <t>Maintenance Staff Interviews</t>
  </si>
  <si>
    <t>Professional Judgment</t>
  </si>
  <si>
    <t>ID_App</t>
  </si>
  <si>
    <t>ID_EndUse</t>
  </si>
  <si>
    <t>ID_TAP</t>
  </si>
  <si>
    <t>Heating Zone</t>
  </si>
  <si>
    <t>Cooling Zone</t>
  </si>
  <si>
    <t>General Attributes 1</t>
  </si>
  <si>
    <t>General Attributes 2</t>
  </si>
  <si>
    <t>Application ID</t>
  </si>
  <si>
    <t>ProCost Full Measure Name</t>
  </si>
  <si>
    <t>End-Use</t>
  </si>
  <si>
    <t>Technology, Activity, or Practice</t>
  </si>
  <si>
    <t>LOOKUP TABLES FOR BPA REPORTING SYSTEM</t>
  </si>
  <si>
    <t>Sector Name</t>
  </si>
  <si>
    <t>End-Use Name</t>
  </si>
  <si>
    <t>Technology/Activity/Practice (TAP)</t>
  </si>
  <si>
    <t>Delivery Mechanism</t>
  </si>
  <si>
    <t>Agricultural</t>
  </si>
  <si>
    <t>HVAC</t>
  </si>
  <si>
    <t>Motors</t>
  </si>
  <si>
    <t>Motors/Drives Control Improvements (non-VFD)</t>
  </si>
  <si>
    <t>Heating Zone All</t>
  </si>
  <si>
    <t>Cooling Zone All</t>
  </si>
  <si>
    <t>per Piece of Equipment</t>
  </si>
  <si>
    <t>Warehouse</t>
  </si>
  <si>
    <t>Existing</t>
  </si>
  <si>
    <t>All delivery channels</t>
  </si>
  <si>
    <t>Measure is a small saver due to limited remaining potential.</t>
  </si>
  <si>
    <t>Compressed Air</t>
  </si>
  <si>
    <t>Capacitors</t>
  </si>
  <si>
    <t>Aerators</t>
  </si>
  <si>
    <t>Heating Zone 1</t>
  </si>
  <si>
    <t>Cooling Zone 1</t>
  </si>
  <si>
    <t>Other</t>
  </si>
  <si>
    <t>&lt; 4 stories</t>
  </si>
  <si>
    <t>Electronics</t>
  </si>
  <si>
    <t>Center Pivot System and Equipment</t>
  </si>
  <si>
    <t>Air Conditioners</t>
  </si>
  <si>
    <t>Heating Zone 2</t>
  </si>
  <si>
    <t>Cooling Zone 2</t>
  </si>
  <si>
    <t>per Apartment/Unit</t>
  </si>
  <si>
    <t>Anchor Retail</t>
  </si>
  <si>
    <t>Existing or New</t>
  </si>
  <si>
    <t>Direct Install</t>
  </si>
  <si>
    <t>Facility Distribution System</t>
  </si>
  <si>
    <t>Compressed Air System Controls</t>
  </si>
  <si>
    <t>Air Sealing</t>
  </si>
  <si>
    <t>Heating Zone 3</t>
  </si>
  <si>
    <t>Cooling Zone 3</t>
  </si>
  <si>
    <t>per CFM50 reduction</t>
  </si>
  <si>
    <t>New</t>
  </si>
  <si>
    <t>Direct Mail</t>
  </si>
  <si>
    <t>Food Preparation</t>
  </si>
  <si>
    <t>Compressed Air System Improvements</t>
  </si>
  <si>
    <t>Air-Source Heat Pumps</t>
  </si>
  <si>
    <t>per Computer Controlled</t>
  </si>
  <si>
    <t>Give-away</t>
  </si>
  <si>
    <t>Computer Technologies</t>
  </si>
  <si>
    <t>Air-Source Heat Pumps w/Duct Sealing</t>
  </si>
  <si>
    <t>Heating Zones 1&amp;2</t>
  </si>
  <si>
    <t>Cooling Zones 1&amp;2</t>
  </si>
  <si>
    <t>per Lineal foot of LED tube controlled</t>
  </si>
  <si>
    <t>Give-away &amp; mail non-request</t>
  </si>
  <si>
    <t>Utility System Efficiency</t>
  </si>
  <si>
    <t>Irrigation</t>
  </si>
  <si>
    <t>Conductors</t>
  </si>
  <si>
    <t>Air-Source Heat Pumps w/o Duct Sealing</t>
  </si>
  <si>
    <t>Heating Zones 2&amp;3</t>
  </si>
  <si>
    <t>Cooling Zones 2&amp;3</t>
  </si>
  <si>
    <t>per Linear Feet of LED</t>
  </si>
  <si>
    <t>Any Commercial Building</t>
  </si>
  <si>
    <t>Mail by-Request</t>
  </si>
  <si>
    <t>Lighting</t>
  </si>
  <si>
    <t>Cooking</t>
  </si>
  <si>
    <t>Auto Closers</t>
  </si>
  <si>
    <t>Mail by-request &amp; mail non-request</t>
  </si>
  <si>
    <t>Motors/Drives</t>
  </si>
  <si>
    <t>Dairy System Improvements</t>
  </si>
  <si>
    <t>Behavioral</t>
  </si>
  <si>
    <t>per Residence</t>
  </si>
  <si>
    <t>Mail by-request &amp; mail non-request &amp; give-away</t>
  </si>
  <si>
    <t>Delamping</t>
  </si>
  <si>
    <t>Bi-Radiant Oven</t>
  </si>
  <si>
    <t>per sq ft of floor area for each 0.1 ach reduction</t>
  </si>
  <si>
    <t>Mail non-Request</t>
  </si>
  <si>
    <t>Process Loads</t>
  </si>
  <si>
    <t>Discharge Fitting Equipment</t>
  </si>
  <si>
    <t>Blower System Improvements</t>
  </si>
  <si>
    <t>per Square feet</t>
  </si>
  <si>
    <t>Any Industrial Building</t>
  </si>
  <si>
    <t>Other distribution method</t>
  </si>
  <si>
    <t>Refrigeration</t>
  </si>
  <si>
    <t>Elevators</t>
  </si>
  <si>
    <t>Building Commissioning Improvements</t>
  </si>
  <si>
    <t>per Square feet of area insulated</t>
  </si>
  <si>
    <t>Over-the-counter</t>
  </si>
  <si>
    <t>Utility Distribution System</t>
  </si>
  <si>
    <t>Entertainment</t>
  </si>
  <si>
    <t>Built Green Home</t>
  </si>
  <si>
    <t>per Square Feet of door area</t>
  </si>
  <si>
    <t>Retail</t>
  </si>
  <si>
    <t>Utility Generation System</t>
  </si>
  <si>
    <t>Envelope</t>
  </si>
  <si>
    <t>Case Lighting</t>
  </si>
  <si>
    <t>per Square feet of window replaced</t>
  </si>
  <si>
    <t>Utility Transmission System</t>
  </si>
  <si>
    <t>Escalators</t>
  </si>
  <si>
    <t>Case Lighting Delamping</t>
  </si>
  <si>
    <t>per Tank</t>
  </si>
  <si>
    <t>Any Residential (SF, MF or Manuf)</t>
  </si>
  <si>
    <t>Water Heating</t>
  </si>
  <si>
    <t>Freezers</t>
  </si>
  <si>
    <t>Cases</t>
  </si>
  <si>
    <t>per Ton</t>
  </si>
  <si>
    <t>Whole Bldg/Meter Level</t>
  </si>
  <si>
    <t>Handmove and Sideroll System and Equipment</t>
  </si>
  <si>
    <t>Center Pivot Conversions</t>
  </si>
  <si>
    <t>Hardware</t>
  </si>
  <si>
    <t>Centrifugal Chiller Improvements</t>
  </si>
  <si>
    <t>Heat Recovery</t>
  </si>
  <si>
    <t>Centrifugal Pump System Improvements</t>
  </si>
  <si>
    <t>Assembly</t>
  </si>
  <si>
    <t>Homes</t>
  </si>
  <si>
    <t>Change in Water Source</t>
  </si>
  <si>
    <t>HVAC System</t>
  </si>
  <si>
    <t>Chiller Improvements</t>
  </si>
  <si>
    <t>HVAC System Controls</t>
  </si>
  <si>
    <t>Clothes Washers</t>
  </si>
  <si>
    <t>HVAC System Improvements</t>
  </si>
  <si>
    <t>Commissioning Controls Sizing</t>
  </si>
  <si>
    <t>Big Box Retail</t>
  </si>
  <si>
    <t>Insulators</t>
  </si>
  <si>
    <t>Compressed Air Control Improvements (non-VFD)</t>
  </si>
  <si>
    <t>Irrigation System Improvements</t>
  </si>
  <si>
    <t>Compressed Air Control Improvements (VFD)</t>
  </si>
  <si>
    <t>Lamps/Ballasts/Fixtures</t>
  </si>
  <si>
    <t>Compressed Air System Compressor Improvements (non-VFD)</t>
  </si>
  <si>
    <t>Lamps/Fixtures</t>
  </si>
  <si>
    <t>Compressed Air System Compressor Improvements (VFD)</t>
  </si>
  <si>
    <t>College or University</t>
  </si>
  <si>
    <t>Lighting Controls</t>
  </si>
  <si>
    <t>Compressed Air System Demand Side Improvements</t>
  </si>
  <si>
    <t>Convenience Store</t>
  </si>
  <si>
    <t>Livestock Tanks</t>
  </si>
  <si>
    <t>Compressed Air System Dryer Improvements</t>
  </si>
  <si>
    <t>Dairy</t>
  </si>
  <si>
    <t>Mainline System and Equipment</t>
  </si>
  <si>
    <t>Compressed Air System Regulation Improvements</t>
  </si>
  <si>
    <t>Compressed Air System Storage Improvements</t>
  </si>
  <si>
    <t>Motors/Drives Controls</t>
  </si>
  <si>
    <t>Compressed Air System Supply Side Improvements</t>
  </si>
  <si>
    <t>Operation</t>
  </si>
  <si>
    <t>Compressors</t>
  </si>
  <si>
    <t>Exterior 24 Hour Operation</t>
  </si>
  <si>
    <t>Condenser Fan System Improvements</t>
  </si>
  <si>
    <t>Packaged Refrigeration</t>
  </si>
  <si>
    <t>Condensers</t>
  </si>
  <si>
    <t>Pipe Insulation</t>
  </si>
  <si>
    <t>Conservation Voltage Reduction (CVR)</t>
  </si>
  <si>
    <t>Food Service</t>
  </si>
  <si>
    <t>Plug Load</t>
  </si>
  <si>
    <t>Control Panels</t>
  </si>
  <si>
    <t>Grocery</t>
  </si>
  <si>
    <t>Pool System Improvements</t>
  </si>
  <si>
    <t>Cooking Equipment</t>
  </si>
  <si>
    <t>Power Factor Improvements</t>
  </si>
  <si>
    <t>Dairy Milking Machine Control Improvements (VFD)</t>
  </si>
  <si>
    <t>Process Loads System Controls</t>
  </si>
  <si>
    <t>Daylighting</t>
  </si>
  <si>
    <t>Process Loads System Improvements</t>
  </si>
  <si>
    <t>De-Energization</t>
  </si>
  <si>
    <t>Health Care</t>
  </si>
  <si>
    <t>Pumps and Fans</t>
  </si>
  <si>
    <t>Defrost Control Improvements</t>
  </si>
  <si>
    <t>Refrigeration System Controls</t>
  </si>
  <si>
    <t>Refrigeration System Improvements</t>
  </si>
  <si>
    <t>Dishwashers</t>
  </si>
  <si>
    <t>Refrigerators</t>
  </si>
  <si>
    <t>Doors</t>
  </si>
  <si>
    <t>High End Retail</t>
  </si>
  <si>
    <t>Signs and Signals</t>
  </si>
  <si>
    <t>Drain Replacement</t>
  </si>
  <si>
    <t>Suction Fittings Equipment</t>
  </si>
  <si>
    <t>Drop Installation for Spray Heads and Pressure Regulators</t>
  </si>
  <si>
    <t>System Efficiency Improvements</t>
  </si>
  <si>
    <t>Drop Tube/Hose Extension</t>
  </si>
  <si>
    <t>Transformers</t>
  </si>
  <si>
    <t>Duct Insulation</t>
  </si>
  <si>
    <t>Hospital</t>
  </si>
  <si>
    <t>Utility Station Service Loads</t>
  </si>
  <si>
    <t>Duct Sealing</t>
  </si>
  <si>
    <t>Voltage Management</t>
  </si>
  <si>
    <t>Ductless Heat Pumps</t>
  </si>
  <si>
    <t>Wastewater System Improvements</t>
  </si>
  <si>
    <t>Economizer System Improvements</t>
  </si>
  <si>
    <t>Water Heaters</t>
  </si>
  <si>
    <t>EcoRated Home</t>
  </si>
  <si>
    <t>Hospitality</t>
  </si>
  <si>
    <t>Water Heating Controls</t>
  </si>
  <si>
    <t>Electric Combination Ovens</t>
  </si>
  <si>
    <t>Water Management</t>
  </si>
  <si>
    <t>Electric Commercial Steam Cookers</t>
  </si>
  <si>
    <t>Water Using Devices</t>
  </si>
  <si>
    <t>Electric Convection Ovens</t>
  </si>
  <si>
    <t>Whole Bldg/Meter Level System Improvements</t>
  </si>
  <si>
    <t>Electric Fryers</t>
  </si>
  <si>
    <t>Industrial Facility</t>
  </si>
  <si>
    <t>Electronically Commutated Motor (ECM)</t>
  </si>
  <si>
    <t>Energy Management Systems/System Controls</t>
  </si>
  <si>
    <t>Energy Star Home</t>
  </si>
  <si>
    <t>Industrial Plant with One Shift</t>
  </si>
  <si>
    <t>Evaporator Coil Fan System Improvements</t>
  </si>
  <si>
    <t>Industrial Plant with Three Shifts</t>
  </si>
  <si>
    <t>Evaporator Fan System Improvements</t>
  </si>
  <si>
    <t>Fan System Improvements</t>
  </si>
  <si>
    <t>Industrial Plant with Two Shifts</t>
  </si>
  <si>
    <t>Fast Acting Doors</t>
  </si>
  <si>
    <t>Fixed and Switched Shunt Capacitor</t>
  </si>
  <si>
    <t>Invalid</t>
  </si>
  <si>
    <t>K-12 School</t>
  </si>
  <si>
    <t>Fixtures</t>
  </si>
  <si>
    <t>Flow Control Nozzles and Diffuser</t>
  </si>
  <si>
    <t>Freeze Resistant Stock Tanks</t>
  </si>
  <si>
    <t>Freezer Decommissioning</t>
  </si>
  <si>
    <t>Large Office</t>
  </si>
  <si>
    <t>Gasket Replacement</t>
  </si>
  <si>
    <t>Goose Necks</t>
  </si>
  <si>
    <t>Ground-source Heat Pump</t>
  </si>
  <si>
    <t>Laundromat</t>
  </si>
  <si>
    <t>Ground-Source Heat Pumps w/ Duct Sealing</t>
  </si>
  <si>
    <t>Lodging</t>
  </si>
  <si>
    <t>Ground-Source Heat Pumps w/o Duct Sealing</t>
  </si>
  <si>
    <t>Heat Pump Water Heaters</t>
  </si>
  <si>
    <t>Heat Recovery Improvements</t>
  </si>
  <si>
    <t>Hot Food Holding Cabinets</t>
  </si>
  <si>
    <t>Manufactured Home</t>
  </si>
  <si>
    <t>Hub Replacement</t>
  </si>
  <si>
    <t>Humidification/Dehumidification Improvements</t>
  </si>
  <si>
    <t>HVAC Control Improvements (non-VFD)</t>
  </si>
  <si>
    <t>HVAC Control Improvements (VFD)</t>
  </si>
  <si>
    <t>Medium Office</t>
  </si>
  <si>
    <t>Ice Makers</t>
  </si>
  <si>
    <t>Impact Sprinkler Heads</t>
  </si>
  <si>
    <t>Insulation</t>
  </si>
  <si>
    <t>MiniMart</t>
  </si>
  <si>
    <t>Interactive Compressed Air System Supply/Demand Improvements</t>
  </si>
  <si>
    <t>Interactive HVAC System Improvements</t>
  </si>
  <si>
    <t>Interactive Mainline System and Equipment Improvements</t>
  </si>
  <si>
    <t>Interactive Process Loads System Improvements</t>
  </si>
  <si>
    <t>Modular Classroom</t>
  </si>
  <si>
    <t>Interactive Refrigeration System Improvements</t>
  </si>
  <si>
    <t>Multifamily</t>
  </si>
  <si>
    <t>Interactive Wastewater System Improvements</t>
  </si>
  <si>
    <t>Interactive Whole Bldg/Meter Level System Improvements</t>
  </si>
  <si>
    <t>Lamps</t>
  </si>
  <si>
    <t>Non building measure</t>
  </si>
  <si>
    <t>Lamps/Ballasts</t>
  </si>
  <si>
    <t>Lamps/Ballasts w/Controls</t>
  </si>
  <si>
    <t>Lamps/Ballasts w/Delamping</t>
  </si>
  <si>
    <t>Lamps/Ballasts w/Delamping and Controls</t>
  </si>
  <si>
    <t>Non building measure (Motors)</t>
  </si>
  <si>
    <t>Lamps/Ballasts/Fixtures w/Controls</t>
  </si>
  <si>
    <t>Lamps/Ballasts/Fixtures w/Delamping</t>
  </si>
  <si>
    <t>Lamps/Ballasts/Fixtures w/Delamping and Controls</t>
  </si>
  <si>
    <t>LED Exit Signs</t>
  </si>
  <si>
    <t>LED Traffic Signals</t>
  </si>
  <si>
    <t>Office</t>
  </si>
  <si>
    <t>Leveler Rebuild</t>
  </si>
  <si>
    <t>Line Repairs</t>
  </si>
  <si>
    <t>Low Angle Heads</t>
  </si>
  <si>
    <t>Office &lt;20,000 sf</t>
  </si>
  <si>
    <t>Low Pressure End guns/Big guns</t>
  </si>
  <si>
    <t>Mainline System Pump Improvements</t>
  </si>
  <si>
    <t>Office &gt;100,000 sf</t>
  </si>
  <si>
    <t>Montana House</t>
  </si>
  <si>
    <t>Office 20,000 to 100,000 sf</t>
  </si>
  <si>
    <t>Motion Sensors</t>
  </si>
  <si>
    <t>Motor Rewind</t>
  </si>
  <si>
    <t>Motors/Drives Control Improvements (VFD)</t>
  </si>
  <si>
    <t>Motors/Drives Installation on Blower System</t>
  </si>
  <si>
    <t>Other Commercial</t>
  </si>
  <si>
    <t>Motors/Drives Installation on Compressed Air System</t>
  </si>
  <si>
    <t>Other Health, Nursing, Medical Clinic</t>
  </si>
  <si>
    <t>Motors/Drives Installation on Fan System</t>
  </si>
  <si>
    <t>OtherHealth</t>
  </si>
  <si>
    <t>Motors/Drives Installation on Pump System</t>
  </si>
  <si>
    <t>Motors/Drives Installation on Vacuum Pumps</t>
  </si>
  <si>
    <t>Multiplex</t>
  </si>
  <si>
    <t>Multi-Trajectory Sprays</t>
  </si>
  <si>
    <t>Potato/Onion Shed</t>
  </si>
  <si>
    <t>NEEA Net Savings</t>
  </si>
  <si>
    <t>NEEM Certified Home</t>
  </si>
  <si>
    <t>Network Computer Power Management</t>
  </si>
  <si>
    <t>Night Covers</t>
  </si>
  <si>
    <t>Restaurant</t>
  </si>
  <si>
    <t>Non-reportable to BPA</t>
  </si>
  <si>
    <t>Nozzle Replacement</t>
  </si>
  <si>
    <t>Occupancy Sensors</t>
  </si>
  <si>
    <t>Operation System Improvements</t>
  </si>
  <si>
    <t>Packaged Refrigeration System Improvements</t>
  </si>
  <si>
    <t>Photocells</t>
  </si>
  <si>
    <t>Retail 5,000 to 50,000 sf</t>
  </si>
  <si>
    <t>Pipe Repair</t>
  </si>
  <si>
    <t>Plate Milk Pre-cooler</t>
  </si>
  <si>
    <t>Retail Anchor Store &gt;50,000 sf Multistory</t>
  </si>
  <si>
    <t>Pneumatic to DDC Control Improvements</t>
  </si>
  <si>
    <t>Retail Big Box &gt;50,000 sf One-Story</t>
  </si>
  <si>
    <t>Pool Blankets</t>
  </si>
  <si>
    <t>Retail Boutique &lt;5,000 sf</t>
  </si>
  <si>
    <t>Power Strips</t>
  </si>
  <si>
    <t>Retail Mini Mart</t>
  </si>
  <si>
    <t>Power Supplies</t>
  </si>
  <si>
    <t>Pre Rinse Spray Valves</t>
  </si>
  <si>
    <t>Retail Supermarket</t>
  </si>
  <si>
    <t>Process Loads Control Improvements (non-VFD)</t>
  </si>
  <si>
    <t>School K-12</t>
  </si>
  <si>
    <t>Process Loads Control Improvements (VFD)</t>
  </si>
  <si>
    <t>Schools</t>
  </si>
  <si>
    <t>Pump System Improvements</t>
  </si>
  <si>
    <t>Pump Testing Service</t>
  </si>
  <si>
    <t>Reciprocating Chiller Improvements</t>
  </si>
  <si>
    <t>Reduce Cavitation</t>
  </si>
  <si>
    <t>Single Family</t>
  </si>
  <si>
    <t>Reduce Delivery System Leakage</t>
  </si>
  <si>
    <t>Reduce Friction Loss</t>
  </si>
  <si>
    <t>Reduce System Friction Head</t>
  </si>
  <si>
    <t>Reduce System Leakage</t>
  </si>
  <si>
    <t>Single Family or MultiFamily</t>
  </si>
  <si>
    <t>Reduce System Lift</t>
  </si>
  <si>
    <t>Refrigeration Control Improvements (non-VFD)</t>
  </si>
  <si>
    <t>Refrigeration Control Improvements (VFD)</t>
  </si>
  <si>
    <t>Refrigerator Decommissioning</t>
  </si>
  <si>
    <t>Small Box Retail</t>
  </si>
  <si>
    <t>Regulator Replacement</t>
  </si>
  <si>
    <t>Rooftop Units</t>
  </si>
  <si>
    <t>Rotary Screw Chiller Improvements</t>
  </si>
  <si>
    <t>Small Office</t>
  </si>
  <si>
    <t>Scientific Irrigation Scheduling</t>
  </si>
  <si>
    <t>Scroll Chiller Improvements</t>
  </si>
  <si>
    <t>Sealing and Commissioning</t>
  </si>
  <si>
    <t>Sealing Commissioning and Controls</t>
  </si>
  <si>
    <t>Small Retail</t>
  </si>
  <si>
    <t>Server Virtualization/Load Reduction</t>
  </si>
  <si>
    <t>Street &amp; Area Lighting (Photo Sensor Controlled)</t>
  </si>
  <si>
    <t>Servers</t>
  </si>
  <si>
    <t>Service Conductor Replacement</t>
  </si>
  <si>
    <t>Service Station System Improvements</t>
  </si>
  <si>
    <t>Supermarket</t>
  </si>
  <si>
    <t>Set Top Boxes</t>
  </si>
  <si>
    <t>Showerheads</t>
  </si>
  <si>
    <t>Small Office Package</t>
  </si>
  <si>
    <t>Spray Heads</t>
  </si>
  <si>
    <t>University</t>
  </si>
  <si>
    <t>Sprinkler Replacements</t>
  </si>
  <si>
    <t>Stall Lighting</t>
  </si>
  <si>
    <t>Storage Tank Insulation Improvements</t>
  </si>
  <si>
    <t>Strip Curtains</t>
  </si>
  <si>
    <t>Suction Line Insulation</t>
  </si>
  <si>
    <t>System Water Delivery Improvements</t>
  </si>
  <si>
    <t>Televisions</t>
  </si>
  <si>
    <t>Thermostats</t>
  </si>
  <si>
    <t>Winery</t>
  </si>
  <si>
    <t>Timers</t>
  </si>
  <si>
    <t>Transformer Load Management</t>
  </si>
  <si>
    <t>Transformers (NEMA TP-1 or Higher)</t>
  </si>
  <si>
    <t>Turbine Pump System Improvements</t>
  </si>
  <si>
    <t>Wood Frame</t>
  </si>
  <si>
    <t>Beta04</t>
  </si>
  <si>
    <t xml:space="preserve">Version:    </t>
  </si>
  <si>
    <t>ProCost 3.0 - Beta04</t>
  </si>
  <si>
    <t>Run Time:</t>
  </si>
  <si>
    <t>Regurgitation of ProData input parameters which were used for this run</t>
  </si>
  <si>
    <t>Run Type:</t>
  </si>
  <si>
    <t>Negative B/C Ratios:</t>
  </si>
  <si>
    <t>False:  (Converts Negative B/C Ratios)</t>
  </si>
  <si>
    <t>Admin Cost / Category Level:</t>
  </si>
  <si>
    <t>True:  Admin Costs added at Category Results</t>
  </si>
  <si>
    <t>Periodic O&amp;M Treatment:</t>
  </si>
  <si>
    <t>True:  (Periodic O&amp;M Repeats over measure life)</t>
  </si>
  <si>
    <t>Total Results</t>
  </si>
  <si>
    <t>Measure Input Data</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</si>
  <si>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</si>
  <si>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</si>
  <si>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</si>
  <si>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</si>
  <si>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</si>
  <si>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</si>
  <si>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</si>
  <si>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</si>
  <si>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</si>
  <si>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</si>
  <si>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</si>
  <si>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</si>
  <si>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</si>
  <si>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</si>
  <si>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</si>
  <si>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Measure Life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</si>
  <si>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</si>
  <si>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</si>
  <si>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</si>
  <si>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</si>
  <si>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</si>
  <si>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</si>
  <si>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</si>
  <si>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</si>
  <si>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</si>
  <si>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</si>
  <si>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</si>
  <si>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</si>
  <si>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</si>
  <si>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</si>
  <si>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</si>
  <si>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</si>
  <si>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</si>
  <si>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</si>
  <si>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</si>
  <si>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</si>
  <si>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</si>
  <si>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</si>
  <si>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</si>
  <si>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</si>
  <si>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</si>
  <si>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</si>
  <si>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</si>
  <si>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</si>
  <si>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</si>
  <si>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</si>
  <si>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</si>
  <si>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</si>
  <si>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</si>
  <si>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</si>
  <si>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</si>
  <si>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</si>
  <si>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</si>
  <si>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</si>
  <si>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</si>
  <si>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</si>
  <si>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</si>
  <si>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</si>
  <si>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</si>
  <si>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</si>
  <si>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</si>
  <si>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</si>
  <si>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</si>
  <si>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</si>
  <si>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</si>
  <si>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</si>
  <si>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</si>
  <si>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</si>
  <si>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</si>
  <si>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</si>
  <si>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</si>
  <si>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</si>
  <si>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</si>
  <si>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</si>
  <si>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</si>
  <si>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TRC Net Levelized Cost (Net of All Benefits) in mills/kWh</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</si>
  <si>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</si>
  <si>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</si>
  <si>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</si>
  <si>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</si>
  <si>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</si>
  <si>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</si>
  <si>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</si>
  <si>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</si>
  <si>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</si>
  <si>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</si>
  <si>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</si>
  <si>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</si>
  <si>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</si>
  <si>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</si>
  <si>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</si>
  <si>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</si>
  <si>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</si>
  <si>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</si>
  <si>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</si>
  <si>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</si>
  <si>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</si>
  <si>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</si>
  <si>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</si>
  <si>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</si>
  <si>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</si>
  <si>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</si>
  <si>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</si>
  <si>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</si>
  <si>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</si>
  <si>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</si>
  <si>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</si>
  <si>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</si>
  <si>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</si>
  <si>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</si>
  <si>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</si>
  <si>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</si>
  <si>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</si>
  <si>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</si>
  <si>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</si>
  <si>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</si>
  <si>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</si>
  <si>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</si>
  <si>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</si>
  <si>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</si>
  <si>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</si>
  <si>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</si>
  <si>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</si>
  <si>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</si>
  <si>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</si>
  <si>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</si>
  <si>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</si>
  <si>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</si>
  <si>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</si>
  <si>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</si>
  <si>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</si>
  <si>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</si>
  <si>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</si>
  <si>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</si>
  <si>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</si>
  <si>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</si>
  <si>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</si>
  <si>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</si>
  <si>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</si>
  <si>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Shaped Savings Results; By Category and sorted by TRC BC ratio</t>
  </si>
  <si>
    <t>Busbar Savings</t>
  </si>
  <si>
    <t>R</t>
  </si>
  <si>
    <t>Treatment Type</t>
  </si>
  <si>
    <t>Sub Category</t>
  </si>
  <si>
    <t>Count</t>
  </si>
  <si>
    <t>Sum Capacity (MGD)</t>
  </si>
  <si>
    <t>Sum Flow (MGD)</t>
  </si>
  <si>
    <t>Avg Flow (MGD)</t>
  </si>
  <si>
    <t>Annual energy use/Volume (mmkWh/MGD flow)</t>
  </si>
  <si>
    <t>Total Wastewater Consumption (MWa)</t>
  </si>
  <si>
    <t>Estimated Savings (million kWh/MGD flow)</t>
  </si>
  <si>
    <t>Estimated Total Savings Potential (aMW)</t>
  </si>
  <si>
    <t>Estimated Average Savings Rate (%)</t>
  </si>
  <si>
    <t>Average Facility use (kWh)</t>
  </si>
  <si>
    <t>Average Facility Savings (kWh)</t>
  </si>
  <si>
    <t>Regional Weighting (flow)</t>
  </si>
  <si>
    <t>Regional Weighting (Energy Use)</t>
  </si>
  <si>
    <t>Regional Weighting (Savings)</t>
  </si>
  <si>
    <t>MGD Flow per Thousand Population</t>
  </si>
  <si>
    <t>Measure Cost ($/kWh)</t>
  </si>
  <si>
    <t>O&amp;M and NEB's ($/kWh)</t>
  </si>
  <si>
    <t>Average Facility Measure Cost</t>
  </si>
  <si>
    <t>Average Facility Annual O&amp;M and NEB's</t>
  </si>
  <si>
    <t>Measure Cost per MGD Flow</t>
  </si>
  <si>
    <t>O&amp;M and NEB per MGD Flow</t>
  </si>
  <si>
    <t>FLOW WT CAP COST ($/MGD Regional Flow)</t>
  </si>
  <si>
    <t>FLOW WT NEB COST ($/MGD REG FLOW)</t>
  </si>
  <si>
    <t>Optimize Municipal Sewage ; &lt;1 MGD Design Capacity</t>
  </si>
  <si>
    <t>&lt;1 MGD</t>
  </si>
  <si>
    <t>Optimize Municipal Sewage ; 1 to 10 MGD Design Capacity</t>
  </si>
  <si>
    <t>1-10 MGD</t>
  </si>
  <si>
    <t>Optimize Municipal Sewage ; &gt;10 MGD Design Capacity</t>
  </si>
  <si>
    <t>&gt;10 MDG</t>
  </si>
  <si>
    <t>Data sources are highlighted in yellow</t>
  </si>
  <si>
    <t>Source: 5th Plan (PC sewage treatment D-1.xls)</t>
  </si>
  <si>
    <t>MGD Capacity per Facility</t>
  </si>
  <si>
    <t>MDG Flow per Facility</t>
  </si>
  <si>
    <t>Installed Cost per Facility</t>
  </si>
  <si>
    <t>Installed Cost per MDG Flow</t>
  </si>
  <si>
    <t>O&amp;M Cost per Facility</t>
  </si>
  <si>
    <t>O&amp;M Cost per MGD Flow</t>
  </si>
  <si>
    <t>NEB Labor per Facility</t>
  </si>
  <si>
    <t>NEB Chemical per MGD Flow</t>
  </si>
  <si>
    <t>NEB Solids per MDG Flow</t>
  </si>
  <si>
    <t>NEB Avoided Capacity per MGD Flow</t>
  </si>
  <si>
    <t>Total NEB Per MGD Flow</t>
  </si>
  <si>
    <t>kWh savings
(average per plant)</t>
  </si>
  <si>
    <t>Measure Cost per kWh</t>
  </si>
  <si>
    <t>O&amp;M and NEB per plant</t>
  </si>
  <si>
    <t>Benefits: O&amp;M cost plus NEB per kWh saved</t>
  </si>
  <si>
    <t>Optimize Municipal Sewage - Activated Sludge &lt;1 MGD</t>
  </si>
  <si>
    <t>Optimize Municipal Sewage - Activated Sludge 1 to 10 MGD</t>
  </si>
  <si>
    <t>Optimize Municipal Sewage - Activated Sludge &gt;10 MGD</t>
  </si>
  <si>
    <t>Optimize Municipal Sewage - Lagoon Extended Aeration</t>
  </si>
  <si>
    <t>Optimize Municipal Sewage - Lagoon Aerated/Mixed</t>
  </si>
  <si>
    <t>Source: BacGen</t>
  </si>
  <si>
    <t>Annual kWh/Volume (mm kWh/MGD)</t>
  </si>
  <si>
    <t>Estimated Total Savings Potential</t>
  </si>
  <si>
    <t>Average Facility use (million kWh)</t>
  </si>
  <si>
    <t>Average Site Savings (million kWh)</t>
  </si>
  <si>
    <t>Site Savings per MGD Flow (kWh/MGD Flow)</t>
  </si>
  <si>
    <t>Regional Weighting</t>
  </si>
  <si>
    <t>Subtotal</t>
  </si>
  <si>
    <t>Extended Aeration</t>
  </si>
  <si>
    <t>Aerated/Mixed</t>
  </si>
  <si>
    <t>Lagoon</t>
  </si>
  <si>
    <t>Revised to reflect larger 1999 Data Set on Capcity and to Separate Sludge by Size for Pricing</t>
  </si>
  <si>
    <t>Number of Facilities # Flow</t>
  </si>
  <si>
    <t>gallons/day/person</t>
  </si>
  <si>
    <t>Design MGD/plant</t>
  </si>
  <si>
    <t>&lt; 1 MGD</t>
  </si>
  <si>
    <t>1 to 10 MGD</t>
  </si>
  <si>
    <t>&gt; 10 MGD</t>
  </si>
  <si>
    <t>Regional Capacity Expansion (Assumptions)</t>
  </si>
  <si>
    <t xml:space="preserve">   New Plants</t>
  </si>
  <si>
    <t>7th Plan EPA 2008 Data below (2012 data are in process)</t>
  </si>
  <si>
    <t xml:space="preserve">   Increased Plant Utilization (up to max)</t>
  </si>
  <si>
    <t>Population (x1000)</t>
  </si>
  <si>
    <t>2008 Data From "EPA Data Set.xls"</t>
  </si>
  <si>
    <t>Year</t>
  </si>
  <si>
    <t>Flow</t>
  </si>
  <si>
    <t>Increase in Flow</t>
  </si>
  <si>
    <t>Capacity</t>
  </si>
  <si>
    <t># Plants</t>
  </si>
  <si>
    <t>Plant Utilization</t>
  </si>
  <si>
    <t>Increase in Flow (MGD)</t>
  </si>
  <si>
    <t>Increase in Capacity (MGD)</t>
  </si>
  <si>
    <t>Increase in # Plants</t>
  </si>
  <si>
    <t>Consumption of new Plants (aMW)</t>
  </si>
  <si>
    <t>Potential Energy Savings in New Facilities (aMW)</t>
  </si>
  <si>
    <t>Source:  ESI Data for NW.  Obtained from BPA in 2014</t>
  </si>
  <si>
    <t>Q:\SeventhPlan\Conservation Analysis\Com\Wastewater\ESI Data for NWPCC_V01.xls</t>
  </si>
  <si>
    <t>Short list of facitlities for which plant size data were available</t>
  </si>
  <si>
    <t>Plant Size (kWh/yr)</t>
  </si>
  <si>
    <t>cost</t>
  </si>
  <si>
    <t>savings</t>
  </si>
  <si>
    <t>$/kWh</t>
  </si>
  <si>
    <t>y = -7E-08x + 1.5904</t>
  </si>
  <si>
    <t>First Year Cost Per kWh from ESI data set (136 facilities)</t>
  </si>
  <si>
    <t>Source: Matthew Yonkin, et al "Importance of Energy Efficiency to the Water and Wastewater Sector. 2008</t>
  </si>
  <si>
    <r>
      <t xml:space="preserve"> </t>
    </r>
    <r>
      <rPr>
        <b/>
        <sz val="8"/>
        <color indexed="63"/>
        <rFont val="Calibri"/>
        <family val="2"/>
      </rPr>
      <t>UNIT ENERGY USE</t>
    </r>
    <r>
      <rPr>
        <sz val="11"/>
        <rFont val="Calibri"/>
        <family val="2"/>
      </rPr>
      <t xml:space="preserve"> </t>
    </r>
  </si>
  <si>
    <r>
      <t xml:space="preserve"> </t>
    </r>
    <r>
      <rPr>
        <b/>
        <sz val="8"/>
        <color indexed="63"/>
        <rFont val="Calibri"/>
        <family val="2"/>
      </rPr>
      <t>Size Category</t>
    </r>
    <r>
      <rPr>
        <sz val="11"/>
        <rFont val="Calibri"/>
        <family val="2"/>
      </rPr>
      <t xml:space="preserve"> (New York State)</t>
    </r>
  </si>
  <si>
    <r>
      <t xml:space="preserve"> </t>
    </r>
    <r>
      <rPr>
        <b/>
        <sz val="8"/>
        <color indexed="63"/>
        <rFont val="Calibri"/>
        <family val="2"/>
      </rPr>
      <t>% of Sector Wide Treatment Capacity</t>
    </r>
    <r>
      <rPr>
        <sz val="11"/>
        <rFont val="Calibri"/>
        <family val="2"/>
      </rPr>
      <t xml:space="preserve"> </t>
    </r>
  </si>
  <si>
    <r>
      <t xml:space="preserve"> </t>
    </r>
    <r>
      <rPr>
        <b/>
        <sz val="8"/>
        <color indexed="63"/>
        <rFont val="Calibri"/>
        <family val="2"/>
      </rPr>
      <t>% of Sector Wide Energy Use</t>
    </r>
    <r>
      <rPr>
        <b/>
        <sz val="4"/>
        <color indexed="63"/>
        <rFont val="Calibri"/>
        <family val="2"/>
      </rPr>
      <t>1</t>
    </r>
    <r>
      <rPr>
        <sz val="11"/>
        <rFont val="Calibri"/>
        <family val="2"/>
      </rPr>
      <t xml:space="preserve"> </t>
    </r>
  </si>
  <si>
    <r>
      <t xml:space="preserve"> </t>
    </r>
    <r>
      <rPr>
        <b/>
        <sz val="8"/>
        <color indexed="63"/>
        <rFont val="Calibri"/>
        <family val="2"/>
      </rPr>
      <t>kWh/MG</t>
    </r>
    <r>
      <rPr>
        <b/>
        <sz val="4"/>
        <color indexed="63"/>
        <rFont val="Calibri"/>
        <family val="2"/>
      </rPr>
      <t>1</t>
    </r>
    <r>
      <rPr>
        <sz val="11"/>
        <rFont val="Calibri"/>
        <family val="2"/>
      </rPr>
      <t xml:space="preserve"> </t>
    </r>
  </si>
  <si>
    <r>
      <t xml:space="preserve"> </t>
    </r>
    <r>
      <rPr>
        <b/>
        <sz val="8"/>
        <color indexed="63"/>
        <rFont val="Calibri"/>
        <family val="2"/>
      </rPr>
      <t>kWh/lb BOD Removed</t>
    </r>
    <r>
      <rPr>
        <b/>
        <sz val="4"/>
        <color indexed="63"/>
        <rFont val="Calibri"/>
        <family val="2"/>
      </rPr>
      <t>2</t>
    </r>
    <r>
      <rPr>
        <sz val="11"/>
        <rFont val="Calibri"/>
        <family val="2"/>
      </rPr>
      <t xml:space="preserve"> </t>
    </r>
  </si>
  <si>
    <t>mm kWh/MGD</t>
  </si>
  <si>
    <r>
      <t xml:space="preserve"> </t>
    </r>
    <r>
      <rPr>
        <sz val="9"/>
        <color indexed="63"/>
        <rFont val="Calibri"/>
        <family val="2"/>
      </rPr>
      <t>Less than 1MGD</t>
    </r>
    <r>
      <rPr>
        <sz val="11"/>
        <rFont val="Calibri"/>
        <family val="2"/>
      </rPr>
      <t xml:space="preserve"> </t>
    </r>
  </si>
  <si>
    <r>
      <t xml:space="preserve"> </t>
    </r>
    <r>
      <rPr>
        <sz val="9"/>
        <color indexed="63"/>
        <rFont val="Calibri"/>
        <family val="2"/>
      </rPr>
      <t>3.8</t>
    </r>
    <r>
      <rPr>
        <sz val="11"/>
        <rFont val="Calibri"/>
        <family val="2"/>
      </rPr>
      <t xml:space="preserve"> </t>
    </r>
  </si>
  <si>
    <r>
      <t xml:space="preserve"> </t>
    </r>
    <r>
      <rPr>
        <sz val="9"/>
        <color indexed="63"/>
        <rFont val="Calibri"/>
        <family val="2"/>
      </rPr>
      <t>11.0</t>
    </r>
    <r>
      <rPr>
        <sz val="11"/>
        <rFont val="Calibri"/>
        <family val="2"/>
      </rPr>
      <t xml:space="preserve"> </t>
    </r>
  </si>
  <si>
    <r>
      <t xml:space="preserve"> </t>
    </r>
    <r>
      <rPr>
        <sz val="9"/>
        <color indexed="63"/>
        <rFont val="Calibri"/>
        <family val="2"/>
      </rPr>
      <t>4,620</t>
    </r>
    <r>
      <rPr>
        <sz val="11"/>
        <rFont val="Calibri"/>
        <family val="2"/>
      </rPr>
      <t xml:space="preserve"> </t>
    </r>
  </si>
  <si>
    <r>
      <t xml:space="preserve"> </t>
    </r>
    <r>
      <rPr>
        <sz val="9"/>
        <color indexed="63"/>
        <rFont val="Calibri"/>
        <family val="2"/>
      </rPr>
      <t>1 to 5 MGD</t>
    </r>
    <r>
      <rPr>
        <sz val="11"/>
        <rFont val="Calibri"/>
        <family val="2"/>
      </rPr>
      <t xml:space="preserve"> </t>
    </r>
  </si>
  <si>
    <r>
      <t xml:space="preserve"> </t>
    </r>
    <r>
      <rPr>
        <sz val="9"/>
        <color indexed="63"/>
        <rFont val="Calibri"/>
        <family val="2"/>
      </rPr>
      <t>7.5</t>
    </r>
    <r>
      <rPr>
        <sz val="11"/>
        <rFont val="Calibri"/>
        <family val="2"/>
      </rPr>
      <t xml:space="preserve"> </t>
    </r>
  </si>
  <si>
    <r>
      <t xml:space="preserve"> </t>
    </r>
    <r>
      <rPr>
        <sz val="9"/>
        <color indexed="63"/>
        <rFont val="Calibri"/>
        <family val="2"/>
      </rPr>
      <t>11.1</t>
    </r>
    <r>
      <rPr>
        <sz val="11"/>
        <rFont val="Calibri"/>
        <family val="2"/>
      </rPr>
      <t/>
    </r>
  </si>
  <si>
    <r>
      <t xml:space="preserve"> </t>
    </r>
    <r>
      <rPr>
        <sz val="9"/>
        <color indexed="63"/>
        <rFont val="Calibri"/>
        <family val="2"/>
      </rPr>
      <t>1,580</t>
    </r>
    <r>
      <rPr>
        <sz val="11"/>
        <rFont val="Calibri"/>
        <family val="2"/>
      </rPr>
      <t xml:space="preserve"> </t>
    </r>
  </si>
  <si>
    <r>
      <t xml:space="preserve"> </t>
    </r>
    <r>
      <rPr>
        <sz val="9"/>
        <color indexed="63"/>
        <rFont val="Calibri"/>
        <family val="2"/>
      </rPr>
      <t>1.6</t>
    </r>
    <r>
      <rPr>
        <sz val="11"/>
        <rFont val="Calibri"/>
        <family val="2"/>
      </rPr>
      <t xml:space="preserve"> </t>
    </r>
  </si>
  <si>
    <r>
      <t xml:space="preserve"> </t>
    </r>
    <r>
      <rPr>
        <sz val="9"/>
        <color indexed="63"/>
        <rFont val="Calibri"/>
        <family val="2"/>
      </rPr>
      <t>5 to 20 MGD</t>
    </r>
    <r>
      <rPr>
        <sz val="11"/>
        <rFont val="Calibri"/>
        <family val="2"/>
      </rPr>
      <t xml:space="preserve"> </t>
    </r>
  </si>
  <si>
    <r>
      <t xml:space="preserve"> </t>
    </r>
    <r>
      <rPr>
        <sz val="9"/>
        <color indexed="63"/>
        <rFont val="Calibri"/>
        <family val="2"/>
      </rPr>
      <t>13.1</t>
    </r>
    <r>
      <rPr>
        <sz val="11"/>
        <rFont val="Calibri"/>
        <family val="2"/>
      </rPr>
      <t xml:space="preserve"> </t>
    </r>
  </si>
  <si>
    <r>
      <t xml:space="preserve"> </t>
    </r>
    <r>
      <rPr>
        <sz val="9"/>
        <color indexed="63"/>
        <rFont val="Calibri"/>
        <family val="2"/>
      </rPr>
      <t>11.2</t>
    </r>
    <r>
      <rPr>
        <sz val="11"/>
        <rFont val="Calibri"/>
        <family val="2"/>
      </rPr>
      <t/>
    </r>
  </si>
  <si>
    <r>
      <t xml:space="preserve"> </t>
    </r>
    <r>
      <rPr>
        <sz val="9"/>
        <color indexed="63"/>
        <rFont val="Calibri"/>
        <family val="2"/>
      </rPr>
      <t>1,740</t>
    </r>
    <r>
      <rPr>
        <sz val="11"/>
        <rFont val="Calibri"/>
        <family val="2"/>
      </rPr>
      <t xml:space="preserve"> </t>
    </r>
  </si>
  <si>
    <r>
      <t xml:space="preserve"> </t>
    </r>
    <r>
      <rPr>
        <sz val="9"/>
        <color indexed="63"/>
        <rFont val="Calibri"/>
        <family val="2"/>
      </rPr>
      <t>20 to 75 MGD</t>
    </r>
    <r>
      <rPr>
        <sz val="11"/>
        <rFont val="Calibri"/>
        <family val="2"/>
      </rPr>
      <t xml:space="preserve"> </t>
    </r>
  </si>
  <si>
    <r>
      <t xml:space="preserve"> </t>
    </r>
    <r>
      <rPr>
        <sz val="9"/>
        <color indexed="63"/>
        <rFont val="Calibri"/>
        <family val="2"/>
      </rPr>
      <t>23.8</t>
    </r>
    <r>
      <rPr>
        <sz val="11"/>
        <rFont val="Calibri"/>
        <family val="2"/>
      </rPr>
      <t xml:space="preserve"> </t>
    </r>
  </si>
  <si>
    <r>
      <t xml:space="preserve"> </t>
    </r>
    <r>
      <rPr>
        <sz val="9"/>
        <color indexed="63"/>
        <rFont val="Calibri"/>
        <family val="2"/>
      </rPr>
      <t>11.3</t>
    </r>
    <r>
      <rPr>
        <sz val="11"/>
        <rFont val="Calibri"/>
        <family val="2"/>
      </rPr>
      <t/>
    </r>
  </si>
  <si>
    <r>
      <t xml:space="preserve"> </t>
    </r>
    <r>
      <rPr>
        <sz val="9"/>
        <color indexed="63"/>
        <rFont val="Calibri"/>
        <family val="2"/>
      </rPr>
      <t>1,700</t>
    </r>
    <r>
      <rPr>
        <sz val="11"/>
        <rFont val="Calibri"/>
        <family val="2"/>
      </rPr>
      <t xml:space="preserve"> </t>
    </r>
  </si>
  <si>
    <r>
      <t xml:space="preserve"> </t>
    </r>
    <r>
      <rPr>
        <sz val="9"/>
        <color indexed="63"/>
        <rFont val="Calibri"/>
        <family val="2"/>
      </rPr>
      <t>1.2</t>
    </r>
    <r>
      <rPr>
        <sz val="11"/>
        <rFont val="Calibri"/>
        <family val="2"/>
      </rPr>
      <t xml:space="preserve"> </t>
    </r>
  </si>
  <si>
    <r>
      <t xml:space="preserve"> </t>
    </r>
    <r>
      <rPr>
        <sz val="9"/>
        <color indexed="63"/>
        <rFont val="Calibri"/>
        <family val="2"/>
      </rPr>
      <t>Greater than 75 MGD</t>
    </r>
    <r>
      <rPr>
        <sz val="11"/>
        <rFont val="Calibri"/>
        <family val="2"/>
      </rPr>
      <t xml:space="preserve"> </t>
    </r>
  </si>
  <si>
    <r>
      <t xml:space="preserve"> </t>
    </r>
    <r>
      <rPr>
        <sz val="9"/>
        <color indexed="63"/>
        <rFont val="Calibri"/>
        <family val="2"/>
      </rPr>
      <t>51.8</t>
    </r>
    <r>
      <rPr>
        <sz val="11"/>
        <rFont val="Calibri"/>
        <family val="2"/>
      </rPr>
      <t xml:space="preserve"> </t>
    </r>
  </si>
  <si>
    <r>
      <t xml:space="preserve"> </t>
    </r>
    <r>
      <rPr>
        <sz val="9"/>
        <color indexed="63"/>
        <rFont val="Calibri"/>
        <family val="2"/>
      </rPr>
      <t>11.4</t>
    </r>
    <r>
      <rPr>
        <sz val="11"/>
        <rFont val="Calibri"/>
        <family val="2"/>
      </rPr>
      <t/>
    </r>
  </si>
  <si>
    <r>
      <t xml:space="preserve"> </t>
    </r>
    <r>
      <rPr>
        <sz val="9"/>
        <color indexed="63"/>
        <rFont val="Calibri"/>
        <family val="2"/>
      </rPr>
      <t>1,100</t>
    </r>
    <r>
      <rPr>
        <sz val="11"/>
        <rFont val="Calibri"/>
        <family val="2"/>
      </rPr>
      <t xml:space="preserve"> </t>
    </r>
  </si>
  <si>
    <r>
      <t xml:space="preserve"> </t>
    </r>
    <r>
      <rPr>
        <sz val="9"/>
        <color indexed="63"/>
        <rFont val="Calibri"/>
        <family val="2"/>
      </rPr>
      <t>2.0</t>
    </r>
    <r>
      <rPr>
        <sz val="11"/>
        <rFont val="Calibri"/>
        <family val="2"/>
      </rPr>
      <t xml:space="preserve"> </t>
    </r>
  </si>
  <si>
    <r>
      <t xml:space="preserve"> </t>
    </r>
    <r>
      <rPr>
        <sz val="4.5"/>
        <color indexed="63"/>
        <rFont val="Calibri"/>
        <family val="2"/>
      </rPr>
      <t>1</t>
    </r>
    <r>
      <rPr>
        <sz val="8"/>
        <color indexed="63"/>
        <rFont val="Calibri"/>
        <family val="2"/>
      </rPr>
      <t>kWh/MG=kilowatt-hourspermilliongallons.Valuesshownincludecollectionsystemusage.</t>
    </r>
    <r>
      <rPr>
        <sz val="4.5"/>
        <color indexed="63"/>
        <rFont val="Calibri"/>
        <family val="2"/>
      </rPr>
      <t>2</t>
    </r>
    <r>
      <rPr>
        <sz val="8"/>
        <color indexed="63"/>
        <rFont val="Calibri"/>
        <family val="2"/>
      </rPr>
      <t>ValuesshownincludeonlyelectricityuseattheWWTP.</t>
    </r>
    <r>
      <rPr>
        <sz val="11"/>
        <rFont val="Calibri"/>
        <family val="2"/>
      </rPr>
      <t xml:space="preserve"> </t>
    </r>
  </si>
  <si>
    <t>Source</t>
  </si>
  <si>
    <t>In PNW?</t>
  </si>
  <si>
    <t>Plant Name</t>
  </si>
  <si>
    <t>Type</t>
  </si>
  <si>
    <t>Plant Design Size (MGD)</t>
  </si>
  <si>
    <t>Annual Plant Flow (MG/year)</t>
  </si>
  <si>
    <t>Plant Flow (MGD)</t>
  </si>
  <si>
    <t>Secondary Treatment (kWh/1000 gal)</t>
  </si>
  <si>
    <t>(total) Energy Use (kWh/year)</t>
  </si>
  <si>
    <t>million kWh/MGD</t>
  </si>
  <si>
    <t>kWh/1000 gal</t>
  </si>
  <si>
    <t>Onsite Generation kWh/year</t>
  </si>
  <si>
    <t>Onsite generation?  If yes, description</t>
  </si>
  <si>
    <t>Plant Utilization (Flow/Design)</t>
  </si>
  <si>
    <t>Other Notes</t>
  </si>
  <si>
    <t>Potential Energy Savings (kWh)</t>
  </si>
  <si>
    <t>PSE bills - Laura Finestein</t>
  </si>
  <si>
    <t>King County South Plant</t>
  </si>
  <si>
    <t>Activated Sludge?</t>
  </si>
  <si>
    <t>Yes, fuel cell and generator</t>
  </si>
  <si>
    <t>PG&amp;E Benchmarking Study (Table 4)</t>
  </si>
  <si>
    <t>A</t>
  </si>
  <si>
    <t>Activated Sludge - RBC</t>
  </si>
  <si>
    <t>B</t>
  </si>
  <si>
    <t>Activated Sludge - Biotower/AAS</t>
  </si>
  <si>
    <t>Activated Sludge - AAS</t>
  </si>
  <si>
    <t>Activated Sludge - AAS-N/D</t>
  </si>
  <si>
    <t>H</t>
  </si>
  <si>
    <t>Activated Sludge - HPO</t>
  </si>
  <si>
    <t>J</t>
  </si>
  <si>
    <t>Bob Sprick (CY 2007)</t>
  </si>
  <si>
    <t>Eugene Wastewater</t>
  </si>
  <si>
    <t>49 dry, 75 wet, peak capacity of 175</t>
  </si>
  <si>
    <t>yes, large methane generators</t>
  </si>
  <si>
    <t>Dave Remillard (503.823.2460) (he'll call back)</t>
  </si>
  <si>
    <t>Columbia Blvd WWTP</t>
  </si>
  <si>
    <t>Activated Sludge</t>
  </si>
  <si>
    <t>yes, recent generators (850 kW x 2), and older microturbines (120 kW)</t>
  </si>
  <si>
    <t>Tim Pelton (sent email)</t>
  </si>
  <si>
    <t>City of Spokane WWTP</t>
  </si>
  <si>
    <t>Activated sludge (fine bubble)</t>
  </si>
  <si>
    <t>no</t>
  </si>
  <si>
    <t xml:space="preserve">Susan Stanley (superindentent) </t>
  </si>
  <si>
    <t>City of Billings</t>
  </si>
  <si>
    <t>yes, 440kW generator, running at ~200 kW per hour, 90%</t>
  </si>
  <si>
    <t>Dan Hanthorn (541)754-1757 (and website)</t>
  </si>
  <si>
    <t>City of Corvallis</t>
  </si>
  <si>
    <t>Trickling filters</t>
  </si>
  <si>
    <t>host site for sterling generator, doesn't know how much power was generated (55kW early in year for a few months, 43kW for last few months - very spotty)</t>
  </si>
  <si>
    <t xml:space="preserve"> 803-482-3737 or 803-482-2055</t>
  </si>
  <si>
    <t>Great Falls</t>
  </si>
  <si>
    <t>no clue, served by Duke power</t>
  </si>
  <si>
    <t>Mike Price (509) 575-6077 x2684 (left message)</t>
  </si>
  <si>
    <t>Yakima</t>
  </si>
  <si>
    <t>Walt Hawkins 503-588-6380 x4481 (left message - now phone tag)</t>
  </si>
  <si>
    <t>Salem (willow road)</t>
  </si>
  <si>
    <t>35 (max 105 for wet weather), in process of expansion</t>
  </si>
  <si>
    <t>yes, 600 kW on methane gas (average 91% - 94% uptime)</t>
  </si>
  <si>
    <t>summertime have a lot of cannery waste (fluctuates), which takes a lot of power, also, wet weather makes things fluctuate.</t>
  </si>
  <si>
    <t>John McLellan 425-257-8800 (left message)</t>
  </si>
  <si>
    <t>City of Everett</t>
  </si>
  <si>
    <t>Dan Grinay 206-263-3227 and http://dnr.metrokc.gov/wtd/wtdfacts.htm#2, and Nancy Robbins 206.263.3802 for annual elect consumption</t>
  </si>
  <si>
    <t>King County West Point</t>
  </si>
  <si>
    <t>Generators have been removed (used to be, 0.8 million kWh/year), but starting a new cogen program</t>
  </si>
  <si>
    <t>ACWA Energy Indpendence Report</t>
  </si>
  <si>
    <t>City of Gresham</t>
  </si>
  <si>
    <t>Source: NYSERDA Submetering Program Summary Report Final Report. Stearns &amp; Wheler, LLC. 2006.</t>
  </si>
  <si>
    <t>non-capital projects (high savings/cost ratio)</t>
  </si>
  <si>
    <t>WWTP Name/Location</t>
  </si>
  <si>
    <t>Design MGD</t>
  </si>
  <si>
    <t>Annual MG</t>
  </si>
  <si>
    <t>Elect Use (kWh)</t>
  </si>
  <si>
    <t>Annual MGD</t>
  </si>
  <si>
    <t>Avg mm kWh/MGD</t>
  </si>
  <si>
    <t>Measure Cost</t>
  </si>
  <si>
    <t>Study Cost</t>
  </si>
  <si>
    <t>Metering Cost</t>
  </si>
  <si>
    <t>kWh Savings</t>
  </si>
  <si>
    <t>O&amp;M Savings</t>
  </si>
  <si>
    <t>mm kWh/MGD w/Efficiency</t>
  </si>
  <si>
    <t>Avg mm kWh/MGD w/Efficiency</t>
  </si>
  <si>
    <t>% Savings</t>
  </si>
  <si>
    <t>Measure Cost per kWh savings</t>
  </si>
  <si>
    <t>Average Measure Cost per kWh</t>
  </si>
  <si>
    <t>Average O&amp;M Savings per kWh</t>
  </si>
  <si>
    <t>project cost</t>
  </si>
  <si>
    <t>O&amp;M</t>
  </si>
  <si>
    <t>$/kWh saved</t>
  </si>
  <si>
    <t>Marcellus</t>
  </si>
  <si>
    <t>Clayton</t>
  </si>
  <si>
    <t>Heuvelton</t>
  </si>
  <si>
    <t>With Grand Island</t>
  </si>
  <si>
    <t>South &amp; Center</t>
  </si>
  <si>
    <t>Average Measure Cost per kWh:</t>
  </si>
  <si>
    <t>per kWh</t>
  </si>
  <si>
    <t>Grand Island</t>
  </si>
  <si>
    <t>Average Administrative Cost %:</t>
  </si>
  <si>
    <t>Potsdam</t>
  </si>
  <si>
    <t>Average Annual O&amp;M Savings per kWh:</t>
  </si>
  <si>
    <t>Bethlehem</t>
  </si>
  <si>
    <t>Erie County</t>
  </si>
  <si>
    <t>Without Grand Island</t>
  </si>
  <si>
    <t>Orangetown</t>
  </si>
  <si>
    <t>Saratoga</t>
  </si>
  <si>
    <t>Onondaga</t>
  </si>
  <si>
    <t>Omitting Grand Island:</t>
  </si>
  <si>
    <t>GDP Inflator from SIW v2.0</t>
  </si>
  <si>
    <t>Source: AwwaRF Report "Energy Index Development for Benchmarking Water and Wastewater Utilities". 2007</t>
  </si>
  <si>
    <t>Number</t>
  </si>
  <si>
    <t>Total Flow</t>
  </si>
  <si>
    <t>Total Wastewater Utilities Nationwide</t>
  </si>
  <si>
    <t xml:space="preserve">  Wastewater  Utilities with &gt; 1 MGD average flow</t>
  </si>
  <si>
    <t xml:space="preserve">  Wastewater Utilities with &gt; 2 MGD average flow</t>
  </si>
  <si>
    <t>Water Utilities Nationwide</t>
  </si>
  <si>
    <t>ACHIEVED &amp; COST</t>
  </si>
  <si>
    <t>Source: ETO Production Efficiency Study 2006</t>
  </si>
  <si>
    <t># Projects</t>
  </si>
  <si>
    <t>kWh/project</t>
  </si>
  <si>
    <t>Wastewater Projects combined</t>
  </si>
  <si>
    <t>Source: Ted Light, ETO, Sept 2008 (could not give plant size information)</t>
  </si>
  <si>
    <t>Total Projects</t>
  </si>
  <si>
    <t>Projects with Savings</t>
  </si>
  <si>
    <t>Total Savings (before adjustment)</t>
  </si>
  <si>
    <t>kWh</t>
  </si>
  <si>
    <t>Lowest Savings for a Project</t>
  </si>
  <si>
    <t>Average Savings</t>
  </si>
  <si>
    <t>Highest Savings for a Project</t>
  </si>
  <si>
    <t>Total Savings (after adjustments)</t>
  </si>
  <si>
    <t>aMW</t>
  </si>
  <si>
    <t>Average Savings (adjusted)</t>
  </si>
  <si>
    <t>Minimum Cost</t>
  </si>
  <si>
    <t>Average Cost</t>
  </si>
  <si>
    <t>Max Cost</t>
  </si>
  <si>
    <t>Sum of Costs</t>
  </si>
  <si>
    <t>COST</t>
  </si>
  <si>
    <t>Source:  ETO case study - Astoria wastewater plant</t>
  </si>
  <si>
    <t>Savings (kWh/year)</t>
  </si>
  <si>
    <t>Installed cost</t>
  </si>
  <si>
    <t>Cost/kWh</t>
  </si>
  <si>
    <t>Measure: upgrade compressed air aeration system</t>
  </si>
  <si>
    <t xml:space="preserve">Source: LONG TERM MONITORING AND TRACKING REPORT ON 2006 ACTIVITIES: BACGEN (2007, Summit Blue)
</t>
  </si>
  <si>
    <t>Table 2‑2. BacGen Wastewater Optimization Projects in the Northwest by Facility Size[1]</t>
  </si>
  <si>
    <t>Number of Projects</t>
  </si>
  <si>
    <t>Total Design Capacity (MGD)</t>
  </si>
  <si>
    <t>Annual Energy Savings (kWh/yr)</t>
  </si>
  <si>
    <t>Per-Unit Savings (kWh/MGD/yr)</t>
  </si>
  <si>
    <t>Average Capacity (MGD)</t>
  </si>
  <si>
    <t>Average savings/plant</t>
  </si>
  <si>
    <t>Small (&lt;1 MGD)</t>
  </si>
  <si>
    <t>Medium (1-20 MGD)</t>
  </si>
  <si>
    <t>Large (&gt;20 MGD)</t>
  </si>
  <si>
    <t>[1] The definition for small, medium, and large wastewater treatment plants comes from the water and wastewater market research report [10].</t>
  </si>
  <si>
    <t>Table 2‑3. BacGen Wastewater Optimization Projects in the Northwest by Treatment Type for Facilities in BacGen’s Target Market (0.1-20 MGD)</t>
  </si>
  <si>
    <t>Average Design Capacity (MGD)</t>
  </si>
  <si>
    <t>Aerated Lagoon</t>
  </si>
  <si>
    <t>Biosolids</t>
  </si>
  <si>
    <t>Total*</t>
  </si>
  <si>
    <t>32*</t>
  </si>
  <si>
    <t>2.33*</t>
  </si>
  <si>
    <t>278,650*</t>
  </si>
  <si>
    <t>Table 2‑4. BacGen Wastewater Optimization Projects in the Northwest by State for Facilities in BacGen’s Target Market (0.1-20 MGD)</t>
  </si>
  <si>
    <t>Idaho</t>
  </si>
  <si>
    <t>Montana</t>
  </si>
  <si>
    <t>Oregon</t>
  </si>
  <si>
    <t>Washington</t>
  </si>
  <si>
    <t>Table 2‑5. Other BacGen Projects in the Northwest</t>
  </si>
  <si>
    <t>FW Process Optimization</t>
  </si>
  <si>
    <t>WW Design Consulting</t>
  </si>
  <si>
    <t>FW Design Consulting</t>
  </si>
  <si>
    <t>Table 2‑1. BacGen Wastewater Optimization Projects in the Northwest by Year</t>
  </si>
  <si>
    <t>Average Capacity</t>
  </si>
  <si>
    <t>log savings</t>
  </si>
  <si>
    <t>log capacity</t>
  </si>
  <si>
    <t>Pre-2000</t>
  </si>
  <si>
    <t>savingsYear</t>
  </si>
  <si>
    <t>EndUse</t>
  </si>
  <si>
    <t>MeasureCategory</t>
  </si>
  <si>
    <t>MeasureIndex</t>
  </si>
  <si>
    <t>savingsType</t>
  </si>
  <si>
    <t>AchievedKWhBusbar</t>
  </si>
  <si>
    <t>AchievedaMWBusbar</t>
  </si>
  <si>
    <t>ForecastkWhBusbar</t>
  </si>
  <si>
    <t>ForecastaMWBusbar</t>
  </si>
  <si>
    <t>Water_Wastewater</t>
  </si>
  <si>
    <t>Water Treatment</t>
  </si>
  <si>
    <t>Municipal Sewage Treatment-Retro</t>
  </si>
  <si>
    <t>retrofit</t>
  </si>
  <si>
    <t>Municipal Water Supply-Retro</t>
  </si>
  <si>
    <t>unknown</t>
  </si>
  <si>
    <t>lost opportunity</t>
  </si>
  <si>
    <t>Achievement (aMW)</t>
  </si>
  <si>
    <t>Average</t>
  </si>
  <si>
    <t>Item</t>
  </si>
  <si>
    <t>Methods &amp; Sources</t>
  </si>
  <si>
    <t>Note</t>
  </si>
  <si>
    <t>Measures Described</t>
  </si>
  <si>
    <t>Energy Savings Calculation Basis</t>
  </si>
  <si>
    <t>Source of Savings Estimates</t>
  </si>
  <si>
    <t>Applicable Stock</t>
  </si>
  <si>
    <t>Baseline Saturation</t>
  </si>
  <si>
    <t>Permutations</t>
  </si>
  <si>
    <t>Costs</t>
  </si>
  <si>
    <t>Non-Energy Benefits</t>
  </si>
  <si>
    <t>O&amp;M Savings from NYSERDA study</t>
  </si>
  <si>
    <t>Updated the costs for 2012$</t>
  </si>
  <si>
    <t>Savings Shape</t>
  </si>
  <si>
    <t>Achievable Ramp Rate</t>
  </si>
  <si>
    <t>Description</t>
  </si>
  <si>
    <t>Notes</t>
  </si>
  <si>
    <t xml:space="preserve">Date Done </t>
  </si>
  <si>
    <t>Result</t>
  </si>
  <si>
    <t>Review 6P workbooks</t>
  </si>
  <si>
    <t>Get BPA Achievments data</t>
  </si>
  <si>
    <t>From 6 going on 7 project</t>
  </si>
  <si>
    <t>2 aMW per year; tracks well with Sixth Plan Targets</t>
  </si>
  <si>
    <t>Get ETO Achievments data</t>
  </si>
  <si>
    <t>Sent request to Ted Light</t>
  </si>
  <si>
    <t>Check with NEEA</t>
  </si>
  <si>
    <t>Update Population forecasts</t>
  </si>
  <si>
    <t>Linked to units file</t>
  </si>
  <si>
    <t>Update Number of Plants from EPA report (2008 version)</t>
  </si>
  <si>
    <t>Update costs if possible.</t>
  </si>
  <si>
    <t>Units Methodology</t>
  </si>
  <si>
    <t>Methodology:  Use MDG flow as the driver.  Savings and costs for the three plant sizes are weighted per share of MGD flow.  Assume measure applies to retrofit and new plant equally.</t>
  </si>
  <si>
    <t>UNITS FOR EXISTING STOCK</t>
  </si>
  <si>
    <t>Total Regional Flow (MGD Flow)</t>
  </si>
  <si>
    <t>APPLY MEASURE APPLICABILITY, TURNOVER RATE AND ACHIEVABLE PENETRATION RATE FOR MAX ANNUAL RATE</t>
  </si>
  <si>
    <t>Acheivabile =&gt;</t>
  </si>
  <si>
    <t>Measure Applicability Factor</t>
  </si>
  <si>
    <t>In MGD Flow</t>
  </si>
  <si>
    <t>Non-Building Stock</t>
  </si>
  <si>
    <t>SUPPLY CURVE SAVINGS BY BUNDLE</t>
  </si>
  <si>
    <t>SC_Retro</t>
  </si>
  <si>
    <t>Share of Savings by Category (%)</t>
  </si>
  <si>
    <t>Achievments by Category (aMW)</t>
  </si>
  <si>
    <t>Achievments 2010-2014</t>
  </si>
  <si>
    <t>Revised Potential</t>
  </si>
  <si>
    <t>Sixth Plan Potential (aMW) with 2008 facility and flow data</t>
  </si>
  <si>
    <t>Measure Bundle:</t>
  </si>
  <si>
    <t>Achievable</t>
  </si>
  <si>
    <t>7P Mid</t>
  </si>
  <si>
    <t xml:space="preserve">This is not being used.  </t>
  </si>
  <si>
    <t xml:space="preserve">2006 NYSERDA Sub Metering Study, Measure costs for 18 sites (BacGen).  </t>
  </si>
  <si>
    <t>New cost data from ETO and Cascade are in line with the BacGen data.  Updated for 2012$</t>
  </si>
  <si>
    <t>Ave Plant Size</t>
  </si>
  <si>
    <t>New Estimated Savings (million kWh/MGD flow)</t>
  </si>
  <si>
    <t>Achievements (mm kWh/MGD)</t>
  </si>
  <si>
    <t>GDP Inflator</t>
  </si>
  <si>
    <t>Link to the new Com_Master</t>
  </si>
  <si>
    <t>Municipal Sewage Treatment (Wastwater Treatment)</t>
  </si>
  <si>
    <t>Savings and costs per MGD</t>
  </si>
  <si>
    <t>Population Forecast</t>
  </si>
  <si>
    <r>
      <rPr>
        <sz val="11"/>
        <color rgb="FFFF0000"/>
        <rFont val="Calibri"/>
        <family val="2"/>
        <scheme val="minor"/>
      </rPr>
      <t>Adjusted</t>
    </r>
    <r>
      <rPr>
        <sz val="11"/>
        <color indexed="8"/>
        <rFont val="Calibri"/>
        <family val="2"/>
        <scheme val="minor"/>
      </rPr>
      <t xml:space="preserve"> FLOW WT SAVINGS (kWh/MGD Regional Flow)</t>
    </r>
  </si>
  <si>
    <t>Measures are defined based the size of the treatment plant: &lt;1 MGD, 1 to 10 MGD, and &gt;10 MGD (MGD = Million Gallons per Day).  Baseline consumption, and savings and costs are defined for each of these three categories in Million kWh/MGD.</t>
  </si>
  <si>
    <t>Electricity saved per flow rate (Million kWh/MGD flow) based on case studies.</t>
  </si>
  <si>
    <t xml:space="preserve">Adjusted to account for regional achievements. </t>
  </si>
  <si>
    <t>We don't have any good new mmKWh/MGD savings estimates.  We have good project data of saving per project, but not relative to the size of the plant or flow rate.</t>
  </si>
  <si>
    <t>The appicable stock is from the EPA report:  "2008 EPA Clean Watersheds Needs Survey."  Number of plants and baseline and capacity flow rates.</t>
  </si>
  <si>
    <t xml:space="preserve">BacGen installationas and calls with 9 Large Plants in PNW (representing 40% of the capacity), from the Sixth Plan. Council population projections.  </t>
  </si>
  <si>
    <t>AWWA Data</t>
  </si>
  <si>
    <t>Wastewater Energy consumption</t>
  </si>
  <si>
    <t>Regon 4</t>
  </si>
  <si>
    <t>Top Quartile</t>
  </si>
  <si>
    <t>Median</t>
  </si>
  <si>
    <t>Bottom Quartile</t>
  </si>
  <si>
    <t>kBtu/yr/MG</t>
  </si>
  <si>
    <t>Kbtu/KWh</t>
  </si>
  <si>
    <t>Days Per year</t>
  </si>
  <si>
    <t xml:space="preserve">    in kBtu/yr/MG</t>
  </si>
  <si>
    <t xml:space="preserve">    in kWh/yr/MG</t>
  </si>
  <si>
    <t xml:space="preserve">    in kWh/MGD</t>
  </si>
  <si>
    <t xml:space="preserve">    in million kWh/MGD</t>
  </si>
  <si>
    <t>By Population Served</t>
  </si>
  <si>
    <t>10,001 to 50,000</t>
  </si>
  <si>
    <t>50,001 to 100,000</t>
  </si>
  <si>
    <t>100,001 to 500,000</t>
  </si>
  <si>
    <t>&gt;500,000</t>
  </si>
  <si>
    <t>Median (mmkWh/MGD)</t>
  </si>
  <si>
    <t>Small</t>
  </si>
  <si>
    <t>Med</t>
  </si>
  <si>
    <t>Large</t>
  </si>
  <si>
    <t>gal/day/person</t>
  </si>
  <si>
    <t>Million Gallons/day</t>
  </si>
  <si>
    <t>People served</t>
  </si>
  <si>
    <t>An updated EPA report is due in late 2014; may revise the data at this point.  Compared baseline consumption with regional data from the AWWA 2012 Benchmarking report.  PNW data are lower so we will keep the local data.</t>
  </si>
  <si>
    <t>Using NW data</t>
  </si>
  <si>
    <t>Using AWWA dat</t>
  </si>
  <si>
    <t>From Sixth Plan (12 years)</t>
  </si>
  <si>
    <t>7P Gas</t>
  </si>
  <si>
    <t>CO2 lbs per kWh .95</t>
  </si>
  <si>
    <t>Total  Consumption for Wastewater Treatment (aMW)</t>
  </si>
  <si>
    <r>
      <t>y = 202389x</t>
    </r>
    <r>
      <rPr>
        <vertAlign val="superscript"/>
        <sz val="10"/>
        <rFont val="Arial"/>
        <family val="2"/>
      </rPr>
      <t>-0.807</t>
    </r>
  </si>
  <si>
    <t>Checked against program data</t>
  </si>
  <si>
    <t>Not enough data for this</t>
  </si>
  <si>
    <t>Not received</t>
  </si>
  <si>
    <t>Update Savings Values</t>
  </si>
  <si>
    <t>C-W-Ref-Vent-All-All-C</t>
  </si>
  <si>
    <t xml:space="preserve">Saturation updated with recent project experience summarized in the BPA 6 going on 7 project. </t>
  </si>
  <si>
    <t>Revise to work with batch - removed embedded ProCost</t>
  </si>
  <si>
    <t>Update stock model - new supply curve format</t>
  </si>
  <si>
    <t>Get 2014 data in Dec 2014</t>
  </si>
  <si>
    <t>Primary source is the BACGen studies conducted in 2006, 2007.  Savings rates are adjusted based on achievements</t>
  </si>
  <si>
    <t xml:space="preserve">Need data to develop good load shape.  </t>
  </si>
  <si>
    <t>Weighted mmkWh/MGD</t>
  </si>
  <si>
    <t>kWh/gal</t>
  </si>
  <si>
    <t>kwh/1000 gal</t>
  </si>
  <si>
    <t>Post</t>
  </si>
  <si>
    <t>Pre</t>
  </si>
  <si>
    <t>Report Year</t>
  </si>
  <si>
    <t>lvlcost</t>
  </si>
  <si>
    <t>MAX ANNUAL AVAILABLE</t>
  </si>
  <si>
    <t>MAX MGD</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</si>
  <si>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</si>
  <si>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</si>
  <si>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</si>
  <si>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</si>
  <si>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</si>
  <si>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</si>
  <si>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</si>
  <si>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</si>
  <si>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</si>
  <si>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</si>
  <si>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</si>
  <si>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</si>
  <si>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</si>
  <si>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</si>
  <si>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</si>
  <si>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</si>
  <si>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</si>
  <si>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</si>
  <si>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</si>
  <si>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</si>
  <si>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</si>
  <si>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</si>
  <si>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</si>
  <si>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</si>
  <si>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</si>
  <si>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</si>
  <si>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</si>
  <si>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</si>
  <si>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</si>
  <si>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</si>
  <si>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</si>
  <si>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</si>
  <si>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</si>
  <si>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</si>
  <si>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</si>
  <si>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</si>
  <si>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</si>
  <si>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</si>
  <si>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</si>
  <si>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</si>
  <si>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</si>
  <si>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</si>
  <si>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Block 22: 200-210 mills/kWh</t>
  </si>
  <si>
    <t>&gt;200</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</si>
  <si>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</si>
  <si>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</si>
  <si>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</si>
  <si>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</si>
  <si>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</si>
  <si>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</si>
  <si>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</si>
  <si>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</si>
  <si>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</si>
  <si>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</si>
  <si>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</si>
  <si>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</si>
  <si>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</si>
  <si>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</si>
  <si>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</si>
  <si>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</si>
  <si>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</si>
  <si>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</si>
  <si>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</si>
  <si>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</si>
  <si>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</si>
  <si>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</si>
  <si>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</si>
  <si>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</si>
  <si>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</si>
  <si>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</si>
  <si>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</si>
  <si>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</si>
  <si>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</si>
  <si>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</si>
  <si>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</si>
  <si>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Total Potential (aMW)</t>
  </si>
  <si>
    <t>MAX</t>
  </si>
  <si>
    <t>Total per Year</t>
  </si>
  <si>
    <t>Total Cumulative</t>
  </si>
  <si>
    <t>RECOMBINE MEASURE BUNDLES INTO SUPPLY CURVE INCREMENETAL</t>
  </si>
  <si>
    <t>Max</t>
  </si>
  <si>
    <t>Incremental</t>
  </si>
  <si>
    <t>RECOMBINE MEASURE BUNDLES INTO SUPPLY CURVE</t>
  </si>
  <si>
    <t>Conservation Load Shapes</t>
  </si>
  <si>
    <t>Electric System CO2 Avoided (Annual Tons in 2018)</t>
  </si>
  <si>
    <t>Gas System CO2 Avoided (Annual Tons in 2018)</t>
  </si>
  <si>
    <t>Total System CO2 Avoided (Annual Tons in 2018)</t>
  </si>
  <si>
    <t>Wholesale KW</t>
  </si>
  <si>
    <t>Savings Allocation by Category and Month for Segments 1</t>
  </si>
  <si>
    <t>Savings Allocation by Category and Month for Segments 2</t>
  </si>
  <si>
    <t>Savings Allocation by Cost Bin and Month for Segments 1</t>
  </si>
  <si>
    <t>Savings Allocation by Cost Bin and Month for Segments 2</t>
  </si>
  <si>
    <t>Ramp Rate</t>
  </si>
  <si>
    <t>Resource Type</t>
  </si>
  <si>
    <t>Measure Category</t>
  </si>
  <si>
    <t>End Use</t>
  </si>
  <si>
    <t>kW per unit</t>
  </si>
  <si>
    <t>kWh per unit</t>
  </si>
  <si>
    <t>TRC Net Levelized Cost (Net of All Benefits)</t>
  </si>
  <si>
    <t>segment</t>
  </si>
  <si>
    <t>measure</t>
  </si>
  <si>
    <t>Retro</t>
  </si>
  <si>
    <t>End-Use:</t>
  </si>
  <si>
    <t>Municipal Sewage Treatment</t>
  </si>
  <si>
    <t>Versions:</t>
  </si>
  <si>
    <t>V2</t>
  </si>
  <si>
    <t>Initial posting for reviw</t>
  </si>
  <si>
    <t>V3</t>
  </si>
  <si>
    <t>Added the "forRPM" tab, formatting changes</t>
  </si>
  <si>
    <t>WWT Embedded Energy (kwh/1000 gal)</t>
  </si>
  <si>
    <t>Water Supply Plus Wastewater Embedded Energy (kwh/1000 gal)</t>
  </si>
  <si>
    <t>(for use in the SIW and water-saving measures)</t>
  </si>
  <si>
    <t>Total 2010-2015</t>
  </si>
  <si>
    <t>Sum of Unknown</t>
  </si>
  <si>
    <t>Half to WWT</t>
  </si>
  <si>
    <t>Unknown</t>
  </si>
  <si>
    <t>Revised 2-27-2015 per reviewer comments</t>
  </si>
  <si>
    <t>From 6 going on 7 project.  2010 through 2013</t>
  </si>
  <si>
    <t>V4</t>
  </si>
  <si>
    <t xml:space="preserve">Review comments:  corrected accomplishments </t>
  </si>
  <si>
    <t>Q:\SeventhPlan\Conservation Analysis\Global EE Inputs\MC Files\MC_AND_LOADSHAPE_v3.0_24segment-7P-D9 - NewSegValues.xlsx</t>
  </si>
  <si>
    <t>Retro5Med</t>
  </si>
  <si>
    <t>Wednesday, 4 March , 2015 at 4:52 PM</t>
  </si>
  <si>
    <t>Split the unknow; half to WWT and half to WT</t>
  </si>
  <si>
    <t>V5</t>
  </si>
  <si>
    <t>Added High/Low option</t>
  </si>
  <si>
    <t>Pop</t>
  </si>
  <si>
    <t>Population:</t>
  </si>
  <si>
    <t>Stock</t>
  </si>
  <si>
    <t>Thursday, 19 March , 2015 at 9:20 AM</t>
  </si>
</sst>
</file>

<file path=xl/styles.xml><?xml version="1.0" encoding="utf-8"?>
<styleSheet xmlns="http://schemas.openxmlformats.org/spreadsheetml/2006/main">
  <numFmts count="26">
    <numFmt numFmtId="5" formatCode="&quot;$&quot;#,##0_);\(&quot;$&quot;#,##0\)"/>
    <numFmt numFmtId="6" formatCode="&quot;$&quot;#,##0_);[Red]\(&quot;$&quot;#,##0\)"/>
    <numFmt numFmtId="44" formatCode="_(&quot;$&quot;* #,##0.00_);_(&quot;$&quot;* \(#,##0.00\);_(&quot;$&quot;* &quot;-&quot;??_);_(@_)"/>
    <numFmt numFmtId="43" formatCode="_(* #,##0.00_);_(* \(#,##0.00\);_(* &quot;-&quot;??_);_(@_)"/>
    <numFmt numFmtId="164" formatCode="0.0%"/>
    <numFmt numFmtId="165" formatCode="0.0"/>
    <numFmt numFmtId="166" formatCode="_(&quot;$&quot;* #,##0_);_(&quot;$&quot;* \(#,##0\);_(&quot;$&quot;* &quot;-&quot;??_);_(@_)"/>
    <numFmt numFmtId="167" formatCode="_(* #,##0_);_(* \(#,##0\);_(* &quot;-&quot;??_);_(@_)"/>
    <numFmt numFmtId="168" formatCode="&quot;$&quot;#,##0.00"/>
    <numFmt numFmtId="169" formatCode="m/d/\ h:mm"/>
    <numFmt numFmtId="170" formatCode="0.0000"/>
    <numFmt numFmtId="171" formatCode="0.000000"/>
    <numFmt numFmtId="172" formatCode="0.00000000000000"/>
    <numFmt numFmtId="173" formatCode="00000"/>
    <numFmt numFmtId="174" formatCode="#,##0.0_);\(#,##0.0\)"/>
    <numFmt numFmtId="175" formatCode="0.0;[Red]\-0.0"/>
    <numFmt numFmtId="176" formatCode="\ "/>
    <numFmt numFmtId="177" formatCode="_(* #,##0.0_);_(* \(#,##0.0\);_(* &quot;-&quot;??_);_(@_)"/>
    <numFmt numFmtId="178" formatCode="_(&quot;$&quot;* #,##0.000_);_(&quot;$&quot;* \(#,##0.000\);_(&quot;$&quot;* &quot;-&quot;??_);_(@_)"/>
    <numFmt numFmtId="179" formatCode="#,##0.000"/>
    <numFmt numFmtId="180" formatCode="0.000"/>
    <numFmt numFmtId="181" formatCode="_(* #,##0.000_);_(* \(#,##0.000\);_(* &quot;-&quot;??_);_(@_)"/>
    <numFmt numFmtId="182" formatCode="_(* #,##0.00_);_(* \(#,##0.00\);_(* &quot;-&quot;?_);_(@_)"/>
    <numFmt numFmtId="183" formatCode="_(* #,##0.0_);_(* \(#,##0.0\);_(* &quot;-&quot;?_);_(@_)"/>
    <numFmt numFmtId="184" formatCode="_(* #,##0.00000_);_(* \(#,##0.00000\);_(* &quot;-&quot;??_);_(@_)"/>
    <numFmt numFmtId="185" formatCode="[$-F800]dddd\,\ mmmm\ dd\,\ yyyy"/>
  </numFmts>
  <fonts count="8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b/>
      <sz val="10"/>
      <color indexed="9"/>
      <name val="Arial"/>
      <family val="2"/>
    </font>
    <font>
      <sz val="8"/>
      <color indexed="81"/>
      <name val="Tahoma"/>
      <family val="2"/>
    </font>
    <font>
      <u/>
      <sz val="10"/>
      <color indexed="12"/>
      <name val="Arial"/>
      <family val="2"/>
    </font>
    <font>
      <sz val="10"/>
      <color indexed="12"/>
      <name val="Arial"/>
      <family val="2"/>
    </font>
    <font>
      <sz val="10"/>
      <color indexed="8"/>
      <name val="Arial"/>
      <family val="2"/>
    </font>
    <font>
      <sz val="10"/>
      <color indexed="22"/>
      <name val="Arial"/>
      <family val="2"/>
    </font>
    <font>
      <b/>
      <sz val="8"/>
      <color indexed="81"/>
      <name val="Tahoma"/>
      <family val="2"/>
    </font>
    <font>
      <b/>
      <sz val="10"/>
      <name val="Arial"/>
      <family val="2"/>
    </font>
    <font>
      <b/>
      <i/>
      <sz val="10"/>
      <name val="Arial"/>
      <family val="2"/>
    </font>
    <font>
      <sz val="12"/>
      <name val="Times New Roman"/>
      <family val="1"/>
    </font>
    <font>
      <b/>
      <sz val="12"/>
      <name val="Times New Roman"/>
      <family val="1"/>
    </font>
    <font>
      <sz val="8"/>
      <name val="Arial"/>
      <family val="2"/>
    </font>
    <font>
      <sz val="10"/>
      <name val="Arial"/>
      <family val="2"/>
    </font>
    <font>
      <sz val="11"/>
      <color indexed="8"/>
      <name val="Calibri"/>
      <family val="2"/>
    </font>
    <font>
      <sz val="10"/>
      <name val="Arial"/>
      <family val="2"/>
    </font>
    <font>
      <sz val="8"/>
      <name val="MS Sans Serif"/>
      <family val="2"/>
    </font>
    <font>
      <sz val="10"/>
      <color indexed="14"/>
      <name val="Arial"/>
      <family val="2"/>
    </font>
    <font>
      <sz val="10"/>
      <color theme="0" tint="-0.34998626667073579"/>
      <name val="Arial"/>
      <family val="2"/>
    </font>
    <font>
      <sz val="10"/>
      <color rgb="FF000000"/>
      <name val="Arial"/>
      <family val="2"/>
    </font>
    <font>
      <b/>
      <sz val="10"/>
      <color rgb="FFFF0000"/>
      <name val="Arial"/>
      <family val="2"/>
    </font>
    <font>
      <b/>
      <sz val="11"/>
      <color theme="1"/>
      <name val="Calibri"/>
      <family val="2"/>
      <scheme val="minor"/>
    </font>
    <font>
      <sz val="10"/>
      <name val="MS Sans Serif"/>
      <family val="2"/>
    </font>
    <font>
      <sz val="11"/>
      <name val="Calibri"/>
      <family val="2"/>
      <scheme val="minor"/>
    </font>
    <font>
      <b/>
      <sz val="11"/>
      <name val="Calibri"/>
      <family val="2"/>
      <scheme val="minor"/>
    </font>
    <font>
      <sz val="10"/>
      <color theme="0"/>
      <name val="Arial"/>
      <family val="2"/>
    </font>
    <font>
      <sz val="9"/>
      <color indexed="81"/>
      <name val="Tahoma"/>
      <family val="2"/>
    </font>
    <font>
      <u/>
      <sz val="10"/>
      <color theme="10"/>
      <name val="Arial"/>
      <family val="2"/>
    </font>
    <font>
      <b/>
      <sz val="11"/>
      <color indexed="8"/>
      <name val="Calibri"/>
      <family val="2"/>
    </font>
    <font>
      <b/>
      <sz val="11"/>
      <color indexed="56"/>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2"/>
      <name val="Calibri"/>
      <family val="2"/>
    </font>
    <font>
      <sz val="12"/>
      <name val="Calibri"/>
      <family val="2"/>
    </font>
    <font>
      <u/>
      <sz val="12"/>
      <name val="Calibri"/>
      <family val="2"/>
    </font>
    <font>
      <b/>
      <sz val="15"/>
      <color indexed="62"/>
      <name val="Calibri"/>
      <family val="2"/>
    </font>
    <font>
      <b/>
      <sz val="11"/>
      <color indexed="62"/>
      <name val="Calibri"/>
      <family val="2"/>
    </font>
    <font>
      <b/>
      <sz val="18"/>
      <color indexed="62"/>
      <name val="Cambria"/>
      <family val="2"/>
    </font>
    <font>
      <b/>
      <sz val="9"/>
      <color indexed="81"/>
      <name val="Tahoma"/>
      <family val="2"/>
    </font>
    <font>
      <sz val="11"/>
      <color theme="0" tint="-0.34998626667073579"/>
      <name val="Calibri"/>
      <family val="2"/>
      <scheme val="minor"/>
    </font>
    <font>
      <b/>
      <sz val="10"/>
      <color rgb="FFFFFFFF"/>
      <name val="Arial"/>
      <family val="2"/>
    </font>
    <font>
      <sz val="10"/>
      <color theme="1"/>
      <name val="Arial"/>
      <family val="2"/>
    </font>
    <font>
      <sz val="10"/>
      <color indexed="9"/>
      <name val="Arial"/>
      <family val="2"/>
    </font>
    <font>
      <sz val="10"/>
      <color indexed="10"/>
      <name val="Arial"/>
      <family val="2"/>
    </font>
    <font>
      <sz val="11"/>
      <color theme="0" tint="-0.249977111117893"/>
      <name val="Calibri"/>
      <family val="2"/>
      <scheme val="minor"/>
    </font>
    <font>
      <b/>
      <sz val="11"/>
      <color rgb="FFFF0000"/>
      <name val="Calibri"/>
      <family val="2"/>
      <scheme val="minor"/>
    </font>
    <font>
      <sz val="11"/>
      <name val="Calibri"/>
      <family val="2"/>
    </font>
    <font>
      <sz val="20"/>
      <color indexed="8"/>
      <name val="Calibri"/>
      <family val="2"/>
    </font>
    <font>
      <b/>
      <sz val="11"/>
      <color indexed="10"/>
      <name val="Calibri"/>
      <family val="2"/>
    </font>
    <font>
      <b/>
      <sz val="11"/>
      <name val="Calibri"/>
      <family val="2"/>
    </font>
    <font>
      <b/>
      <sz val="8"/>
      <color indexed="63"/>
      <name val="Calibri"/>
      <family val="2"/>
    </font>
    <font>
      <b/>
      <sz val="4"/>
      <color indexed="63"/>
      <name val="Calibri"/>
      <family val="2"/>
    </font>
    <font>
      <sz val="9"/>
      <color indexed="63"/>
      <name val="Calibri"/>
      <family val="2"/>
    </font>
    <font>
      <sz val="4.5"/>
      <color indexed="63"/>
      <name val="Calibri"/>
      <family val="2"/>
    </font>
    <font>
      <sz val="8"/>
      <color indexed="63"/>
      <name val="Calibri"/>
      <family val="2"/>
    </font>
    <font>
      <sz val="12"/>
      <color indexed="8"/>
      <name val="Times New Roman"/>
      <family val="1"/>
    </font>
    <font>
      <u/>
      <sz val="11"/>
      <color indexed="8"/>
      <name val="Calibri"/>
      <family val="2"/>
    </font>
    <font>
      <b/>
      <sz val="10"/>
      <name val="Times New Roman"/>
      <family val="1"/>
    </font>
    <font>
      <sz val="10"/>
      <name val="Times New Roman"/>
      <family val="1"/>
    </font>
    <font>
      <b/>
      <sz val="11"/>
      <name val="Times New Roman"/>
      <family val="1"/>
    </font>
    <font>
      <b/>
      <sz val="11"/>
      <color theme="0"/>
      <name val="Calibri"/>
      <family val="2"/>
      <scheme val="minor"/>
    </font>
    <font>
      <sz val="11"/>
      <color indexed="8"/>
      <name val="Calibri"/>
      <family val="2"/>
      <scheme val="minor"/>
    </font>
    <font>
      <b/>
      <sz val="12"/>
      <name val="Arial"/>
      <family val="2"/>
    </font>
    <font>
      <sz val="11"/>
      <color rgb="FFFF0000"/>
      <name val="Calibri"/>
      <family val="2"/>
      <scheme val="minor"/>
    </font>
    <font>
      <sz val="11"/>
      <color theme="0" tint="-0.499984740745262"/>
      <name val="Calibri"/>
      <family val="2"/>
      <scheme val="minor"/>
    </font>
    <font>
      <vertAlign val="superscript"/>
      <sz val="10"/>
      <name val="Arial"/>
      <family val="2"/>
    </font>
    <font>
      <b/>
      <sz val="10"/>
      <color theme="0"/>
      <name val="Arial"/>
      <family val="2"/>
    </font>
  </fonts>
  <fills count="62">
    <fill>
      <patternFill patternType="none"/>
    </fill>
    <fill>
      <patternFill patternType="gray125"/>
    </fill>
    <fill>
      <patternFill patternType="solid">
        <fgColor indexed="44"/>
        <bgColor indexed="64"/>
      </patternFill>
    </fill>
    <fill>
      <patternFill patternType="solid">
        <fgColor indexed="47"/>
        <bgColor indexed="64"/>
      </patternFill>
    </fill>
    <fill>
      <patternFill patternType="solid">
        <fgColor indexed="8"/>
        <bgColor indexed="64"/>
      </patternFill>
    </fill>
    <fill>
      <patternFill patternType="solid">
        <fgColor indexed="18"/>
        <bgColor indexed="64"/>
      </patternFill>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40"/>
        <bgColor indexed="64"/>
      </patternFill>
    </fill>
    <fill>
      <patternFill patternType="solid">
        <fgColor indexed="12"/>
        <bgColor indexed="64"/>
      </patternFill>
    </fill>
    <fill>
      <patternFill patternType="solid">
        <fgColor indexed="26"/>
        <bgColor indexed="64"/>
      </patternFill>
    </fill>
    <fill>
      <patternFill patternType="solid">
        <fgColor indexed="45"/>
        <bgColor indexed="64"/>
      </patternFill>
    </fill>
    <fill>
      <patternFill patternType="solid">
        <fgColor indexed="51"/>
        <bgColor indexed="64"/>
      </patternFill>
    </fill>
    <fill>
      <patternFill patternType="solid">
        <fgColor theme="0" tint="-0.249977111117893"/>
        <bgColor indexed="64"/>
      </patternFill>
    </fill>
    <fill>
      <patternFill patternType="solid">
        <fgColor indexed="55"/>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patternFill>
    </fill>
    <fill>
      <patternFill patternType="solid">
        <fgColor indexed="54"/>
      </patternFill>
    </fill>
    <fill>
      <patternFill patternType="solid">
        <fgColor theme="0" tint="-4.9989318521683403E-2"/>
        <bgColor indexed="64"/>
      </patternFill>
    </fill>
    <fill>
      <patternFill patternType="solid">
        <fgColor indexed="9"/>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333399"/>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9"/>
        <bgColor indexed="64"/>
      </patternFill>
    </fill>
    <fill>
      <patternFill patternType="solid">
        <fgColor indexed="11"/>
        <bgColor indexed="64"/>
      </patternFill>
    </fill>
    <fill>
      <patternFill patternType="solid">
        <fgColor indexed="14"/>
        <bgColor indexed="64"/>
      </patternFill>
    </fill>
    <fill>
      <patternFill patternType="solid">
        <fgColor rgb="FFFFFF0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3"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59999389629810485"/>
        <bgColor indexed="64"/>
      </patternFill>
    </fill>
  </fills>
  <borders count="80">
    <border>
      <left/>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theme="0"/>
      </right>
      <top/>
      <bottom style="medium">
        <color theme="0"/>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right style="medium">
        <color theme="0"/>
      </right>
      <top style="medium">
        <color theme="0"/>
      </top>
      <bottom style="medium">
        <color theme="0"/>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diagonal/>
    </border>
    <border>
      <left style="medium">
        <color theme="0"/>
      </left>
      <right style="medium">
        <color theme="0"/>
      </right>
      <top style="medium">
        <color theme="0"/>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s>
  <cellStyleXfs count="195">
    <xf numFmtId="0" fontId="0" fillId="0" borderId="0">
      <alignment readingOrder="1"/>
    </xf>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5" fillId="0" borderId="0" applyFont="0" applyFill="0" applyBorder="0" applyAlignment="0" applyProtection="0"/>
    <xf numFmtId="44" fontId="20" fillId="0" borderId="0" applyFont="0" applyFill="0" applyBorder="0" applyAlignment="0" applyProtection="0"/>
    <xf numFmtId="44" fontId="7" fillId="0" borderId="0" applyFont="0" applyFill="0" applyBorder="0" applyAlignment="0" applyProtection="0"/>
    <xf numFmtId="0" fontId="7" fillId="2" borderId="0" applyNumberFormat="0" applyAlignment="0">
      <alignment horizontal="right"/>
    </xf>
    <xf numFmtId="0" fontId="5" fillId="3" borderId="0" applyNumberFormat="0" applyAlignment="0"/>
    <xf numFmtId="169" fontId="17" fillId="0" borderId="0"/>
    <xf numFmtId="0" fontId="18" fillId="0" borderId="0">
      <alignment horizontal="center" wrapText="1"/>
    </xf>
    <xf numFmtId="0" fontId="8" fillId="4" borderId="1">
      <alignment horizontal="left"/>
    </xf>
    <xf numFmtId="0" fontId="10" fillId="0" borderId="0" applyNumberFormat="0" applyFill="0" applyBorder="0" applyAlignment="0" applyProtection="0">
      <alignment vertical="top"/>
      <protection locked="0"/>
    </xf>
    <xf numFmtId="0" fontId="7" fillId="0" borderId="0">
      <alignment readingOrder="1"/>
    </xf>
    <xf numFmtId="0" fontId="7" fillId="0" borderId="0"/>
    <xf numFmtId="0" fontId="7" fillId="0" borderId="0"/>
    <xf numFmtId="0" fontId="22" fillId="0" borderId="0"/>
    <xf numFmtId="0" fontId="6" fillId="0" borderId="0"/>
    <xf numFmtId="0" fontId="5" fillId="0" borderId="0"/>
    <xf numFmtId="0" fontId="22" fillId="0" borderId="0"/>
    <xf numFmtId="0" fontId="22" fillId="0" borderId="0"/>
    <xf numFmtId="9" fontId="5"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4"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2" borderId="0" applyNumberFormat="0" applyAlignment="0">
      <alignment horizontal="right"/>
    </xf>
    <xf numFmtId="0" fontId="21" fillId="0" borderId="0"/>
    <xf numFmtId="0" fontId="21" fillId="0" borderId="0"/>
    <xf numFmtId="0" fontId="21" fillId="0" borderId="0"/>
    <xf numFmtId="0" fontId="7" fillId="0" borderId="0"/>
    <xf numFmtId="0" fontId="21" fillId="0" borderId="0"/>
    <xf numFmtId="0" fontId="21" fillId="0" borderId="0"/>
    <xf numFmtId="0" fontId="7" fillId="0" borderId="0">
      <alignment readingOrder="1"/>
    </xf>
    <xf numFmtId="0" fontId="21" fillId="0" borderId="0"/>
    <xf numFmtId="0" fontId="7" fillId="0" borderId="0"/>
    <xf numFmtId="0" fontId="21" fillId="0" borderId="0"/>
    <xf numFmtId="0" fontId="21" fillId="0" borderId="0"/>
    <xf numFmtId="0" fontId="21" fillId="0" borderId="0"/>
    <xf numFmtId="0" fontId="29" fillId="0" borderId="0"/>
    <xf numFmtId="0" fontId="21" fillId="0" borderId="0"/>
    <xf numFmtId="0" fontId="21" fillId="0" borderId="0"/>
    <xf numFmtId="0" fontId="21" fillId="0" borderId="0"/>
    <xf numFmtId="0" fontId="21" fillId="0" borderId="0"/>
    <xf numFmtId="0" fontId="7" fillId="0" borderId="0">
      <alignment readingOrder="1"/>
    </xf>
    <xf numFmtId="9" fontId="7" fillId="0" borderId="0" applyFont="0" applyFill="0" applyBorder="0" applyAlignment="0" applyProtection="0"/>
    <xf numFmtId="9" fontId="7"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5" fillId="0" borderId="0">
      <alignment readingOrder="1"/>
    </xf>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2" borderId="0" applyNumberFormat="0" applyAlignment="0">
      <alignment horizontal="right"/>
    </xf>
    <xf numFmtId="0" fontId="5" fillId="0" borderId="0">
      <alignment readingOrder="1"/>
    </xf>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3" fillId="0" borderId="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2" borderId="0" applyNumberFormat="0" applyAlignment="0">
      <alignment horizontal="right"/>
    </xf>
    <xf numFmtId="0" fontId="5" fillId="0" borderId="0"/>
    <xf numFmtId="0" fontId="5" fillId="0" borderId="0">
      <alignment readingOrder="1"/>
    </xf>
    <xf numFmtId="0" fontId="5" fillId="0" borderId="0"/>
    <xf numFmtId="0" fontId="5" fillId="0" borderId="0">
      <alignment readingOrder="1"/>
    </xf>
    <xf numFmtId="9" fontId="5" fillId="0" borderId="0" applyFont="0" applyFill="0" applyBorder="0" applyAlignment="0" applyProtection="0"/>
    <xf numFmtId="9" fontId="5" fillId="0" borderId="0" applyFont="0" applyFill="0" applyBorder="0" applyAlignment="0" applyProtection="0"/>
    <xf numFmtId="0" fontId="5" fillId="0" borderId="0">
      <alignment readingOrder="1"/>
    </xf>
    <xf numFmtId="0" fontId="5" fillId="0" borderId="0"/>
    <xf numFmtId="0" fontId="34" fillId="0" borderId="0" applyNumberFormat="0" applyFill="0" applyBorder="0" applyAlignment="0" applyProtection="0">
      <alignment vertical="top"/>
      <protection locked="0"/>
    </xf>
    <xf numFmtId="0" fontId="21"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1" fillId="28" borderId="0" applyNumberFormat="0" applyBorder="0" applyAlignment="0" applyProtection="0"/>
    <xf numFmtId="0" fontId="37" fillId="29" borderId="0" applyNumberFormat="0" applyBorder="0" applyAlignment="0" applyProtection="0"/>
    <xf numFmtId="0" fontId="37" fillId="26" borderId="0" applyNumberFormat="0" applyBorder="0" applyAlignment="0" applyProtection="0"/>
    <xf numFmtId="0" fontId="37" fillId="27"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6" borderId="0" applyNumberFormat="0" applyBorder="0" applyAlignment="0" applyProtection="0"/>
    <xf numFmtId="0" fontId="38" fillId="20" borderId="0" applyNumberFormat="0" applyBorder="0" applyAlignment="0" applyProtection="0"/>
    <xf numFmtId="0" fontId="39" fillId="37" borderId="43" applyNumberFormat="0" applyAlignment="0" applyProtection="0"/>
    <xf numFmtId="0" fontId="40" fillId="38" borderId="44"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2" borderId="0" applyNumberFormat="0" applyAlignment="0">
      <alignment horizontal="right"/>
    </xf>
    <xf numFmtId="0" fontId="5" fillId="2" borderId="0" applyNumberFormat="0" applyAlignment="0">
      <alignment horizontal="right"/>
    </xf>
    <xf numFmtId="0" fontId="41" fillId="0" borderId="0" applyNumberFormat="0" applyFill="0" applyBorder="0" applyAlignment="0" applyProtection="0"/>
    <xf numFmtId="0" fontId="42" fillId="21" borderId="0" applyNumberFormat="0" applyBorder="0" applyAlignment="0" applyProtection="0"/>
    <xf numFmtId="0" fontId="43" fillId="0" borderId="45" applyNumberFormat="0" applyFill="0" applyAlignment="0" applyProtection="0"/>
    <xf numFmtId="0" fontId="36" fillId="0" borderId="46" applyNumberFormat="0" applyFill="0" applyAlignment="0" applyProtection="0"/>
    <xf numFmtId="0" fontId="36" fillId="0" borderId="0" applyNumberFormat="0" applyFill="0" applyBorder="0" applyAlignment="0" applyProtection="0"/>
    <xf numFmtId="0" fontId="44" fillId="24" borderId="43" applyNumberFormat="0" applyAlignment="0" applyProtection="0"/>
    <xf numFmtId="0" fontId="45" fillId="0" borderId="47" applyNumberFormat="0" applyFill="0" applyAlignment="0" applyProtection="0"/>
    <xf numFmtId="0" fontId="46" fillId="39" borderId="0" applyNumberFormat="0" applyBorder="0" applyAlignment="0" applyProtection="0"/>
    <xf numFmtId="0" fontId="5" fillId="0" borderId="0"/>
    <xf numFmtId="0" fontId="5" fillId="0" borderId="0"/>
    <xf numFmtId="0" fontId="5" fillId="0" borderId="0">
      <alignment readingOrder="1"/>
    </xf>
    <xf numFmtId="0" fontId="5" fillId="0" borderId="0">
      <alignment readingOrder="1"/>
    </xf>
    <xf numFmtId="0" fontId="5" fillId="0" borderId="0"/>
    <xf numFmtId="0" fontId="5" fillId="0" borderId="0"/>
    <xf numFmtId="0" fontId="3" fillId="0" borderId="0"/>
    <xf numFmtId="0" fontId="5" fillId="0" borderId="0">
      <alignment readingOrder="1"/>
    </xf>
    <xf numFmtId="0" fontId="21" fillId="40" borderId="48" applyNumberFormat="0" applyFont="0" applyAlignment="0" applyProtection="0"/>
    <xf numFmtId="0" fontId="47" fillId="37" borderId="49"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8" fillId="0" borderId="0" applyNumberFormat="0" applyFill="0" applyBorder="0" applyAlignment="0" applyProtection="0"/>
    <xf numFmtId="0" fontId="35" fillId="0" borderId="50" applyNumberFormat="0" applyFill="0" applyAlignment="0" applyProtection="0"/>
    <xf numFmtId="0" fontId="49" fillId="0" borderId="0" applyNumberFormat="0" applyFill="0" applyBorder="0" applyAlignment="0" applyProtection="0"/>
    <xf numFmtId="0" fontId="3" fillId="0" borderId="0"/>
    <xf numFmtId="0" fontId="3" fillId="0" borderId="0"/>
    <xf numFmtId="0" fontId="21" fillId="41" borderId="0" applyNumberFormat="0" applyBorder="0" applyAlignment="0" applyProtection="0"/>
    <xf numFmtId="0" fontId="21" fillId="20" borderId="0" applyNumberFormat="0" applyBorder="0" applyAlignment="0" applyProtection="0"/>
    <xf numFmtId="0" fontId="21" fillId="41" borderId="0" applyNumberFormat="0" applyBorder="0" applyAlignment="0" applyProtection="0"/>
    <xf numFmtId="0" fontId="21" fillId="37"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37" borderId="0" applyNumberFormat="0" applyBorder="0" applyAlignment="0" applyProtection="0"/>
    <xf numFmtId="0" fontId="21" fillId="24" borderId="0" applyNumberFormat="0" applyBorder="0" applyAlignment="0" applyProtection="0"/>
    <xf numFmtId="0" fontId="37" fillId="31" borderId="0" applyNumberFormat="0" applyBorder="0" applyAlignment="0" applyProtection="0"/>
    <xf numFmtId="0" fontId="37" fillId="20" borderId="0" applyNumberFormat="0" applyBorder="0" applyAlignment="0" applyProtection="0"/>
    <xf numFmtId="0" fontId="37" fillId="20" borderId="0" applyNumberFormat="0" applyBorder="0" applyAlignment="0" applyProtection="0"/>
    <xf numFmtId="0" fontId="37" fillId="37" borderId="0" applyNumberFormat="0" applyBorder="0" applyAlignment="0" applyProtection="0"/>
    <xf numFmtId="0" fontId="37" fillId="24" borderId="0" applyNumberFormat="0" applyBorder="0" applyAlignment="0" applyProtection="0"/>
    <xf numFmtId="0" fontId="37" fillId="31" borderId="0" applyNumberFormat="0" applyBorder="0" applyAlignment="0" applyProtection="0"/>
    <xf numFmtId="0" fontId="37" fillId="20" borderId="0" applyNumberFormat="0" applyBorder="0" applyAlignment="0" applyProtection="0"/>
    <xf numFmtId="0" fontId="37" fillId="42" borderId="0" applyNumberFormat="0" applyBorder="0" applyAlignment="0" applyProtection="0"/>
    <xf numFmtId="0" fontId="38" fillId="22" borderId="0" applyNumberFormat="0" applyBorder="0" applyAlignment="0" applyProtection="0"/>
    <xf numFmtId="0" fontId="39" fillId="41" borderId="43" applyNumberFormat="0" applyAlignment="0" applyProtection="0"/>
    <xf numFmtId="0" fontId="53" fillId="0" borderId="51" applyNumberFormat="0" applyFill="0" applyAlignment="0" applyProtection="0"/>
    <xf numFmtId="0" fontId="54" fillId="0" borderId="52" applyNumberFormat="0" applyFill="0" applyAlignment="0" applyProtection="0"/>
    <xf numFmtId="0" fontId="54" fillId="0" borderId="0" applyNumberFormat="0" applyFill="0" applyBorder="0" applyAlignment="0" applyProtection="0"/>
    <xf numFmtId="0" fontId="5" fillId="0" borderId="0">
      <alignment readingOrder="1"/>
    </xf>
    <xf numFmtId="0" fontId="5" fillId="0" borderId="0"/>
    <xf numFmtId="0" fontId="5" fillId="0" borderId="0"/>
    <xf numFmtId="0" fontId="3" fillId="0" borderId="0"/>
    <xf numFmtId="0" fontId="5" fillId="40" borderId="48" applyNumberFormat="0" applyFont="0" applyAlignment="0" applyProtection="0"/>
    <xf numFmtId="0" fontId="47" fillId="41" borderId="49" applyNumberFormat="0" applyAlignment="0" applyProtection="0"/>
    <xf numFmtId="9" fontId="3" fillId="0" borderId="0" applyFont="0" applyFill="0" applyBorder="0" applyAlignment="0" applyProtection="0"/>
    <xf numFmtId="0" fontId="55" fillId="0" borderId="0" applyNumberFormat="0" applyFill="0" applyBorder="0" applyAlignment="0" applyProtection="0"/>
    <xf numFmtId="0" fontId="35" fillId="0" borderId="53"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43" fontId="21" fillId="0" borderId="0" applyFont="0" applyFill="0" applyBorder="0" applyAlignment="0" applyProtection="0"/>
    <xf numFmtId="44" fontId="21" fillId="0" borderId="0" applyFont="0" applyFill="0" applyBorder="0" applyAlignment="0" applyProtection="0"/>
    <xf numFmtId="0" fontId="5" fillId="0" borderId="0">
      <alignment readingOrder="1"/>
    </xf>
    <xf numFmtId="0" fontId="5" fillId="0" borderId="0"/>
  </cellStyleXfs>
  <cellXfs count="816">
    <xf numFmtId="0" fontId="0" fillId="0" borderId="0" xfId="0">
      <alignment readingOrder="1"/>
    </xf>
    <xf numFmtId="0" fontId="8" fillId="5" borderId="2" xfId="17" applyFont="1" applyFill="1" applyBorder="1" applyAlignment="1">
      <alignment horizontal="centerContinuous"/>
    </xf>
    <xf numFmtId="0" fontId="13" fillId="5" borderId="2" xfId="17" applyFont="1" applyFill="1" applyBorder="1" applyAlignment="1">
      <alignment horizontal="centerContinuous"/>
    </xf>
    <xf numFmtId="0" fontId="13" fillId="5" borderId="3" xfId="17" applyFont="1" applyFill="1" applyBorder="1" applyAlignment="1">
      <alignment horizontal="centerContinuous"/>
    </xf>
    <xf numFmtId="0" fontId="11" fillId="5" borderId="4" xfId="17" applyFont="1" applyFill="1" applyBorder="1" applyAlignment="1">
      <alignment horizontal="centerContinuous"/>
    </xf>
    <xf numFmtId="0" fontId="16" fillId="0" borderId="0" xfId="17" applyFont="1"/>
    <xf numFmtId="0" fontId="7" fillId="0" borderId="0" xfId="17" applyFont="1"/>
    <xf numFmtId="5" fontId="7" fillId="0" borderId="0" xfId="17" applyNumberFormat="1" applyFont="1"/>
    <xf numFmtId="165" fontId="7" fillId="0" borderId="0" xfId="17" applyNumberFormat="1" applyFont="1"/>
    <xf numFmtId="0" fontId="7" fillId="0" borderId="0" xfId="17" applyFont="1" applyAlignment="1">
      <alignment horizontal="center"/>
    </xf>
    <xf numFmtId="0" fontId="12" fillId="6" borderId="5" xfId="17" applyFont="1" applyFill="1" applyBorder="1" applyAlignment="1">
      <alignment horizontal="center" wrapText="1"/>
    </xf>
    <xf numFmtId="0" fontId="12" fillId="6" borderId="6" xfId="17" applyFont="1" applyFill="1" applyBorder="1" applyAlignment="1">
      <alignment horizontal="center" wrapText="1"/>
    </xf>
    <xf numFmtId="0" fontId="7" fillId="0" borderId="0" xfId="17" applyFont="1" applyFill="1" applyBorder="1"/>
    <xf numFmtId="0" fontId="13" fillId="0" borderId="0" xfId="17" applyFont="1" applyFill="1" applyBorder="1" applyAlignment="1">
      <alignment horizontal="centerContinuous"/>
    </xf>
    <xf numFmtId="0" fontId="11" fillId="0" borderId="0" xfId="17" applyFont="1" applyFill="1" applyBorder="1" applyAlignment="1">
      <alignment horizontal="centerContinuous"/>
    </xf>
    <xf numFmtId="0" fontId="12" fillId="0" borderId="0" xfId="17" applyFont="1" applyFill="1" applyBorder="1" applyAlignment="1">
      <alignment horizontal="centerContinuous"/>
    </xf>
    <xf numFmtId="0" fontId="12" fillId="0" borderId="0" xfId="17" applyFont="1" applyFill="1" applyBorder="1" applyAlignment="1">
      <alignment horizontal="center" wrapText="1"/>
    </xf>
    <xf numFmtId="0" fontId="16" fillId="0" borderId="0" xfId="17" applyFont="1" applyAlignment="1">
      <alignment horizontal="left"/>
    </xf>
    <xf numFmtId="172" fontId="7" fillId="0" borderId="0" xfId="17" applyNumberFormat="1" applyFont="1"/>
    <xf numFmtId="0" fontId="12" fillId="6" borderId="6" xfId="0" applyFont="1" applyFill="1" applyBorder="1" applyAlignment="1">
      <alignment horizontal="center" wrapText="1"/>
    </xf>
    <xf numFmtId="0" fontId="7" fillId="0" borderId="0" xfId="17" applyFont="1" applyFill="1"/>
    <xf numFmtId="171" fontId="0" fillId="0" borderId="0" xfId="0" applyNumberFormat="1" applyAlignment="1">
      <alignment horizontal="center" readingOrder="1"/>
    </xf>
    <xf numFmtId="170" fontId="0" fillId="0" borderId="0" xfId="0" applyNumberFormat="1" applyAlignment="1">
      <alignment horizontal="center" readingOrder="1"/>
    </xf>
    <xf numFmtId="9" fontId="15" fillId="0" borderId="0" xfId="18" applyNumberFormat="1" applyFont="1"/>
    <xf numFmtId="0" fontId="5" fillId="0" borderId="0" xfId="18"/>
    <xf numFmtId="0" fontId="5" fillId="7" borderId="9" xfId="18" applyFont="1" applyFill="1" applyBorder="1" applyAlignment="1">
      <alignment vertical="top" wrapText="1"/>
    </xf>
    <xf numFmtId="0" fontId="15" fillId="7" borderId="9" xfId="18" applyFont="1" applyFill="1" applyBorder="1"/>
    <xf numFmtId="0" fontId="5" fillId="0" borderId="9" xfId="18" applyFont="1" applyBorder="1" applyAlignment="1">
      <alignment vertical="top" wrapText="1"/>
    </xf>
    <xf numFmtId="10" fontId="5" fillId="0" borderId="9" xfId="18" applyNumberFormat="1" applyFont="1" applyBorder="1" applyAlignment="1">
      <alignment vertical="top" wrapText="1"/>
    </xf>
    <xf numFmtId="0" fontId="5" fillId="0" borderId="9" xfId="18" applyBorder="1"/>
    <xf numFmtId="9" fontId="7" fillId="0" borderId="9" xfId="18" applyNumberFormat="1" applyFont="1" applyBorder="1" applyAlignment="1">
      <alignment vertical="top" wrapText="1"/>
    </xf>
    <xf numFmtId="9" fontId="5" fillId="0" borderId="9" xfId="18" applyNumberFormat="1" applyFont="1" applyBorder="1" applyAlignment="1">
      <alignment vertical="top" wrapText="1"/>
    </xf>
    <xf numFmtId="9" fontId="5" fillId="0" borderId="9" xfId="21" applyBorder="1"/>
    <xf numFmtId="0" fontId="5" fillId="0" borderId="0" xfId="18" applyFont="1" applyBorder="1" applyAlignment="1">
      <alignment vertical="top" wrapText="1"/>
    </xf>
    <xf numFmtId="0" fontId="15" fillId="0" borderId="0" xfId="18" applyFont="1" applyFill="1" applyBorder="1" applyAlignment="1">
      <alignment vertical="top" wrapText="1"/>
    </xf>
    <xf numFmtId="0" fontId="5" fillId="8" borderId="9" xfId="18" applyFont="1" applyFill="1" applyBorder="1" applyAlignment="1">
      <alignment vertical="top" wrapText="1"/>
    </xf>
    <xf numFmtId="44" fontId="5" fillId="0" borderId="9" xfId="4" applyBorder="1"/>
    <xf numFmtId="2" fontId="5" fillId="0" borderId="9" xfId="18" applyNumberFormat="1" applyFill="1" applyBorder="1" applyAlignment="1">
      <alignment horizontal="center"/>
    </xf>
    <xf numFmtId="0" fontId="15" fillId="0" borderId="0" xfId="18" applyFont="1" applyFill="1" applyBorder="1" applyAlignment="1">
      <alignment vertical="top"/>
    </xf>
    <xf numFmtId="164" fontId="5" fillId="0" borderId="9" xfId="18" applyNumberFormat="1" applyFont="1" applyBorder="1" applyAlignment="1">
      <alignment vertical="top" wrapText="1"/>
    </xf>
    <xf numFmtId="167" fontId="5" fillId="0" borderId="9" xfId="1" applyNumberFormat="1" applyFont="1" applyBorder="1" applyAlignment="1">
      <alignment vertical="top" wrapText="1"/>
    </xf>
    <xf numFmtId="0" fontId="15" fillId="0" borderId="0" xfId="0" applyFont="1">
      <alignment readingOrder="1"/>
    </xf>
    <xf numFmtId="0" fontId="5" fillId="0" borderId="9" xfId="18" applyFont="1" applyBorder="1"/>
    <xf numFmtId="0" fontId="5" fillId="0" borderId="0" xfId="18" applyFont="1"/>
    <xf numFmtId="0" fontId="7" fillId="0" borderId="9" xfId="0" applyFont="1" applyFill="1" applyBorder="1" applyAlignment="1">
      <alignment horizontal="left"/>
    </xf>
    <xf numFmtId="0" fontId="7" fillId="0" borderId="9" xfId="8" applyFont="1" applyFill="1" applyBorder="1" applyAlignment="1"/>
    <xf numFmtId="0" fontId="15" fillId="7" borderId="9" xfId="0" applyFont="1" applyFill="1" applyBorder="1"/>
    <xf numFmtId="0" fontId="22" fillId="0" borderId="9" xfId="19" applyBorder="1" applyAlignment="1">
      <alignment wrapText="1"/>
    </xf>
    <xf numFmtId="0" fontId="25" fillId="0" borderId="0" xfId="0" applyFont="1">
      <alignment readingOrder="1"/>
    </xf>
    <xf numFmtId="0" fontId="23" fillId="0" borderId="3" xfId="19" quotePrefix="1" applyFont="1" applyFill="1" applyBorder="1" applyAlignment="1">
      <alignment wrapText="1"/>
    </xf>
    <xf numFmtId="0" fontId="23" fillId="0" borderId="3" xfId="19" applyFont="1" applyFill="1" applyBorder="1" applyAlignment="1">
      <alignment wrapText="1"/>
    </xf>
    <xf numFmtId="0" fontId="12" fillId="6" borderId="9" xfId="17" applyFont="1" applyFill="1" applyBorder="1" applyAlignment="1">
      <alignment horizontal="center" wrapText="1"/>
    </xf>
    <xf numFmtId="0" fontId="7" fillId="0" borderId="21" xfId="0" applyFont="1" applyBorder="1">
      <alignment readingOrder="1"/>
    </xf>
    <xf numFmtId="0" fontId="0" fillId="14" borderId="22" xfId="0" applyFill="1" applyBorder="1">
      <alignment readingOrder="1"/>
    </xf>
    <xf numFmtId="0" fontId="0" fillId="14" borderId="23" xfId="0" applyFill="1" applyBorder="1">
      <alignment readingOrder="1"/>
    </xf>
    <xf numFmtId="0" fontId="7" fillId="0" borderId="24" xfId="0" applyFont="1" applyBorder="1" applyAlignment="1">
      <alignment wrapText="1" readingOrder="1"/>
    </xf>
    <xf numFmtId="0" fontId="15" fillId="14" borderId="25" xfId="0" applyFont="1" applyFill="1" applyBorder="1" applyAlignment="1">
      <alignment wrapText="1" readingOrder="1"/>
    </xf>
    <xf numFmtId="0" fontId="15" fillId="14" borderId="26" xfId="0" applyFont="1" applyFill="1" applyBorder="1" applyAlignment="1">
      <alignment wrapText="1" readingOrder="1"/>
    </xf>
    <xf numFmtId="0" fontId="15" fillId="14" borderId="27" xfId="0" applyFont="1" applyFill="1" applyBorder="1">
      <alignment readingOrder="1"/>
    </xf>
    <xf numFmtId="0" fontId="7" fillId="16" borderId="28" xfId="0" applyFont="1" applyFill="1" applyBorder="1">
      <alignment readingOrder="1"/>
    </xf>
    <xf numFmtId="0" fontId="0" fillId="16" borderId="28" xfId="0" applyFill="1" applyBorder="1">
      <alignment readingOrder="1"/>
    </xf>
    <xf numFmtId="0" fontId="0" fillId="16" borderId="25" xfId="0" applyFill="1" applyBorder="1">
      <alignment readingOrder="1"/>
    </xf>
    <xf numFmtId="0" fontId="27" fillId="0" borderId="0" xfId="18" applyFont="1"/>
    <xf numFmtId="0" fontId="7" fillId="0" borderId="9" xfId="18" applyFont="1" applyBorder="1"/>
    <xf numFmtId="0" fontId="7" fillId="0" borderId="6" xfId="18" applyFont="1" applyBorder="1"/>
    <xf numFmtId="0" fontId="7" fillId="0" borderId="11" xfId="18" applyFont="1" applyBorder="1"/>
    <xf numFmtId="0" fontId="7" fillId="0" borderId="12" xfId="18" applyFont="1" applyBorder="1"/>
    <xf numFmtId="0" fontId="7" fillId="0" borderId="29" xfId="18" applyFont="1" applyBorder="1"/>
    <xf numFmtId="0" fontId="7" fillId="0" borderId="30" xfId="18" applyFont="1" applyBorder="1"/>
    <xf numFmtId="0" fontId="7" fillId="0" borderId="31" xfId="18" applyFont="1" applyBorder="1"/>
    <xf numFmtId="0" fontId="7" fillId="0" borderId="32" xfId="18" applyFont="1" applyBorder="1"/>
    <xf numFmtId="0" fontId="7" fillId="0" borderId="13" xfId="18" applyFont="1" applyBorder="1"/>
    <xf numFmtId="0" fontId="7" fillId="0" borderId="14" xfId="18" applyFont="1" applyBorder="1"/>
    <xf numFmtId="0" fontId="7" fillId="0" borderId="33" xfId="18" applyFont="1" applyBorder="1"/>
    <xf numFmtId="0" fontId="7" fillId="0" borderId="34" xfId="18" applyFont="1" applyBorder="1"/>
    <xf numFmtId="0" fontId="7" fillId="0" borderId="35" xfId="18" applyFont="1" applyBorder="1"/>
    <xf numFmtId="0" fontId="5" fillId="0" borderId="34" xfId="18" applyBorder="1"/>
    <xf numFmtId="0" fontId="5" fillId="0" borderId="35" xfId="18" applyBorder="1"/>
    <xf numFmtId="0" fontId="5" fillId="0" borderId="36" xfId="18" applyBorder="1"/>
    <xf numFmtId="0" fontId="5" fillId="0" borderId="17" xfId="18" applyBorder="1"/>
    <xf numFmtId="0" fontId="5" fillId="0" borderId="37" xfId="18" applyBorder="1"/>
    <xf numFmtId="0" fontId="7" fillId="0" borderId="38" xfId="18" applyFont="1" applyBorder="1"/>
    <xf numFmtId="0" fontId="7" fillId="0" borderId="39" xfId="18" applyFont="1" applyBorder="1"/>
    <xf numFmtId="0" fontId="7" fillId="0" borderId="3" xfId="18" applyFont="1" applyBorder="1"/>
    <xf numFmtId="0" fontId="7" fillId="0" borderId="40" xfId="18" applyFont="1" applyBorder="1"/>
    <xf numFmtId="0" fontId="7" fillId="0" borderId="41" xfId="18" applyFont="1" applyBorder="1"/>
    <xf numFmtId="0" fontId="7" fillId="0" borderId="42" xfId="18" applyFont="1" applyBorder="1"/>
    <xf numFmtId="0" fontId="7" fillId="0" borderId="16" xfId="18" applyFont="1" applyBorder="1"/>
    <xf numFmtId="0" fontId="5" fillId="0" borderId="13" xfId="18" applyBorder="1"/>
    <xf numFmtId="0" fontId="5" fillId="0" borderId="14" xfId="18" applyBorder="1"/>
    <xf numFmtId="0" fontId="5" fillId="0" borderId="33" xfId="18" applyBorder="1"/>
    <xf numFmtId="165" fontId="27" fillId="0" borderId="0" xfId="17" applyNumberFormat="1" applyFont="1"/>
    <xf numFmtId="0" fontId="13" fillId="18" borderId="4" xfId="17" applyFont="1" applyFill="1" applyBorder="1" applyAlignment="1">
      <alignment horizontal="center"/>
    </xf>
    <xf numFmtId="0" fontId="12" fillId="14" borderId="4" xfId="17" applyFont="1" applyFill="1" applyBorder="1" applyAlignment="1">
      <alignment horizontal="center" wrapText="1"/>
    </xf>
    <xf numFmtId="0" fontId="12" fillId="14" borderId="9" xfId="17" applyFont="1" applyFill="1" applyBorder="1" applyAlignment="1">
      <alignment horizontal="center" wrapText="1"/>
    </xf>
    <xf numFmtId="0" fontId="5" fillId="0" borderId="0" xfId="0" applyFont="1">
      <alignment readingOrder="1"/>
    </xf>
    <xf numFmtId="0" fontId="0" fillId="0" borderId="0" xfId="0"/>
    <xf numFmtId="0" fontId="5" fillId="0" borderId="0" xfId="0" applyFont="1"/>
    <xf numFmtId="0" fontId="0" fillId="0" borderId="0" xfId="0" applyFill="1">
      <alignment readingOrder="1"/>
    </xf>
    <xf numFmtId="0" fontId="5" fillId="0" borderId="9" xfId="0" applyFont="1" applyFill="1" applyBorder="1" applyAlignment="1">
      <alignment horizontal="left"/>
    </xf>
    <xf numFmtId="0" fontId="5" fillId="0" borderId="9" xfId="8" applyFont="1" applyFill="1" applyBorder="1" applyAlignment="1"/>
    <xf numFmtId="0" fontId="17" fillId="0" borderId="0" xfId="56" applyFont="1">
      <alignment readingOrder="1"/>
    </xf>
    <xf numFmtId="0" fontId="18" fillId="0" borderId="0" xfId="56" applyFont="1">
      <alignment readingOrder="1"/>
    </xf>
    <xf numFmtId="0" fontId="50" fillId="0" borderId="0" xfId="79" applyFont="1">
      <alignment readingOrder="1"/>
    </xf>
    <xf numFmtId="0" fontId="5" fillId="43" borderId="0" xfId="79" applyFill="1" applyAlignment="1">
      <alignment readingOrder="1"/>
    </xf>
    <xf numFmtId="0" fontId="15" fillId="0" borderId="0" xfId="79" applyFont="1" applyFill="1" applyAlignment="1">
      <alignment readingOrder="1"/>
    </xf>
    <xf numFmtId="0" fontId="5" fillId="0" borderId="0" xfId="79" applyFill="1" applyAlignment="1">
      <alignment readingOrder="1"/>
    </xf>
    <xf numFmtId="0" fontId="5" fillId="0" borderId="0" xfId="79" applyAlignment="1">
      <alignment readingOrder="1"/>
    </xf>
    <xf numFmtId="0" fontId="5" fillId="0" borderId="0" xfId="79" applyFill="1" applyBorder="1" applyAlignment="1">
      <alignment readingOrder="1"/>
    </xf>
    <xf numFmtId="0" fontId="5" fillId="7" borderId="9" xfId="79" applyFill="1" applyBorder="1" applyAlignment="1">
      <alignment wrapText="1" readingOrder="1"/>
    </xf>
    <xf numFmtId="0" fontId="5" fillId="7" borderId="9" xfId="79" applyFont="1" applyFill="1" applyBorder="1" applyAlignment="1">
      <alignment wrapText="1" readingOrder="1"/>
    </xf>
    <xf numFmtId="0" fontId="5" fillId="0" borderId="0" xfId="79" applyFill="1" applyBorder="1" applyAlignment="1">
      <alignment wrapText="1" readingOrder="1"/>
    </xf>
    <xf numFmtId="0" fontId="5" fillId="0" borderId="0" xfId="79" applyFont="1" applyFill="1" applyBorder="1" applyAlignment="1">
      <alignment horizontal="left" wrapText="1" readingOrder="1"/>
    </xf>
    <xf numFmtId="0" fontId="15" fillId="12" borderId="9" xfId="79" applyFont="1" applyFill="1" applyBorder="1" applyAlignment="1">
      <alignment vertical="center" wrapText="1" readingOrder="1"/>
    </xf>
    <xf numFmtId="0" fontId="5" fillId="0" borderId="0" xfId="79" applyBorder="1" applyAlignment="1">
      <alignment vertical="center" readingOrder="1"/>
    </xf>
    <xf numFmtId="0" fontId="5" fillId="0" borderId="9" xfId="80" applyFont="1" applyBorder="1" applyAlignment="1">
      <alignment vertical="center" wrapText="1"/>
    </xf>
    <xf numFmtId="0" fontId="15" fillId="13" borderId="3" xfId="79" applyFont="1" applyFill="1" applyBorder="1" applyAlignment="1">
      <alignment vertical="center" wrapText="1" readingOrder="1"/>
    </xf>
    <xf numFmtId="0" fontId="5" fillId="0" borderId="0" xfId="79" applyFont="1" applyBorder="1" applyAlignment="1">
      <alignment horizontal="center" vertical="center" wrapText="1" readingOrder="1"/>
    </xf>
    <xf numFmtId="0" fontId="15" fillId="13" borderId="9" xfId="79" applyFont="1" applyFill="1" applyBorder="1" applyAlignment="1">
      <alignment horizontal="center" vertical="center" wrapText="1" readingOrder="1"/>
    </xf>
    <xf numFmtId="0" fontId="5" fillId="0" borderId="9" xfId="80" applyFont="1" applyFill="1" applyBorder="1" applyAlignment="1">
      <alignment vertical="center" wrapText="1"/>
    </xf>
    <xf numFmtId="0" fontId="5" fillId="0" borderId="9" xfId="80" applyBorder="1" applyAlignment="1">
      <alignment vertical="center" wrapText="1"/>
    </xf>
    <xf numFmtId="0" fontId="5" fillId="44" borderId="9" xfId="80" applyFill="1" applyBorder="1" applyAlignment="1">
      <alignment vertical="center" wrapText="1"/>
    </xf>
    <xf numFmtId="0" fontId="5" fillId="44" borderId="9" xfId="80" applyFont="1" applyFill="1" applyBorder="1" applyAlignment="1">
      <alignment vertical="center" wrapText="1"/>
    </xf>
    <xf numFmtId="0" fontId="15" fillId="9" borderId="2" xfId="79" applyFont="1" applyFill="1" applyBorder="1" applyAlignment="1">
      <alignment vertical="center" readingOrder="1"/>
    </xf>
    <xf numFmtId="0" fontId="15" fillId="9" borderId="54" xfId="79" applyFont="1" applyFill="1" applyBorder="1" applyAlignment="1">
      <alignment vertical="center" readingOrder="1"/>
    </xf>
    <xf numFmtId="0" fontId="5" fillId="9" borderId="10" xfId="79" applyFill="1" applyBorder="1" applyAlignment="1">
      <alignment vertical="center" wrapText="1" readingOrder="1"/>
    </xf>
    <xf numFmtId="0" fontId="24" fillId="0" borderId="0" xfId="79" applyFont="1" applyAlignment="1">
      <alignment vertical="center" wrapText="1" readingOrder="1"/>
    </xf>
    <xf numFmtId="0" fontId="5" fillId="0" borderId="0" xfId="79" applyAlignment="1">
      <alignment vertical="center" wrapText="1" readingOrder="1"/>
    </xf>
    <xf numFmtId="0" fontId="15" fillId="9" borderId="9" xfId="79" applyFont="1" applyFill="1" applyBorder="1" applyAlignment="1">
      <alignment horizontal="center" vertical="center" wrapText="1" readingOrder="1"/>
    </xf>
    <xf numFmtId="2" fontId="5" fillId="0" borderId="3" xfId="80" applyNumberFormat="1" applyFont="1" applyFill="1" applyBorder="1" applyAlignment="1">
      <alignment horizontal="center" wrapText="1"/>
    </xf>
    <xf numFmtId="2" fontId="5" fillId="0" borderId="7" xfId="80" applyNumberFormat="1" applyFont="1" applyFill="1" applyBorder="1" applyAlignment="1">
      <alignment horizontal="center" vertical="center" wrapText="1"/>
    </xf>
    <xf numFmtId="2" fontId="5" fillId="0" borderId="6" xfId="80" applyNumberFormat="1" applyFont="1" applyFill="1" applyBorder="1" applyAlignment="1">
      <alignment horizontal="center" vertical="top" wrapText="1"/>
    </xf>
    <xf numFmtId="0" fontId="15" fillId="45" borderId="8" xfId="79" applyFont="1" applyFill="1" applyBorder="1" applyAlignment="1">
      <alignment vertical="top" readingOrder="1"/>
    </xf>
    <xf numFmtId="0" fontId="15" fillId="45" borderId="4" xfId="79" applyFont="1" applyFill="1" applyBorder="1" applyAlignment="1">
      <alignment vertical="top" readingOrder="1"/>
    </xf>
    <xf numFmtId="0" fontId="15" fillId="45" borderId="2" xfId="79" applyFont="1" applyFill="1" applyBorder="1" applyAlignment="1">
      <alignment horizontal="center" vertical="center" readingOrder="1"/>
    </xf>
    <xf numFmtId="0" fontId="15" fillId="45" borderId="3" xfId="79" applyFont="1" applyFill="1" applyBorder="1" applyAlignment="1">
      <alignment horizontal="center" vertical="center" readingOrder="1"/>
    </xf>
    <xf numFmtId="0" fontId="15" fillId="45" borderId="9" xfId="79" applyFont="1" applyFill="1" applyBorder="1" applyAlignment="1">
      <alignment horizontal="center" vertical="center" readingOrder="1"/>
    </xf>
    <xf numFmtId="0" fontId="15" fillId="45" borderId="3" xfId="79" applyFont="1" applyFill="1" applyBorder="1" applyAlignment="1">
      <alignment horizontal="center" vertical="center" wrapText="1" readingOrder="1"/>
    </xf>
    <xf numFmtId="0" fontId="5" fillId="0" borderId="9" xfId="79" applyFill="1" applyBorder="1" applyAlignment="1">
      <alignment horizontal="left" vertical="center" wrapText="1" readingOrder="1"/>
    </xf>
    <xf numFmtId="0" fontId="5" fillId="0" borderId="9" xfId="79" applyBorder="1" applyAlignment="1">
      <alignment horizontal="center" vertical="center" readingOrder="1"/>
    </xf>
    <xf numFmtId="0" fontId="5" fillId="0" borderId="9" xfId="79" applyFill="1" applyBorder="1" applyAlignment="1">
      <alignment vertical="center" readingOrder="1"/>
    </xf>
    <xf numFmtId="0" fontId="5" fillId="0" borderId="9" xfId="79" applyBorder="1" applyAlignment="1">
      <alignment readingOrder="1"/>
    </xf>
    <xf numFmtId="0" fontId="5" fillId="0" borderId="9" xfId="79" applyBorder="1" applyAlignment="1">
      <alignment vertical="center" wrapText="1" readingOrder="1"/>
    </xf>
    <xf numFmtId="0" fontId="5" fillId="0" borderId="9" xfId="79" applyBorder="1" applyAlignment="1">
      <alignment vertical="top" wrapText="1" readingOrder="1"/>
    </xf>
    <xf numFmtId="0" fontId="5" fillId="0" borderId="0" xfId="79" applyAlignment="1">
      <alignment vertical="top" wrapText="1" readingOrder="1"/>
    </xf>
    <xf numFmtId="0" fontId="5" fillId="0" borderId="5" xfId="79" applyBorder="1" applyAlignment="1">
      <alignment horizontal="center" vertical="center" wrapText="1" readingOrder="1"/>
    </xf>
    <xf numFmtId="0" fontId="5" fillId="0" borderId="9" xfId="79" applyBorder="1" applyAlignment="1">
      <alignment horizontal="center" vertical="center" wrapText="1" readingOrder="1"/>
    </xf>
    <xf numFmtId="0" fontId="5" fillId="16" borderId="9" xfId="79" applyFill="1" applyBorder="1" applyAlignment="1">
      <alignment horizontal="left" vertical="center" wrapText="1" readingOrder="1"/>
    </xf>
    <xf numFmtId="0" fontId="5" fillId="16" borderId="6" xfId="79" applyFill="1" applyBorder="1" applyAlignment="1">
      <alignment vertical="center" wrapText="1" readingOrder="1"/>
    </xf>
    <xf numFmtId="0" fontId="5" fillId="16" borderId="6" xfId="79" applyFill="1" applyBorder="1" applyAlignment="1">
      <alignment vertical="top" wrapText="1" readingOrder="1"/>
    </xf>
    <xf numFmtId="0" fontId="5" fillId="16" borderId="6" xfId="79" applyFont="1" applyFill="1" applyBorder="1" applyAlignment="1">
      <alignment horizontal="center" vertical="top" wrapText="1" readingOrder="1"/>
    </xf>
    <xf numFmtId="9" fontId="5" fillId="16" borderId="6" xfId="79" applyNumberFormat="1" applyFill="1" applyBorder="1" applyAlignment="1">
      <alignment horizontal="center" vertical="center" wrapText="1" readingOrder="1"/>
    </xf>
    <xf numFmtId="0" fontId="5" fillId="0" borderId="55" xfId="79" applyBorder="1" applyAlignment="1">
      <alignment horizontal="center" vertical="center" wrapText="1" readingOrder="1"/>
    </xf>
    <xf numFmtId="0" fontId="5" fillId="0" borderId="0" xfId="79" applyBorder="1" applyAlignment="1">
      <alignment horizontal="center" vertical="center" wrapText="1" readingOrder="1"/>
    </xf>
    <xf numFmtId="0" fontId="5" fillId="0" borderId="0" xfId="79" applyBorder="1" applyAlignment="1">
      <alignment horizontal="left" vertical="center" wrapText="1" readingOrder="1"/>
    </xf>
    <xf numFmtId="0" fontId="5" fillId="0" borderId="0" xfId="79" applyBorder="1" applyAlignment="1">
      <alignment vertical="top" wrapText="1" readingOrder="1"/>
    </xf>
    <xf numFmtId="0" fontId="5" fillId="0" borderId="0" xfId="79" applyFont="1" applyBorder="1" applyAlignment="1">
      <alignment horizontal="center" vertical="top" wrapText="1" readingOrder="1"/>
    </xf>
    <xf numFmtId="9" fontId="5" fillId="0" borderId="0" xfId="79" applyNumberFormat="1" applyBorder="1" applyAlignment="1">
      <alignment horizontal="center" vertical="center" wrapText="1" readingOrder="1"/>
    </xf>
    <xf numFmtId="0" fontId="15" fillId="46" borderId="9" xfId="79" applyFont="1" applyFill="1" applyBorder="1" applyAlignment="1">
      <alignment vertical="top" readingOrder="1"/>
    </xf>
    <xf numFmtId="0" fontId="5" fillId="0" borderId="0" xfId="79" applyFont="1" applyBorder="1" applyAlignment="1">
      <alignment vertical="top" wrapText="1" readingOrder="1"/>
    </xf>
    <xf numFmtId="0" fontId="15" fillId="46" borderId="9" xfId="79" applyFont="1" applyFill="1" applyBorder="1" applyAlignment="1">
      <alignment horizontal="center" vertical="center" readingOrder="1"/>
    </xf>
    <xf numFmtId="0" fontId="15" fillId="46" borderId="9" xfId="79" applyFont="1" applyFill="1" applyBorder="1" applyAlignment="1">
      <alignment horizontal="center" vertical="top" wrapText="1" readingOrder="1"/>
    </xf>
    <xf numFmtId="0" fontId="5" fillId="46" borderId="9" xfId="79" applyFill="1" applyBorder="1" applyAlignment="1">
      <alignment vertical="top" wrapText="1" readingOrder="1"/>
    </xf>
    <xf numFmtId="0" fontId="15" fillId="46" borderId="9" xfId="79" applyFont="1" applyFill="1" applyBorder="1" applyAlignment="1">
      <alignment horizontal="center" vertical="center" wrapText="1" readingOrder="1"/>
    </xf>
    <xf numFmtId="0" fontId="5" fillId="46" borderId="3" xfId="79" applyFill="1" applyBorder="1" applyAlignment="1">
      <alignment vertical="top" wrapText="1" readingOrder="1"/>
    </xf>
    <xf numFmtId="0" fontId="5" fillId="0" borderId="9" xfId="79" applyBorder="1" applyAlignment="1">
      <alignment horizontal="left" vertical="center" wrapText="1" readingOrder="1"/>
    </xf>
    <xf numFmtId="0" fontId="5" fillId="46" borderId="55" xfId="79" applyFill="1" applyBorder="1" applyAlignment="1">
      <alignment vertical="top" wrapText="1" readingOrder="1"/>
    </xf>
    <xf numFmtId="0" fontId="5" fillId="46" borderId="10" xfId="79" applyFill="1" applyBorder="1" applyAlignment="1">
      <alignment vertical="top" wrapText="1" readingOrder="1"/>
    </xf>
    <xf numFmtId="0" fontId="5" fillId="46" borderId="7" xfId="79" applyFill="1" applyBorder="1" applyAlignment="1">
      <alignment vertical="top" wrapText="1" readingOrder="1"/>
    </xf>
    <xf numFmtId="0" fontId="5" fillId="46" borderId="56" xfId="79" applyFill="1" applyBorder="1" applyAlignment="1">
      <alignment vertical="top" wrapText="1" readingOrder="1"/>
    </xf>
    <xf numFmtId="0" fontId="5" fillId="46" borderId="6" xfId="79" applyFill="1" applyBorder="1" applyAlignment="1">
      <alignment vertical="top" wrapText="1" readingOrder="1"/>
    </xf>
    <xf numFmtId="0" fontId="5" fillId="46" borderId="5" xfId="79" applyFill="1" applyBorder="1" applyAlignment="1">
      <alignment vertical="top" wrapText="1" readingOrder="1"/>
    </xf>
    <xf numFmtId="0" fontId="5" fillId="46" borderId="57" xfId="79" applyFill="1" applyBorder="1" applyAlignment="1">
      <alignment vertical="top" wrapText="1" readingOrder="1"/>
    </xf>
    <xf numFmtId="0" fontId="30" fillId="0" borderId="9" xfId="19" applyFont="1" applyBorder="1" applyAlignment="1">
      <alignment wrapText="1"/>
    </xf>
    <xf numFmtId="0" fontId="30" fillId="0" borderId="0" xfId="129" applyFont="1">
      <alignment readingOrder="1"/>
    </xf>
    <xf numFmtId="0" fontId="30" fillId="0" borderId="0" xfId="19" applyFont="1" applyAlignment="1">
      <alignment wrapText="1"/>
    </xf>
    <xf numFmtId="0" fontId="57" fillId="0" borderId="0" xfId="19" applyFont="1" applyAlignment="1">
      <alignment wrapText="1"/>
    </xf>
    <xf numFmtId="0" fontId="57" fillId="0" borderId="0" xfId="129" applyFont="1">
      <alignment readingOrder="1"/>
    </xf>
    <xf numFmtId="0" fontId="31" fillId="7" borderId="58" xfId="19" applyFont="1" applyFill="1" applyBorder="1" applyAlignment="1">
      <alignment horizontal="left" wrapText="1"/>
    </xf>
    <xf numFmtId="1" fontId="5" fillId="0" borderId="4" xfId="19" applyNumberFormat="1" applyFont="1" applyFill="1" applyBorder="1" applyAlignment="1">
      <alignment horizontal="center" vertical="top" wrapText="1"/>
    </xf>
    <xf numFmtId="173" fontId="5" fillId="0" borderId="9" xfId="19" applyNumberFormat="1" applyFont="1" applyFill="1" applyBorder="1" applyAlignment="1">
      <alignment vertical="top" wrapText="1"/>
    </xf>
    <xf numFmtId="173" fontId="5" fillId="0" borderId="4" xfId="19" applyNumberFormat="1" applyFont="1" applyFill="1" applyBorder="1" applyAlignment="1">
      <alignment horizontal="left" vertical="top" wrapText="1"/>
    </xf>
    <xf numFmtId="1" fontId="5" fillId="0" borderId="4" xfId="4" applyNumberFormat="1" applyFont="1" applyFill="1" applyBorder="1" applyAlignment="1">
      <alignment horizontal="center" vertical="top" wrapText="1"/>
    </xf>
    <xf numFmtId="174" fontId="5" fillId="0" borderId="4" xfId="4" applyNumberFormat="1" applyFont="1" applyFill="1" applyBorder="1" applyAlignment="1">
      <alignment horizontal="center" vertical="top" wrapText="1"/>
    </xf>
    <xf numFmtId="166" fontId="5" fillId="0" borderId="4" xfId="4" applyNumberFormat="1" applyFont="1" applyFill="1" applyBorder="1" applyAlignment="1">
      <alignment horizontal="center" vertical="top" wrapText="1"/>
    </xf>
    <xf numFmtId="0" fontId="5" fillId="0" borderId="0" xfId="20" applyFont="1" applyAlignment="1">
      <alignment wrapText="1"/>
    </xf>
    <xf numFmtId="0" fontId="15" fillId="7" borderId="11" xfId="16" applyFont="1" applyFill="1" applyBorder="1" applyAlignment="1">
      <alignment horizontal="left" wrapText="1"/>
    </xf>
    <xf numFmtId="0" fontId="15" fillId="7" borderId="15" xfId="16" applyFont="1" applyFill="1" applyBorder="1" applyAlignment="1">
      <alignment horizontal="left" wrapText="1"/>
    </xf>
    <xf numFmtId="0" fontId="58" fillId="48" borderId="0" xfId="0" applyFont="1" applyFill="1"/>
    <xf numFmtId="1" fontId="5" fillId="0" borderId="6" xfId="16" applyNumberFormat="1" applyFont="1" applyBorder="1" applyAlignment="1">
      <alignment wrapText="1"/>
    </xf>
    <xf numFmtId="1" fontId="5" fillId="47" borderId="6" xfId="16" applyNumberFormat="1" applyFont="1" applyFill="1" applyBorder="1" applyAlignment="1">
      <alignment wrapText="1"/>
    </xf>
    <xf numFmtId="0" fontId="5" fillId="0" borderId="6" xfId="16" applyFont="1" applyBorder="1" applyAlignment="1">
      <alignment wrapText="1"/>
    </xf>
    <xf numFmtId="49" fontId="5" fillId="0" borderId="0" xfId="0" applyNumberFormat="1" applyFont="1"/>
    <xf numFmtId="0" fontId="5" fillId="0" borderId="0" xfId="0" applyFont="1" applyAlignment="1">
      <alignment wrapText="1"/>
    </xf>
    <xf numFmtId="0" fontId="5" fillId="0" borderId="0" xfId="129" applyFont="1">
      <alignment readingOrder="1"/>
    </xf>
    <xf numFmtId="49" fontId="59" fillId="0" borderId="0" xfId="0" applyNumberFormat="1" applyFont="1"/>
    <xf numFmtId="0" fontId="59" fillId="0" borderId="0" xfId="0" applyFont="1"/>
    <xf numFmtId="0" fontId="60" fillId="49" borderId="4" xfId="0" applyFont="1" applyFill="1" applyBorder="1" applyAlignment="1">
      <alignment horizontal="center" wrapText="1" readingOrder="1"/>
    </xf>
    <xf numFmtId="0" fontId="60" fillId="49" borderId="8" xfId="0" applyFont="1" applyFill="1" applyBorder="1" applyAlignment="1">
      <alignment horizontal="left" wrapText="1" readingOrder="1"/>
    </xf>
    <xf numFmtId="0" fontId="60" fillId="50" borderId="1" xfId="0" applyFont="1" applyFill="1" applyBorder="1" applyAlignment="1">
      <alignment horizontal="center" wrapText="1" readingOrder="1"/>
    </xf>
    <xf numFmtId="0" fontId="60" fillId="50" borderId="4" xfId="0" applyFont="1" applyFill="1" applyBorder="1" applyAlignment="1">
      <alignment horizontal="center" wrapText="1" readingOrder="1"/>
    </xf>
    <xf numFmtId="0" fontId="60" fillId="50" borderId="8" xfId="0" applyFont="1" applyFill="1" applyBorder="1" applyAlignment="1">
      <alignment horizontal="left" readingOrder="1"/>
    </xf>
    <xf numFmtId="0" fontId="0" fillId="0" borderId="60" xfId="0" applyBorder="1">
      <alignment readingOrder="1"/>
    </xf>
    <xf numFmtId="0" fontId="0" fillId="0" borderId="61" xfId="0" applyBorder="1">
      <alignment readingOrder="1"/>
    </xf>
    <xf numFmtId="0" fontId="0" fillId="0" borderId="62" xfId="0" applyBorder="1">
      <alignment readingOrder="1"/>
    </xf>
    <xf numFmtId="0" fontId="0" fillId="0" borderId="63" xfId="0" applyBorder="1">
      <alignment readingOrder="1"/>
    </xf>
    <xf numFmtId="0" fontId="0" fillId="0" borderId="0" xfId="0" applyBorder="1">
      <alignment readingOrder="1"/>
    </xf>
    <xf numFmtId="0" fontId="0" fillId="0" borderId="64" xfId="0" applyBorder="1">
      <alignment readingOrder="1"/>
    </xf>
    <xf numFmtId="0" fontId="0" fillId="0" borderId="65" xfId="0" applyBorder="1">
      <alignment readingOrder="1"/>
    </xf>
    <xf numFmtId="0" fontId="0" fillId="0" borderId="59" xfId="0" applyBorder="1">
      <alignment readingOrder="1"/>
    </xf>
    <xf numFmtId="0" fontId="0" fillId="0" borderId="66" xfId="0" applyBorder="1">
      <alignment readingOrder="1"/>
    </xf>
    <xf numFmtId="0" fontId="12" fillId="51" borderId="18" xfId="0" applyFont="1" applyFill="1" applyBorder="1" applyAlignment="1">
      <alignment horizontal="centerContinuous" wrapText="1" readingOrder="1"/>
    </xf>
    <xf numFmtId="0" fontId="12" fillId="51" borderId="19" xfId="0" applyFont="1" applyFill="1" applyBorder="1" applyAlignment="1">
      <alignment horizontal="centerContinuous" wrapText="1" readingOrder="1"/>
    </xf>
    <xf numFmtId="0" fontId="12" fillId="3" borderId="4" xfId="0" applyFont="1" applyFill="1" applyBorder="1" applyAlignment="1">
      <alignment horizontal="center" wrapText="1" readingOrder="1"/>
    </xf>
    <xf numFmtId="0" fontId="12" fillId="3" borderId="9" xfId="0" applyFont="1" applyFill="1" applyBorder="1" applyAlignment="1">
      <alignment horizontal="center" wrapText="1" readingOrder="1"/>
    </xf>
    <xf numFmtId="165" fontId="0" fillId="0" borderId="0" xfId="0" applyNumberFormat="1">
      <alignment readingOrder="1"/>
    </xf>
    <xf numFmtId="165" fontId="12" fillId="51" borderId="18" xfId="0" applyNumberFormat="1" applyFont="1" applyFill="1" applyBorder="1" applyAlignment="1">
      <alignment horizontal="centerContinuous" wrapText="1" readingOrder="1"/>
    </xf>
    <xf numFmtId="165" fontId="12" fillId="51" borderId="20" xfId="0" applyNumberFormat="1" applyFont="1" applyFill="1" applyBorder="1" applyAlignment="1">
      <alignment horizontal="centerContinuous" wrapText="1" readingOrder="1"/>
    </xf>
    <xf numFmtId="165" fontId="12" fillId="51" borderId="19" xfId="0" applyNumberFormat="1" applyFont="1" applyFill="1" applyBorder="1" applyAlignment="1">
      <alignment horizontal="centerContinuous" wrapText="1" readingOrder="1"/>
    </xf>
    <xf numFmtId="165" fontId="12" fillId="51" borderId="1" xfId="0" applyNumberFormat="1" applyFont="1" applyFill="1" applyBorder="1" applyAlignment="1">
      <alignment horizontal="center" wrapText="1" readingOrder="1"/>
    </xf>
    <xf numFmtId="165" fontId="12" fillId="3" borderId="4" xfId="0" applyNumberFormat="1" applyFont="1" applyFill="1" applyBorder="1" applyAlignment="1">
      <alignment horizontal="center" wrapText="1" readingOrder="1"/>
    </xf>
    <xf numFmtId="175" fontId="12" fillId="3" borderId="4" xfId="0" applyNumberFormat="1" applyFont="1" applyFill="1" applyBorder="1" applyAlignment="1">
      <alignment horizontal="center" wrapText="1" readingOrder="1"/>
    </xf>
    <xf numFmtId="165" fontId="11" fillId="0" borderId="0" xfId="0" applyNumberFormat="1" applyFont="1">
      <alignment readingOrder="1"/>
    </xf>
    <xf numFmtId="165" fontId="61" fillId="0" borderId="0" xfId="0" applyNumberFormat="1" applyFont="1">
      <alignment readingOrder="1"/>
    </xf>
    <xf numFmtId="165" fontId="12" fillId="2" borderId="1" xfId="0" applyNumberFormat="1" applyFont="1" applyFill="1" applyBorder="1" applyAlignment="1">
      <alignment horizontal="center" wrapText="1" readingOrder="1"/>
    </xf>
    <xf numFmtId="165" fontId="12" fillId="2" borderId="4" xfId="0" applyNumberFormat="1" applyFont="1" applyFill="1" applyBorder="1" applyAlignment="1">
      <alignment horizontal="center" wrapText="1" readingOrder="1"/>
    </xf>
    <xf numFmtId="0" fontId="12" fillId="2" borderId="18" xfId="0" applyFont="1" applyFill="1" applyBorder="1" applyAlignment="1">
      <alignment horizontal="centerContinuous" wrapText="1" readingOrder="1"/>
    </xf>
    <xf numFmtId="0" fontId="12" fillId="2" borderId="20" xfId="0" applyFont="1" applyFill="1" applyBorder="1" applyAlignment="1">
      <alignment horizontal="centerContinuous" wrapText="1" readingOrder="1"/>
    </xf>
    <xf numFmtId="165" fontId="12" fillId="2" borderId="20" xfId="0" applyNumberFormat="1" applyFont="1" applyFill="1" applyBorder="1" applyAlignment="1">
      <alignment horizontal="centerContinuous" wrapText="1" readingOrder="1"/>
    </xf>
    <xf numFmtId="165" fontId="12" fillId="2" borderId="19" xfId="0" applyNumberFormat="1" applyFont="1" applyFill="1" applyBorder="1" applyAlignment="1">
      <alignment horizontal="centerContinuous" wrapText="1" readingOrder="1"/>
    </xf>
    <xf numFmtId="165" fontId="12" fillId="2" borderId="18" xfId="0" applyNumberFormat="1" applyFont="1" applyFill="1" applyBorder="1" applyAlignment="1">
      <alignment horizontal="centerContinuous" wrapText="1" readingOrder="1"/>
    </xf>
    <xf numFmtId="1" fontId="0" fillId="0" borderId="0" xfId="0" applyNumberFormat="1">
      <alignment readingOrder="1"/>
    </xf>
    <xf numFmtId="176" fontId="0" fillId="0" borderId="0" xfId="0" applyNumberFormat="1">
      <alignment readingOrder="1"/>
    </xf>
    <xf numFmtId="176" fontId="15" fillId="0" borderId="0" xfId="0" applyNumberFormat="1" applyFont="1">
      <alignment readingOrder="1"/>
    </xf>
    <xf numFmtId="176" fontId="61" fillId="0" borderId="0" xfId="0" applyNumberFormat="1" applyFont="1">
      <alignment readingOrder="1"/>
    </xf>
    <xf numFmtId="0" fontId="12" fillId="2" borderId="9" xfId="0" applyFont="1" applyFill="1" applyBorder="1" applyAlignment="1">
      <alignment horizontal="center" wrapText="1" readingOrder="1"/>
    </xf>
    <xf numFmtId="0" fontId="12" fillId="2" borderId="4" xfId="0" applyFont="1" applyFill="1" applyBorder="1" applyAlignment="1">
      <alignment horizontal="center" wrapText="1" readingOrder="1"/>
    </xf>
    <xf numFmtId="165" fontId="12" fillId="2" borderId="11" xfId="0" applyNumberFormat="1" applyFont="1" applyFill="1" applyBorder="1" applyAlignment="1">
      <alignment horizontal="centerContinuous" wrapText="1" readingOrder="1"/>
    </xf>
    <xf numFmtId="165" fontId="12" fillId="2" borderId="67" xfId="0" applyNumberFormat="1" applyFont="1" applyFill="1" applyBorder="1" applyAlignment="1">
      <alignment horizontal="centerContinuous" wrapText="1" readingOrder="1"/>
    </xf>
    <xf numFmtId="165" fontId="15" fillId="0" borderId="0" xfId="0" applyNumberFormat="1" applyFont="1">
      <alignment readingOrder="1"/>
    </xf>
    <xf numFmtId="0" fontId="5" fillId="0" borderId="0" xfId="79">
      <alignment readingOrder="1"/>
    </xf>
    <xf numFmtId="0" fontId="5" fillId="0" borderId="0" xfId="79" applyFont="1">
      <alignment readingOrder="1"/>
    </xf>
    <xf numFmtId="0" fontId="1" fillId="0" borderId="0" xfId="190"/>
    <xf numFmtId="0" fontId="5" fillId="12" borderId="61" xfId="190" applyFont="1" applyFill="1" applyBorder="1" applyAlignment="1">
      <alignment horizontal="center" wrapText="1"/>
    </xf>
    <xf numFmtId="0" fontId="1" fillId="0" borderId="63" xfId="190" applyBorder="1"/>
    <xf numFmtId="0" fontId="5" fillId="0" borderId="0" xfId="190" applyFont="1" applyBorder="1" applyAlignment="1">
      <alignment horizontal="center"/>
    </xf>
    <xf numFmtId="3" fontId="5" fillId="46" borderId="0" xfId="190" applyNumberFormat="1" applyFont="1" applyFill="1" applyBorder="1" applyAlignment="1">
      <alignment horizontal="right"/>
    </xf>
    <xf numFmtId="167" fontId="21" fillId="0" borderId="0" xfId="191" applyNumberFormat="1" applyFont="1"/>
    <xf numFmtId="1" fontId="1" fillId="0" borderId="0" xfId="190" applyNumberFormat="1"/>
    <xf numFmtId="167" fontId="21" fillId="0" borderId="0" xfId="1" applyNumberFormat="1" applyFont="1"/>
    <xf numFmtId="177" fontId="21" fillId="0" borderId="0" xfId="1" applyNumberFormat="1" applyFont="1"/>
    <xf numFmtId="43" fontId="1" fillId="0" borderId="0" xfId="190" applyNumberFormat="1"/>
    <xf numFmtId="43" fontId="21" fillId="0" borderId="0" xfId="1" applyNumberFormat="1" applyFont="1"/>
    <xf numFmtId="0" fontId="1" fillId="8" borderId="0" xfId="190" applyFill="1"/>
    <xf numFmtId="0" fontId="1" fillId="0" borderId="0" xfId="190" applyFill="1"/>
    <xf numFmtId="44" fontId="1" fillId="0" borderId="0" xfId="190" applyNumberFormat="1" applyFill="1"/>
    <xf numFmtId="0" fontId="1" fillId="12" borderId="60" xfId="190" applyFill="1" applyBorder="1"/>
    <xf numFmtId="0" fontId="1" fillId="12" borderId="61" xfId="190" applyFill="1" applyBorder="1" applyAlignment="1">
      <alignment wrapText="1"/>
    </xf>
    <xf numFmtId="0" fontId="1" fillId="12" borderId="62" xfId="190" applyFill="1" applyBorder="1" applyAlignment="1">
      <alignment wrapText="1"/>
    </xf>
    <xf numFmtId="0" fontId="1" fillId="12" borderId="0" xfId="190" applyFill="1" applyBorder="1" applyAlignment="1">
      <alignment wrapText="1"/>
    </xf>
    <xf numFmtId="2" fontId="1" fillId="46" borderId="0" xfId="190" applyNumberFormat="1" applyFill="1" applyBorder="1" applyAlignment="1">
      <alignment wrapText="1"/>
    </xf>
    <xf numFmtId="166" fontId="21" fillId="46" borderId="0" xfId="192" applyNumberFormat="1" applyFont="1" applyFill="1" applyBorder="1" applyAlignment="1">
      <alignment wrapText="1"/>
    </xf>
    <xf numFmtId="166" fontId="21" fillId="46" borderId="64" xfId="192" applyNumberFormat="1" applyFont="1" applyFill="1" applyBorder="1" applyAlignment="1">
      <alignment wrapText="1"/>
    </xf>
    <xf numFmtId="167" fontId="21" fillId="0" borderId="0" xfId="191" applyNumberFormat="1" applyFont="1" applyFill="1"/>
    <xf numFmtId="44" fontId="21" fillId="0" borderId="0" xfId="192" applyNumberFormat="1" applyFont="1" applyFill="1"/>
    <xf numFmtId="166" fontId="21" fillId="0" borderId="0" xfId="192" applyNumberFormat="1" applyFont="1" applyFill="1"/>
    <xf numFmtId="44" fontId="21" fillId="0" borderId="0" xfId="192" applyFont="1" applyFill="1"/>
    <xf numFmtId="0" fontId="1" fillId="0" borderId="65" xfId="190" applyBorder="1"/>
    <xf numFmtId="2" fontId="1" fillId="46" borderId="59" xfId="190" applyNumberFormat="1" applyFill="1" applyBorder="1" applyAlignment="1">
      <alignment wrapText="1"/>
    </xf>
    <xf numFmtId="166" fontId="21" fillId="46" borderId="59" xfId="192" applyNumberFormat="1" applyFont="1" applyFill="1" applyBorder="1"/>
    <xf numFmtId="166" fontId="21" fillId="46" borderId="59" xfId="192" applyNumberFormat="1" applyFont="1" applyFill="1" applyBorder="1" applyAlignment="1">
      <alignment wrapText="1"/>
    </xf>
    <xf numFmtId="166" fontId="21" fillId="46" borderId="66" xfId="192" applyNumberFormat="1" applyFont="1" applyFill="1" applyBorder="1" applyAlignment="1">
      <alignment wrapText="1"/>
    </xf>
    <xf numFmtId="0" fontId="5" fillId="12" borderId="60" xfId="190" applyFont="1" applyFill="1" applyBorder="1"/>
    <xf numFmtId="0" fontId="5" fillId="12" borderId="62" xfId="190" applyFont="1" applyFill="1" applyBorder="1" applyAlignment="1">
      <alignment horizontal="center" wrapText="1"/>
    </xf>
    <xf numFmtId="0" fontId="5" fillId="53" borderId="0" xfId="190" applyFont="1" applyFill="1" applyBorder="1" applyAlignment="1">
      <alignment horizontal="center" wrapText="1"/>
    </xf>
    <xf numFmtId="0" fontId="5" fillId="12" borderId="0" xfId="190" applyFont="1" applyFill="1" applyBorder="1" applyAlignment="1">
      <alignment horizontal="center" wrapText="1"/>
    </xf>
    <xf numFmtId="179" fontId="5" fillId="46" borderId="0" xfId="190" applyNumberFormat="1" applyFont="1" applyFill="1" applyBorder="1" applyAlignment="1">
      <alignment horizontal="right"/>
    </xf>
    <xf numFmtId="9" fontId="5" fillId="46" borderId="0" xfId="190" applyNumberFormat="1" applyFont="1" applyFill="1" applyBorder="1" applyAlignment="1">
      <alignment horizontal="right"/>
    </xf>
    <xf numFmtId="43" fontId="5" fillId="0" borderId="0" xfId="1" applyFont="1" applyFill="1" applyBorder="1" applyAlignment="1">
      <alignment horizontal="right"/>
    </xf>
    <xf numFmtId="167" fontId="21" fillId="46" borderId="0" xfId="191" applyNumberFormat="1" applyFont="1" applyFill="1" applyBorder="1"/>
    <xf numFmtId="167" fontId="21" fillId="46" borderId="64" xfId="191" applyNumberFormat="1" applyFont="1" applyFill="1" applyBorder="1"/>
    <xf numFmtId="164" fontId="21" fillId="46" borderId="0" xfId="139" applyNumberFormat="1" applyFont="1" applyFill="1"/>
    <xf numFmtId="0" fontId="5" fillId="54" borderId="63" xfId="190" applyFont="1" applyFill="1" applyBorder="1"/>
    <xf numFmtId="0" fontId="5" fillId="54" borderId="0" xfId="190" applyFont="1" applyFill="1" applyBorder="1" applyAlignment="1">
      <alignment horizontal="center"/>
    </xf>
    <xf numFmtId="9" fontId="5" fillId="0" borderId="0" xfId="190" applyNumberFormat="1" applyFont="1" applyFill="1" applyBorder="1" applyAlignment="1">
      <alignment horizontal="right"/>
    </xf>
    <xf numFmtId="0" fontId="1" fillId="46" borderId="0" xfId="190" applyFill="1" applyBorder="1"/>
    <xf numFmtId="180" fontId="1" fillId="46" borderId="64" xfId="190" applyNumberFormat="1" applyFill="1" applyBorder="1"/>
    <xf numFmtId="0" fontId="1" fillId="46" borderId="0" xfId="190" applyFill="1"/>
    <xf numFmtId="0" fontId="5" fillId="0" borderId="0" xfId="190" applyFont="1" applyFill="1" applyBorder="1" applyAlignment="1">
      <alignment horizontal="center"/>
    </xf>
    <xf numFmtId="179" fontId="1" fillId="46" borderId="0" xfId="190" applyNumberFormat="1" applyFill="1" applyBorder="1" applyAlignment="1">
      <alignment horizontal="right"/>
    </xf>
    <xf numFmtId="1" fontId="1" fillId="46" borderId="0" xfId="190" applyNumberFormat="1" applyFill="1" applyBorder="1" applyAlignment="1">
      <alignment horizontal="right"/>
    </xf>
    <xf numFmtId="0" fontId="1" fillId="54" borderId="63" xfId="190" applyFill="1" applyBorder="1"/>
    <xf numFmtId="3" fontId="1" fillId="54" borderId="0" xfId="190" applyNumberFormat="1" applyFill="1" applyBorder="1" applyAlignment="1">
      <alignment horizontal="right"/>
    </xf>
    <xf numFmtId="0" fontId="1" fillId="54" borderId="0" xfId="190" applyFill="1" applyBorder="1" applyAlignment="1">
      <alignment horizontal="right"/>
    </xf>
    <xf numFmtId="0" fontId="1" fillId="0" borderId="0" xfId="190" applyBorder="1"/>
    <xf numFmtId="180" fontId="1" fillId="0" borderId="64" xfId="190" applyNumberFormat="1" applyBorder="1"/>
    <xf numFmtId="179" fontId="1" fillId="52" borderId="0" xfId="190" applyNumberFormat="1" applyFill="1"/>
    <xf numFmtId="0" fontId="15" fillId="0" borderId="18" xfId="190" applyFont="1" applyFill="1" applyBorder="1"/>
    <xf numFmtId="0" fontId="1" fillId="0" borderId="20" xfId="190" applyBorder="1"/>
    <xf numFmtId="0" fontId="1" fillId="0" borderId="19" xfId="190" applyBorder="1"/>
    <xf numFmtId="0" fontId="65" fillId="0" borderId="0" xfId="190" applyFont="1" applyFill="1"/>
    <xf numFmtId="0" fontId="28" fillId="0" borderId="0" xfId="190" applyFont="1"/>
    <xf numFmtId="0" fontId="1" fillId="47" borderId="9" xfId="190" applyFill="1" applyBorder="1"/>
    <xf numFmtId="0" fontId="63" fillId="0" borderId="0" xfId="190" applyFont="1"/>
    <xf numFmtId="165" fontId="63" fillId="46" borderId="0" xfId="190" applyNumberFormat="1" applyFont="1" applyFill="1" applyAlignment="1">
      <alignment horizontal="center"/>
    </xf>
    <xf numFmtId="0" fontId="63" fillId="0" borderId="0" xfId="190" applyFont="1" applyAlignment="1">
      <alignment horizontal="center"/>
    </xf>
    <xf numFmtId="0" fontId="63" fillId="46" borderId="0" xfId="190" applyFont="1" applyFill="1" applyAlignment="1">
      <alignment horizontal="center"/>
    </xf>
    <xf numFmtId="0" fontId="1" fillId="0" borderId="0" xfId="190" applyFill="1" applyBorder="1" applyAlignment="1">
      <alignment horizontal="right"/>
    </xf>
    <xf numFmtId="0" fontId="1" fillId="0" borderId="0" xfId="190" applyFill="1" applyBorder="1" applyAlignment="1">
      <alignment horizontal="center" vertical="center"/>
    </xf>
    <xf numFmtId="9" fontId="21" fillId="0" borderId="0" xfId="21" applyFont="1" applyFill="1" applyBorder="1" applyAlignment="1">
      <alignment horizontal="center"/>
    </xf>
    <xf numFmtId="0" fontId="1" fillId="0" borderId="0" xfId="190" applyFill="1" applyBorder="1"/>
    <xf numFmtId="167" fontId="21" fillId="0" borderId="0" xfId="1" applyNumberFormat="1" applyFont="1" applyFill="1" applyBorder="1" applyAlignment="1">
      <alignment horizontal="center"/>
    </xf>
    <xf numFmtId="167" fontId="1" fillId="0" borderId="0" xfId="190" applyNumberFormat="1" applyFill="1" applyBorder="1"/>
    <xf numFmtId="177" fontId="66" fillId="0" borderId="0" xfId="190" applyNumberFormat="1" applyFont="1" applyFill="1" applyBorder="1"/>
    <xf numFmtId="0" fontId="15" fillId="47" borderId="9" xfId="79" applyFont="1" applyFill="1" applyBorder="1" applyAlignment="1">
      <alignment horizontal="center"/>
    </xf>
    <xf numFmtId="167" fontId="0" fillId="0" borderId="9" xfId="1" applyNumberFormat="1" applyFont="1" applyBorder="1" applyAlignment="1">
      <alignment horizontal="left"/>
    </xf>
    <xf numFmtId="44" fontId="0" fillId="0" borderId="9" xfId="4" applyFont="1" applyBorder="1" applyAlignment="1">
      <alignment horizontal="center"/>
    </xf>
    <xf numFmtId="167" fontId="5" fillId="0" borderId="9" xfId="1" applyNumberFormat="1" applyFont="1" applyBorder="1" applyAlignment="1">
      <alignment horizontal="left"/>
    </xf>
    <xf numFmtId="177" fontId="67" fillId="0" borderId="9" xfId="190" applyNumberFormat="1" applyFont="1" applyFill="1" applyBorder="1"/>
    <xf numFmtId="167" fontId="0" fillId="0" borderId="0" xfId="1" applyNumberFormat="1" applyFont="1" applyBorder="1" applyAlignment="1">
      <alignment horizontal="left"/>
    </xf>
    <xf numFmtId="0" fontId="5" fillId="0" borderId="0" xfId="79" applyAlignment="1">
      <alignment horizontal="left"/>
    </xf>
    <xf numFmtId="0" fontId="5" fillId="0" borderId="0" xfId="79" applyNumberFormat="1"/>
    <xf numFmtId="0" fontId="5" fillId="0" borderId="0" xfId="79"/>
    <xf numFmtId="167" fontId="5" fillId="0" borderId="0" xfId="79" applyNumberFormat="1"/>
    <xf numFmtId="44" fontId="0" fillId="0" borderId="0" xfId="4" applyFont="1"/>
    <xf numFmtId="0" fontId="5" fillId="0" borderId="0" xfId="79" applyFont="1" applyAlignment="1">
      <alignment horizontal="left"/>
    </xf>
    <xf numFmtId="44" fontId="15" fillId="0" borderId="0" xfId="79" applyNumberFormat="1" applyFont="1"/>
    <xf numFmtId="0" fontId="1" fillId="8" borderId="9" xfId="190" applyFill="1" applyBorder="1"/>
    <xf numFmtId="0" fontId="64" fillId="0" borderId="9" xfId="190" applyNumberFormat="1" applyFont="1" applyFill="1" applyBorder="1" applyAlignment="1" applyProtection="1"/>
    <xf numFmtId="0" fontId="1" fillId="0" borderId="9" xfId="190" applyFill="1" applyBorder="1"/>
    <xf numFmtId="0" fontId="64" fillId="0" borderId="9" xfId="190" applyNumberFormat="1" applyFont="1" applyFill="1" applyBorder="1" applyAlignment="1" applyProtection="1">
      <alignment wrapText="1"/>
    </xf>
    <xf numFmtId="0" fontId="1" fillId="0" borderId="0" xfId="190" applyAlignment="1">
      <alignment wrapText="1"/>
    </xf>
    <xf numFmtId="181" fontId="64" fillId="0" borderId="9" xfId="191" applyNumberFormat="1" applyFont="1" applyFill="1" applyBorder="1" applyAlignment="1" applyProtection="1"/>
    <xf numFmtId="0" fontId="35" fillId="0" borderId="13" xfId="190" applyFont="1" applyFill="1" applyBorder="1" applyAlignment="1">
      <alignment wrapText="1"/>
    </xf>
    <xf numFmtId="0" fontId="35" fillId="0" borderId="14" xfId="190" applyFont="1" applyFill="1" applyBorder="1" applyAlignment="1">
      <alignment wrapText="1"/>
    </xf>
    <xf numFmtId="0" fontId="35" fillId="0" borderId="33" xfId="190" applyFont="1" applyFill="1" applyBorder="1" applyAlignment="1">
      <alignment wrapText="1"/>
    </xf>
    <xf numFmtId="0" fontId="35" fillId="0" borderId="56" xfId="190" applyFont="1" applyFill="1" applyBorder="1" applyAlignment="1">
      <alignment wrapText="1"/>
    </xf>
    <xf numFmtId="0" fontId="1" fillId="0" borderId="34" xfId="190" applyFill="1" applyBorder="1"/>
    <xf numFmtId="167" fontId="21" fillId="0" borderId="9" xfId="191" applyNumberFormat="1" applyFont="1" applyFill="1" applyBorder="1"/>
    <xf numFmtId="3" fontId="1" fillId="0" borderId="9" xfId="190" applyNumberFormat="1" applyFill="1" applyBorder="1"/>
    <xf numFmtId="4" fontId="1" fillId="0" borderId="9" xfId="190" applyNumberFormat="1" applyFill="1" applyBorder="1"/>
    <xf numFmtId="2" fontId="1" fillId="0" borderId="9" xfId="190" applyNumberFormat="1" applyFill="1" applyBorder="1"/>
    <xf numFmtId="9" fontId="21" fillId="0" borderId="9" xfId="22" applyFont="1" applyFill="1" applyBorder="1"/>
    <xf numFmtId="0" fontId="1" fillId="0" borderId="35" xfId="190" applyFill="1" applyBorder="1"/>
    <xf numFmtId="43" fontId="1" fillId="0" borderId="9" xfId="190" applyNumberFormat="1" applyFill="1" applyBorder="1"/>
    <xf numFmtId="167" fontId="1" fillId="0" borderId="9" xfId="190" applyNumberFormat="1" applyFill="1" applyBorder="1"/>
    <xf numFmtId="1" fontId="1" fillId="0" borderId="9" xfId="190" applyNumberFormat="1" applyFill="1" applyBorder="1"/>
    <xf numFmtId="6" fontId="11" fillId="0" borderId="35" xfId="190" applyNumberFormat="1" applyFont="1" applyFill="1" applyBorder="1"/>
    <xf numFmtId="43" fontId="1" fillId="0" borderId="0" xfId="190" applyNumberFormat="1" applyFill="1"/>
    <xf numFmtId="165" fontId="1" fillId="0" borderId="9" xfId="190" applyNumberFormat="1" applyFill="1" applyBorder="1"/>
    <xf numFmtId="164" fontId="1" fillId="0" borderId="0" xfId="190" applyNumberFormat="1" applyFill="1"/>
    <xf numFmtId="0" fontId="1" fillId="0" borderId="36" xfId="190" applyFill="1" applyBorder="1"/>
    <xf numFmtId="0" fontId="1" fillId="0" borderId="17" xfId="190" applyFill="1" applyBorder="1"/>
    <xf numFmtId="167" fontId="1" fillId="0" borderId="17" xfId="190" applyNumberFormat="1" applyFill="1" applyBorder="1"/>
    <xf numFmtId="9" fontId="21" fillId="0" borderId="17" xfId="22" applyFont="1" applyFill="1" applyBorder="1"/>
    <xf numFmtId="0" fontId="1" fillId="0" borderId="37" xfId="190" applyFill="1" applyBorder="1"/>
    <xf numFmtId="3" fontId="1" fillId="0" borderId="0" xfId="190" applyNumberFormat="1" applyFill="1"/>
    <xf numFmtId="164" fontId="21" fillId="0" borderId="0" xfId="22" applyNumberFormat="1" applyFont="1" applyFill="1"/>
    <xf numFmtId="0" fontId="73" fillId="0" borderId="0" xfId="190" applyFont="1" applyFill="1"/>
    <xf numFmtId="0" fontId="35" fillId="0" borderId="0" xfId="190" applyFont="1" applyFill="1" applyAlignment="1">
      <alignment wrapText="1"/>
    </xf>
    <xf numFmtId="0" fontId="35" fillId="0" borderId="0" xfId="190" applyFont="1" applyFill="1" applyAlignment="1">
      <alignment horizontal="center" wrapText="1"/>
    </xf>
    <xf numFmtId="0" fontId="74" fillId="0" borderId="0" xfId="190" applyFont="1" applyFill="1" applyAlignment="1">
      <alignment wrapText="1"/>
    </xf>
    <xf numFmtId="0" fontId="1" fillId="0" borderId="0" xfId="190" applyFill="1" applyAlignment="1">
      <alignment wrapText="1"/>
    </xf>
    <xf numFmtId="0" fontId="1" fillId="0" borderId="3" xfId="190" applyFill="1" applyBorder="1" applyAlignment="1">
      <alignment wrapText="1"/>
    </xf>
    <xf numFmtId="0" fontId="1" fillId="0" borderId="2" xfId="190" applyFill="1" applyBorder="1"/>
    <xf numFmtId="0" fontId="1" fillId="0" borderId="54" xfId="190" applyFill="1" applyBorder="1"/>
    <xf numFmtId="167" fontId="21" fillId="0" borderId="54" xfId="191" applyNumberFormat="1" applyFont="1" applyFill="1" applyBorder="1"/>
    <xf numFmtId="2" fontId="1" fillId="0" borderId="54" xfId="190" applyNumberFormat="1" applyFill="1" applyBorder="1"/>
    <xf numFmtId="166" fontId="21" fillId="0" borderId="54" xfId="192" applyNumberFormat="1" applyFont="1" applyFill="1" applyBorder="1"/>
    <xf numFmtId="166" fontId="21" fillId="0" borderId="10" xfId="192" applyNumberFormat="1" applyFont="1" applyFill="1" applyBorder="1"/>
    <xf numFmtId="2" fontId="21" fillId="0" borderId="2" xfId="192" applyNumberFormat="1" applyFont="1" applyFill="1" applyBorder="1"/>
    <xf numFmtId="44" fontId="21" fillId="0" borderId="0" xfId="192" applyFont="1" applyFill="1" applyBorder="1" applyAlignment="1">
      <alignment horizontal="center" vertical="center"/>
    </xf>
    <xf numFmtId="168" fontId="21" fillId="0" borderId="0" xfId="192" applyNumberFormat="1" applyFont="1" applyFill="1" applyBorder="1" applyAlignment="1">
      <alignment horizontal="center" vertical="center"/>
    </xf>
    <xf numFmtId="166" fontId="21" fillId="0" borderId="0" xfId="192" applyNumberFormat="1" applyFont="1" applyFill="1" applyBorder="1"/>
    <xf numFmtId="166" fontId="21" fillId="0" borderId="13" xfId="4" applyNumberFormat="1" applyFont="1" applyFill="1" applyBorder="1"/>
    <xf numFmtId="167" fontId="21" fillId="0" borderId="14" xfId="1" applyNumberFormat="1" applyFont="1" applyFill="1" applyBorder="1"/>
    <xf numFmtId="166" fontId="21" fillId="0" borderId="14" xfId="4" applyNumberFormat="1" applyFont="1" applyFill="1" applyBorder="1"/>
    <xf numFmtId="44" fontId="21" fillId="0" borderId="61" xfId="4" applyFont="1" applyFill="1" applyBorder="1"/>
    <xf numFmtId="9" fontId="21" fillId="0" borderId="0" xfId="21" applyFont="1" applyFill="1"/>
    <xf numFmtId="0" fontId="1" fillId="0" borderId="55" xfId="190" applyFill="1" applyBorder="1"/>
    <xf numFmtId="167" fontId="21" fillId="0" borderId="0" xfId="191" applyNumberFormat="1" applyFont="1" applyFill="1" applyBorder="1"/>
    <xf numFmtId="2" fontId="1" fillId="0" borderId="0" xfId="190" applyNumberFormat="1" applyFill="1" applyBorder="1"/>
    <xf numFmtId="166" fontId="21" fillId="0" borderId="56" xfId="192" applyNumberFormat="1" applyFont="1" applyFill="1" applyBorder="1"/>
    <xf numFmtId="2" fontId="21" fillId="0" borderId="55" xfId="192" applyNumberFormat="1" applyFont="1" applyFill="1" applyBorder="1"/>
    <xf numFmtId="166" fontId="21" fillId="0" borderId="34" xfId="4" applyNumberFormat="1" applyFont="1" applyFill="1" applyBorder="1"/>
    <xf numFmtId="167" fontId="21" fillId="0" borderId="9" xfId="1" applyNumberFormat="1" applyFont="1" applyFill="1" applyBorder="1"/>
    <xf numFmtId="166" fontId="21" fillId="0" borderId="9" xfId="4" applyNumberFormat="1" applyFont="1" applyFill="1" applyBorder="1"/>
    <xf numFmtId="44" fontId="21" fillId="0" borderId="0" xfId="4" applyFont="1" applyFill="1" applyBorder="1"/>
    <xf numFmtId="0" fontId="1" fillId="0" borderId="5" xfId="190" applyFill="1" applyBorder="1"/>
    <xf numFmtId="0" fontId="1" fillId="0" borderId="72" xfId="190" applyFill="1" applyBorder="1"/>
    <xf numFmtId="167" fontId="21" fillId="0" borderId="72" xfId="191" applyNumberFormat="1" applyFont="1" applyFill="1" applyBorder="1"/>
    <xf numFmtId="2" fontId="1" fillId="0" borderId="72" xfId="190" applyNumberFormat="1" applyFill="1" applyBorder="1"/>
    <xf numFmtId="166" fontId="21" fillId="0" borderId="72" xfId="192" applyNumberFormat="1" applyFont="1" applyFill="1" applyBorder="1"/>
    <xf numFmtId="166" fontId="21" fillId="0" borderId="57" xfId="192" applyNumberFormat="1" applyFont="1" applyFill="1" applyBorder="1"/>
    <xf numFmtId="2" fontId="21" fillId="0" borderId="5" xfId="192" applyNumberFormat="1" applyFont="1" applyFill="1" applyBorder="1"/>
    <xf numFmtId="0" fontId="74" fillId="0" borderId="0" xfId="190" applyFont="1" applyFill="1"/>
    <xf numFmtId="166" fontId="21" fillId="0" borderId="36" xfId="4" applyNumberFormat="1" applyFont="1" applyFill="1" applyBorder="1"/>
    <xf numFmtId="167" fontId="21" fillId="0" borderId="17" xfId="1" applyNumberFormat="1" applyFont="1" applyFill="1" applyBorder="1"/>
    <xf numFmtId="166" fontId="21" fillId="0" borderId="17" xfId="4" applyNumberFormat="1" applyFont="1" applyFill="1" applyBorder="1"/>
    <xf numFmtId="44" fontId="21" fillId="0" borderId="59" xfId="4" applyFont="1" applyFill="1" applyBorder="1"/>
    <xf numFmtId="165" fontId="1" fillId="0" borderId="54" xfId="190" applyNumberFormat="1" applyFill="1" applyBorder="1"/>
    <xf numFmtId="168" fontId="1" fillId="0" borderId="0" xfId="190" applyNumberFormat="1" applyFill="1" applyBorder="1" applyAlignment="1">
      <alignment horizontal="center" vertical="center"/>
    </xf>
    <xf numFmtId="0" fontId="1" fillId="0" borderId="0" xfId="190" applyFill="1" applyAlignment="1">
      <alignment horizontal="right"/>
    </xf>
    <xf numFmtId="165" fontId="1" fillId="0" borderId="0" xfId="190" applyNumberFormat="1" applyFill="1" applyBorder="1"/>
    <xf numFmtId="9" fontId="21" fillId="0" borderId="0" xfId="22" applyFont="1" applyFill="1"/>
    <xf numFmtId="178" fontId="21" fillId="0" borderId="0" xfId="192" applyNumberFormat="1" applyFont="1" applyFill="1"/>
    <xf numFmtId="165" fontId="1" fillId="0" borderId="72" xfId="190" applyNumberFormat="1" applyFill="1" applyBorder="1"/>
    <xf numFmtId="1" fontId="1" fillId="0" borderId="0" xfId="190" applyNumberFormat="1" applyFill="1" applyBorder="1"/>
    <xf numFmtId="0" fontId="74" fillId="0" borderId="5" xfId="190" applyFont="1" applyFill="1" applyBorder="1"/>
    <xf numFmtId="0" fontId="74" fillId="0" borderId="72" xfId="190" applyFont="1" applyFill="1" applyBorder="1"/>
    <xf numFmtId="167" fontId="74" fillId="0" borderId="72" xfId="191" applyNumberFormat="1" applyFont="1" applyFill="1" applyBorder="1"/>
    <xf numFmtId="1" fontId="74" fillId="0" borderId="72" xfId="190" applyNumberFormat="1" applyFont="1" applyFill="1" applyBorder="1"/>
    <xf numFmtId="2" fontId="74" fillId="0" borderId="72" xfId="190" applyNumberFormat="1" applyFont="1" applyFill="1" applyBorder="1"/>
    <xf numFmtId="1" fontId="1" fillId="0" borderId="0" xfId="190" applyNumberFormat="1" applyFill="1"/>
    <xf numFmtId="165" fontId="1" fillId="0" borderId="0" xfId="190" applyNumberFormat="1" applyFill="1"/>
    <xf numFmtId="166" fontId="1" fillId="0" borderId="0" xfId="190" applyNumberFormat="1" applyFill="1"/>
    <xf numFmtId="178" fontId="35" fillId="55" borderId="0" xfId="4" applyNumberFormat="1" applyFont="1" applyFill="1"/>
    <xf numFmtId="181" fontId="28" fillId="16" borderId="9" xfId="1" applyNumberFormat="1" applyFont="1" applyFill="1" applyBorder="1"/>
    <xf numFmtId="178" fontId="1" fillId="0" borderId="0" xfId="4" applyNumberFormat="1" applyFont="1" applyFill="1"/>
    <xf numFmtId="9" fontId="1" fillId="0" borderId="9" xfId="190" applyNumberFormat="1" applyFill="1" applyBorder="1"/>
    <xf numFmtId="166" fontId="21" fillId="0" borderId="9" xfId="192" applyNumberFormat="1" applyFont="1" applyFill="1" applyBorder="1"/>
    <xf numFmtId="44" fontId="1" fillId="0" borderId="0" xfId="190" applyNumberFormat="1" applyFill="1" applyBorder="1"/>
    <xf numFmtId="3" fontId="1" fillId="0" borderId="0" xfId="190" applyNumberFormat="1" applyFill="1" applyBorder="1"/>
    <xf numFmtId="0" fontId="1" fillId="0" borderId="9" xfId="190" applyFill="1" applyBorder="1" applyAlignment="1">
      <alignment wrapText="1"/>
    </xf>
    <xf numFmtId="44" fontId="21" fillId="0" borderId="9" xfId="192" applyFont="1" applyFill="1" applyBorder="1"/>
    <xf numFmtId="0" fontId="1" fillId="0" borderId="0" xfId="190" applyFill="1" applyAlignment="1"/>
    <xf numFmtId="0" fontId="10" fillId="0" borderId="0" xfId="12" applyFill="1" applyAlignment="1" applyProtection="1">
      <alignment readingOrder="1"/>
    </xf>
    <xf numFmtId="0" fontId="5" fillId="0" borderId="0" xfId="79" applyFill="1">
      <alignment readingOrder="1"/>
    </xf>
    <xf numFmtId="0" fontId="75" fillId="0" borderId="15" xfId="79" applyFont="1" applyFill="1" applyBorder="1" applyAlignment="1">
      <alignment horizontal="center" wrapText="1"/>
    </xf>
    <xf numFmtId="0" fontId="75" fillId="0" borderId="19" xfId="79" applyFont="1" applyFill="1" applyBorder="1" applyAlignment="1">
      <alignment horizontal="center" wrapText="1"/>
    </xf>
    <xf numFmtId="0" fontId="76" fillId="0" borderId="73" xfId="79" applyFont="1" applyFill="1" applyBorder="1" applyAlignment="1">
      <alignment wrapText="1"/>
    </xf>
    <xf numFmtId="0" fontId="76" fillId="0" borderId="66" xfId="79" applyFont="1" applyFill="1" applyBorder="1" applyAlignment="1">
      <alignment horizontal="center" wrapText="1"/>
    </xf>
    <xf numFmtId="3" fontId="76" fillId="0" borderId="66" xfId="79" applyNumberFormat="1" applyFont="1" applyFill="1" applyBorder="1" applyAlignment="1">
      <alignment horizontal="center" wrapText="1"/>
    </xf>
    <xf numFmtId="2" fontId="1" fillId="0" borderId="0" xfId="190" applyNumberFormat="1" applyFill="1"/>
    <xf numFmtId="167" fontId="21" fillId="0" borderId="0" xfId="1" applyNumberFormat="1" applyFont="1" applyFill="1"/>
    <xf numFmtId="167" fontId="1" fillId="0" borderId="0" xfId="190" applyNumberFormat="1" applyFill="1"/>
    <xf numFmtId="0" fontId="75" fillId="0" borderId="73" xfId="79" applyFont="1" applyFill="1" applyBorder="1" applyAlignment="1">
      <alignment wrapText="1"/>
    </xf>
    <xf numFmtId="0" fontId="75" fillId="0" borderId="66" xfId="79" applyFont="1" applyFill="1" applyBorder="1" applyAlignment="1">
      <alignment horizontal="center" wrapText="1"/>
    </xf>
    <xf numFmtId="3" fontId="75" fillId="0" borderId="66" xfId="79" applyNumberFormat="1" applyFont="1" applyFill="1" applyBorder="1" applyAlignment="1">
      <alignment horizontal="center" wrapText="1"/>
    </xf>
    <xf numFmtId="0" fontId="77" fillId="0" borderId="0" xfId="79" applyFont="1" applyFill="1">
      <alignment readingOrder="1"/>
    </xf>
    <xf numFmtId="0" fontId="76" fillId="0" borderId="73" xfId="79" applyFont="1" applyBorder="1" applyAlignment="1">
      <alignment wrapText="1"/>
    </xf>
    <xf numFmtId="0" fontId="76" fillId="0" borderId="66" xfId="79" applyFont="1" applyBorder="1" applyAlignment="1">
      <alignment horizontal="center" wrapText="1"/>
    </xf>
    <xf numFmtId="3" fontId="76" fillId="0" borderId="66" xfId="79" applyNumberFormat="1" applyFont="1" applyBorder="1" applyAlignment="1">
      <alignment horizontal="center" wrapText="1"/>
    </xf>
    <xf numFmtId="165" fontId="1" fillId="0" borderId="0" xfId="190" applyNumberFormat="1"/>
    <xf numFmtId="0" fontId="75" fillId="0" borderId="73" xfId="79" applyFont="1" applyBorder="1" applyAlignment="1">
      <alignment wrapText="1"/>
    </xf>
    <xf numFmtId="0" fontId="75" fillId="0" borderId="66" xfId="79" applyFont="1" applyBorder="1" applyAlignment="1">
      <alignment horizontal="center" wrapText="1"/>
    </xf>
    <xf numFmtId="0" fontId="77" fillId="0" borderId="0" xfId="79" applyFont="1">
      <alignment readingOrder="1"/>
    </xf>
    <xf numFmtId="0" fontId="76" fillId="44" borderId="15" xfId="79" applyFont="1" applyFill="1" applyBorder="1" applyAlignment="1">
      <alignment horizontal="center" wrapText="1"/>
    </xf>
    <xf numFmtId="0" fontId="75" fillId="44" borderId="19" xfId="79" applyFont="1" applyFill="1" applyBorder="1" applyAlignment="1">
      <alignment horizontal="center" wrapText="1"/>
    </xf>
    <xf numFmtId="0" fontId="75" fillId="44" borderId="15" xfId="79" applyFont="1" applyFill="1" applyBorder="1" applyAlignment="1">
      <alignment horizontal="center" wrapText="1"/>
    </xf>
    <xf numFmtId="3" fontId="75" fillId="0" borderId="66" xfId="79" applyNumberFormat="1" applyFont="1" applyBorder="1" applyAlignment="1">
      <alignment horizontal="center" wrapText="1"/>
    </xf>
    <xf numFmtId="0" fontId="75" fillId="44" borderId="15" xfId="79" applyFont="1" applyFill="1" applyBorder="1" applyAlignment="1">
      <alignment wrapText="1"/>
    </xf>
    <xf numFmtId="3" fontId="76" fillId="0" borderId="66" xfId="79" applyNumberFormat="1" applyFont="1" applyBorder="1" applyAlignment="1">
      <alignment horizontal="center" vertical="top" wrapText="1"/>
    </xf>
    <xf numFmtId="3" fontId="75" fillId="0" borderId="66" xfId="79" applyNumberFormat="1" applyFont="1" applyBorder="1" applyAlignment="1">
      <alignment horizontal="center" vertical="top" wrapText="1"/>
    </xf>
    <xf numFmtId="4" fontId="5" fillId="0" borderId="0" xfId="79" applyNumberFormat="1">
      <alignment readingOrder="1"/>
    </xf>
    <xf numFmtId="43" fontId="0" fillId="0" borderId="0" xfId="1" applyFont="1">
      <alignment readingOrder="1"/>
    </xf>
    <xf numFmtId="0" fontId="5" fillId="0" borderId="9" xfId="193" applyFont="1" applyFill="1" applyBorder="1" applyAlignment="1">
      <alignment horizontal="left" vertical="center" wrapText="1"/>
    </xf>
    <xf numFmtId="0" fontId="5" fillId="0" borderId="9" xfId="193" applyFont="1" applyBorder="1" applyAlignment="1">
      <alignment horizontal="left" vertical="center" wrapText="1" readingOrder="1"/>
    </xf>
    <xf numFmtId="0" fontId="5" fillId="0" borderId="9" xfId="193" applyNumberFormat="1" applyFont="1" applyBorder="1" applyAlignment="1">
      <alignment horizontal="left" vertical="center" wrapText="1" readingOrder="1"/>
    </xf>
    <xf numFmtId="0" fontId="15" fillId="47" borderId="9" xfId="193" applyFont="1" applyFill="1" applyBorder="1" applyAlignment="1">
      <alignment horizontal="left" vertical="center" wrapText="1"/>
    </xf>
    <xf numFmtId="167" fontId="5" fillId="0" borderId="0" xfId="1" applyNumberFormat="1">
      <alignment readingOrder="1"/>
    </xf>
    <xf numFmtId="166" fontId="5" fillId="0" borderId="0" xfId="4" applyNumberFormat="1">
      <alignment readingOrder="1"/>
    </xf>
    <xf numFmtId="165" fontId="0" fillId="0" borderId="0" xfId="0" applyNumberFormat="1" applyAlignment="1">
      <alignment horizontal="center" readingOrder="1"/>
    </xf>
    <xf numFmtId="0" fontId="5" fillId="0" borderId="0" xfId="79" applyFont="1" applyAlignment="1">
      <alignment horizontal="center" readingOrder="1"/>
    </xf>
    <xf numFmtId="0" fontId="5" fillId="0" borderId="0" xfId="0" applyFont="1" applyAlignment="1">
      <alignment horizontal="center" readingOrder="1"/>
    </xf>
    <xf numFmtId="0" fontId="15" fillId="0" borderId="0" xfId="194" applyFont="1"/>
    <xf numFmtId="0" fontId="5" fillId="0" borderId="0" xfId="194"/>
    <xf numFmtId="17" fontId="5" fillId="0" borderId="0" xfId="79" applyNumberFormat="1">
      <alignment readingOrder="1"/>
    </xf>
    <xf numFmtId="14" fontId="5" fillId="0" borderId="0" xfId="79" applyNumberFormat="1">
      <alignment readingOrder="1"/>
    </xf>
    <xf numFmtId="0" fontId="5" fillId="0" borderId="0" xfId="79" applyFill="1" applyAlignment="1">
      <alignment vertical="center" wrapText="1" readingOrder="1"/>
    </xf>
    <xf numFmtId="1" fontId="5" fillId="0" borderId="0" xfId="79" applyNumberFormat="1">
      <alignment readingOrder="1"/>
    </xf>
    <xf numFmtId="180" fontId="5" fillId="0" borderId="0" xfId="79" applyNumberFormat="1" applyFill="1">
      <alignment readingOrder="1"/>
    </xf>
    <xf numFmtId="181" fontId="5" fillId="0" borderId="0" xfId="1" applyNumberFormat="1">
      <alignment readingOrder="1"/>
    </xf>
    <xf numFmtId="43" fontId="5" fillId="0" borderId="0" xfId="79" applyNumberFormat="1">
      <alignment readingOrder="1"/>
    </xf>
    <xf numFmtId="2" fontId="5" fillId="0" borderId="0" xfId="79" applyNumberFormat="1">
      <alignment readingOrder="1"/>
    </xf>
    <xf numFmtId="164" fontId="5" fillId="0" borderId="0" xfId="21" applyNumberFormat="1" applyFont="1" applyFill="1" applyAlignment="1">
      <alignment horizontal="left" readingOrder="1"/>
    </xf>
    <xf numFmtId="0" fontId="5" fillId="47" borderId="0" xfId="79" applyFill="1">
      <alignment readingOrder="1"/>
    </xf>
    <xf numFmtId="9" fontId="5" fillId="47" borderId="0" xfId="21" applyFill="1">
      <alignment readingOrder="1"/>
    </xf>
    <xf numFmtId="9" fontId="5" fillId="0" borderId="0" xfId="21" applyFill="1" applyAlignment="1">
      <alignment horizontal="center" readingOrder="1"/>
    </xf>
    <xf numFmtId="0" fontId="0" fillId="47" borderId="0" xfId="0" applyFill="1">
      <alignment readingOrder="1"/>
    </xf>
    <xf numFmtId="164" fontId="5" fillId="47" borderId="0" xfId="21" applyNumberFormat="1" applyFont="1" applyFill="1" applyAlignment="1">
      <alignment horizontal="center" readingOrder="1"/>
    </xf>
    <xf numFmtId="1" fontId="5" fillId="47" borderId="0" xfId="79" applyNumberFormat="1" applyFill="1">
      <alignment readingOrder="1"/>
    </xf>
    <xf numFmtId="0" fontId="5" fillId="0" borderId="0" xfId="79" applyFill="1" applyBorder="1">
      <alignment readingOrder="1"/>
    </xf>
    <xf numFmtId="0" fontId="5" fillId="0" borderId="0" xfId="79" applyFill="1" applyBorder="1" applyAlignment="1">
      <alignment vertical="center" wrapText="1" readingOrder="1"/>
    </xf>
    <xf numFmtId="1" fontId="5" fillId="0" borderId="0" xfId="79" applyNumberFormat="1" applyFill="1" applyBorder="1">
      <alignment readingOrder="1"/>
    </xf>
    <xf numFmtId="181" fontId="5" fillId="0" borderId="0" xfId="1" applyNumberFormat="1" applyFill="1" applyBorder="1">
      <alignment readingOrder="1"/>
    </xf>
    <xf numFmtId="43" fontId="5" fillId="0" borderId="0" xfId="79" applyNumberFormat="1" applyFill="1" applyBorder="1">
      <alignment readingOrder="1"/>
    </xf>
    <xf numFmtId="9" fontId="5" fillId="0" borderId="0" xfId="21" applyFill="1" applyBorder="1">
      <alignment readingOrder="1"/>
    </xf>
    <xf numFmtId="2" fontId="5" fillId="0" borderId="0" xfId="79" applyNumberFormat="1" applyFill="1" applyBorder="1">
      <alignment readingOrder="1"/>
    </xf>
    <xf numFmtId="0" fontId="5" fillId="0" borderId="0" xfId="79" applyFill="1" applyAlignment="1">
      <alignment horizontal="right" readingOrder="1"/>
    </xf>
    <xf numFmtId="167" fontId="5" fillId="0" borderId="0" xfId="79" applyNumberFormat="1" applyFill="1" applyAlignment="1">
      <alignment horizontal="right" readingOrder="1"/>
    </xf>
    <xf numFmtId="43" fontId="1" fillId="47" borderId="59" xfId="1" applyFont="1" applyFill="1" applyBorder="1" applyAlignment="1">
      <alignment horizontal="right"/>
    </xf>
    <xf numFmtId="2" fontId="62" fillId="0" borderId="0" xfId="190" applyNumberFormat="1" applyFont="1" applyFill="1"/>
    <xf numFmtId="0" fontId="1" fillId="47" borderId="0" xfId="190" applyFont="1" applyFill="1"/>
    <xf numFmtId="0" fontId="1" fillId="0" borderId="63" xfId="190" applyFont="1" applyFill="1" applyBorder="1"/>
    <xf numFmtId="177" fontId="1" fillId="0" borderId="0" xfId="190" applyNumberFormat="1" applyFont="1" applyFill="1" applyBorder="1"/>
    <xf numFmtId="167" fontId="79" fillId="0" borderId="0" xfId="191" applyNumberFormat="1" applyFont="1" applyFill="1"/>
    <xf numFmtId="9" fontId="79" fillId="0" borderId="0" xfId="22" applyFont="1" applyFill="1"/>
    <xf numFmtId="0" fontId="1" fillId="0" borderId="0" xfId="190" applyFont="1" applyFill="1"/>
    <xf numFmtId="178" fontId="30" fillId="0" borderId="0" xfId="192" applyNumberFormat="1" applyFont="1" applyFill="1"/>
    <xf numFmtId="166" fontId="79" fillId="0" borderId="0" xfId="192" applyNumberFormat="1" applyFont="1" applyFill="1"/>
    <xf numFmtId="166" fontId="1" fillId="0" borderId="0" xfId="190" applyNumberFormat="1" applyFont="1" applyFill="1"/>
    <xf numFmtId="1" fontId="1" fillId="0" borderId="0" xfId="190" applyNumberFormat="1" applyFont="1" applyFill="1"/>
    <xf numFmtId="0" fontId="1" fillId="47" borderId="65" xfId="190" applyFont="1" applyFill="1" applyBorder="1"/>
    <xf numFmtId="3" fontId="1" fillId="47" borderId="59" xfId="190" applyNumberFormat="1" applyFont="1" applyFill="1" applyBorder="1" applyAlignment="1">
      <alignment horizontal="right"/>
    </xf>
    <xf numFmtId="2" fontId="1" fillId="47" borderId="59" xfId="190" applyNumberFormat="1" applyFont="1" applyFill="1" applyBorder="1" applyAlignment="1">
      <alignment horizontal="right"/>
    </xf>
    <xf numFmtId="179" fontId="1" fillId="47" borderId="59" xfId="190" applyNumberFormat="1" applyFont="1" applyFill="1" applyBorder="1" applyAlignment="1">
      <alignment horizontal="center"/>
    </xf>
    <xf numFmtId="43" fontId="1" fillId="0" borderId="0" xfId="1" applyFont="1"/>
    <xf numFmtId="9" fontId="1" fillId="0" borderId="0" xfId="21" applyFont="1"/>
    <xf numFmtId="44" fontId="30" fillId="0" borderId="0" xfId="190" applyNumberFormat="1" applyFont="1" applyFill="1"/>
    <xf numFmtId="0" fontId="1" fillId="47" borderId="59" xfId="190" applyFont="1" applyFill="1" applyBorder="1"/>
    <xf numFmtId="0" fontId="79" fillId="47" borderId="0" xfId="190" applyFont="1" applyFill="1" applyAlignment="1">
      <alignment horizontal="center" wrapText="1"/>
    </xf>
    <xf numFmtId="1" fontId="5" fillId="0" borderId="0" xfId="79" applyNumberFormat="1" applyFill="1">
      <alignment readingOrder="1"/>
    </xf>
    <xf numFmtId="43" fontId="1" fillId="0" borderId="72" xfId="1" applyFont="1" applyBorder="1"/>
    <xf numFmtId="9" fontId="1" fillId="0" borderId="72" xfId="21" applyFont="1" applyBorder="1"/>
    <xf numFmtId="167" fontId="1" fillId="0" borderId="0" xfId="1" applyNumberFormat="1" applyFont="1"/>
    <xf numFmtId="167" fontId="30" fillId="0" borderId="0" xfId="190" applyNumberFormat="1" applyFont="1" applyFill="1"/>
    <xf numFmtId="4" fontId="28" fillId="0" borderId="72" xfId="190" applyNumberFormat="1" applyFont="1" applyBorder="1"/>
    <xf numFmtId="0" fontId="35" fillId="0" borderId="9" xfId="190" applyFont="1" applyFill="1" applyBorder="1" applyAlignment="1">
      <alignment horizontal="center"/>
    </xf>
    <xf numFmtId="0" fontId="35" fillId="0" borderId="0" xfId="190" applyFont="1" applyFill="1" applyBorder="1"/>
    <xf numFmtId="2" fontId="1" fillId="0" borderId="9" xfId="190" applyNumberFormat="1" applyFill="1" applyBorder="1" applyAlignment="1">
      <alignment horizontal="center"/>
    </xf>
    <xf numFmtId="179" fontId="1" fillId="0" borderId="0" xfId="190" applyNumberFormat="1" applyFill="1" applyBorder="1" applyAlignment="1">
      <alignment horizontal="center"/>
    </xf>
    <xf numFmtId="9" fontId="21" fillId="0" borderId="9" xfId="21" applyFont="1" applyFill="1" applyBorder="1"/>
    <xf numFmtId="9" fontId="21" fillId="0" borderId="3" xfId="21" applyFont="1" applyFill="1" applyBorder="1"/>
    <xf numFmtId="167" fontId="1" fillId="0" borderId="9" xfId="1" applyNumberFormat="1" applyFont="1" applyFill="1" applyBorder="1"/>
    <xf numFmtId="0" fontId="35" fillId="0" borderId="9" xfId="190" applyFont="1" applyFill="1" applyBorder="1" applyAlignment="1">
      <alignment horizontal="center" vertical="center"/>
    </xf>
    <xf numFmtId="1" fontId="35" fillId="0" borderId="9" xfId="190" applyNumberFormat="1" applyFont="1" applyFill="1" applyBorder="1" applyAlignment="1">
      <alignment horizontal="center"/>
    </xf>
    <xf numFmtId="1" fontId="1" fillId="0" borderId="6" xfId="190" applyNumberFormat="1" applyFill="1" applyBorder="1" applyAlignment="1">
      <alignment horizontal="center"/>
    </xf>
    <xf numFmtId="1" fontId="1" fillId="0" borderId="9" xfId="190" applyNumberFormat="1" applyFill="1" applyBorder="1" applyAlignment="1">
      <alignment horizontal="center"/>
    </xf>
    <xf numFmtId="1" fontId="1" fillId="0" borderId="3" xfId="190" applyNumberFormat="1" applyFill="1" applyBorder="1" applyAlignment="1">
      <alignment horizontal="center"/>
    </xf>
    <xf numFmtId="1" fontId="1" fillId="0" borderId="14" xfId="190" applyNumberFormat="1" applyFill="1" applyBorder="1" applyAlignment="1">
      <alignment horizontal="center"/>
    </xf>
    <xf numFmtId="1" fontId="1" fillId="0" borderId="17" xfId="190" applyNumberFormat="1" applyFill="1" applyBorder="1" applyAlignment="1">
      <alignment horizontal="center"/>
    </xf>
    <xf numFmtId="9" fontId="21" fillId="0" borderId="14" xfId="21" applyNumberFormat="1" applyFont="1" applyFill="1" applyBorder="1" applyAlignment="1">
      <alignment horizontal="center"/>
    </xf>
    <xf numFmtId="9" fontId="21" fillId="0" borderId="33" xfId="21" applyNumberFormat="1" applyFont="1" applyFill="1" applyBorder="1" applyAlignment="1">
      <alignment horizontal="center"/>
    </xf>
    <xf numFmtId="9" fontId="21" fillId="0" borderId="9" xfId="21" applyFont="1" applyFill="1" applyBorder="1" applyAlignment="1">
      <alignment horizontal="center"/>
    </xf>
    <xf numFmtId="9" fontId="21" fillId="0" borderId="35" xfId="21" applyFont="1" applyFill="1" applyBorder="1" applyAlignment="1">
      <alignment horizontal="center"/>
    </xf>
    <xf numFmtId="9" fontId="21" fillId="0" borderId="17" xfId="21" applyFont="1" applyFill="1" applyBorder="1" applyAlignment="1">
      <alignment horizontal="center"/>
    </xf>
    <xf numFmtId="9" fontId="21" fillId="0" borderId="37" xfId="21" applyFont="1" applyFill="1" applyBorder="1" applyAlignment="1">
      <alignment horizontal="center"/>
    </xf>
    <xf numFmtId="167" fontId="21" fillId="0" borderId="14" xfId="1" applyNumberFormat="1" applyFont="1" applyFill="1" applyBorder="1" applyAlignment="1">
      <alignment horizontal="center"/>
    </xf>
    <xf numFmtId="177" fontId="21" fillId="0" borderId="14" xfId="1" applyNumberFormat="1" applyFont="1" applyFill="1" applyBorder="1" applyAlignment="1">
      <alignment horizontal="center"/>
    </xf>
    <xf numFmtId="177" fontId="21" fillId="0" borderId="33" xfId="1" applyNumberFormat="1" applyFont="1" applyFill="1" applyBorder="1" applyAlignment="1">
      <alignment horizontal="center"/>
    </xf>
    <xf numFmtId="167" fontId="21" fillId="0" borderId="9" xfId="1" applyNumberFormat="1" applyFont="1" applyFill="1" applyBorder="1" applyAlignment="1">
      <alignment horizontal="center"/>
    </xf>
    <xf numFmtId="177" fontId="21" fillId="0" borderId="9" xfId="1" applyNumberFormat="1" applyFont="1" applyFill="1" applyBorder="1" applyAlignment="1">
      <alignment horizontal="center"/>
    </xf>
    <xf numFmtId="177" fontId="21" fillId="0" borderId="35" xfId="1" applyNumberFormat="1" applyFont="1" applyFill="1" applyBorder="1" applyAlignment="1">
      <alignment horizontal="center"/>
    </xf>
    <xf numFmtId="167" fontId="21" fillId="0" borderId="33" xfId="1" applyNumberFormat="1" applyFont="1" applyFill="1" applyBorder="1" applyAlignment="1">
      <alignment horizontal="center"/>
    </xf>
    <xf numFmtId="167" fontId="21" fillId="0" borderId="35" xfId="1" applyNumberFormat="1" applyFont="1" applyFill="1" applyBorder="1" applyAlignment="1">
      <alignment horizontal="center"/>
    </xf>
    <xf numFmtId="0" fontId="65" fillId="58" borderId="0" xfId="190" applyFont="1" applyFill="1"/>
    <xf numFmtId="0" fontId="1" fillId="47" borderId="0" xfId="190" applyFill="1"/>
    <xf numFmtId="0" fontId="1" fillId="47" borderId="13" xfId="190" applyFill="1" applyBorder="1" applyAlignment="1">
      <alignment horizontal="right"/>
    </xf>
    <xf numFmtId="0" fontId="1" fillId="47" borderId="34" xfId="190" applyFill="1" applyBorder="1" applyAlignment="1">
      <alignment horizontal="right"/>
    </xf>
    <xf numFmtId="0" fontId="1" fillId="47" borderId="39" xfId="190" applyFill="1" applyBorder="1" applyAlignment="1">
      <alignment horizontal="right"/>
    </xf>
    <xf numFmtId="0" fontId="1" fillId="47" borderId="36" xfId="190" applyFill="1" applyBorder="1" applyAlignment="1">
      <alignment horizontal="right"/>
    </xf>
    <xf numFmtId="0" fontId="1" fillId="47" borderId="42" xfId="190" applyFill="1" applyBorder="1" applyAlignment="1">
      <alignment horizontal="right"/>
    </xf>
    <xf numFmtId="0" fontId="28" fillId="47" borderId="9" xfId="190" applyFont="1" applyFill="1" applyBorder="1"/>
    <xf numFmtId="0" fontId="35" fillId="47" borderId="9" xfId="190" applyFont="1" applyFill="1" applyBorder="1"/>
    <xf numFmtId="0" fontId="1" fillId="47" borderId="0" xfId="190" applyFill="1" applyBorder="1"/>
    <xf numFmtId="0" fontId="1" fillId="47" borderId="0" xfId="190" applyFill="1" applyBorder="1" applyAlignment="1">
      <alignment horizontal="center" vertical="center" wrapText="1"/>
    </xf>
    <xf numFmtId="0" fontId="15" fillId="47" borderId="0" xfId="194" applyFont="1" applyFill="1"/>
    <xf numFmtId="0" fontId="5" fillId="47" borderId="9" xfId="18" applyFont="1" applyFill="1" applyBorder="1" applyAlignment="1">
      <alignment vertical="top" wrapText="1"/>
    </xf>
    <xf numFmtId="0" fontId="15" fillId="58" borderId="0" xfId="18" applyFont="1" applyFill="1"/>
    <xf numFmtId="0" fontId="1" fillId="0" borderId="0" xfId="190" applyFont="1"/>
    <xf numFmtId="0" fontId="1" fillId="0" borderId="59" xfId="190" applyFont="1" applyBorder="1"/>
    <xf numFmtId="0" fontId="30" fillId="47" borderId="60" xfId="190" applyFont="1" applyFill="1" applyBorder="1"/>
    <xf numFmtId="0" fontId="30" fillId="47" borderId="61" xfId="190" applyFont="1" applyFill="1" applyBorder="1" applyAlignment="1">
      <alignment horizontal="center" wrapText="1"/>
    </xf>
    <xf numFmtId="0" fontId="30" fillId="0" borderId="0" xfId="190" applyFont="1" applyFill="1" applyBorder="1" applyAlignment="1">
      <alignment horizontal="center"/>
    </xf>
    <xf numFmtId="3" fontId="30" fillId="0" borderId="0" xfId="190" applyNumberFormat="1" applyFont="1" applyFill="1" applyBorder="1" applyAlignment="1">
      <alignment horizontal="right"/>
    </xf>
    <xf numFmtId="43" fontId="30" fillId="0" borderId="0" xfId="1" applyFont="1" applyFill="1" applyBorder="1" applyAlignment="1">
      <alignment horizontal="right"/>
    </xf>
    <xf numFmtId="9" fontId="30" fillId="0" borderId="0" xfId="190" applyNumberFormat="1" applyFont="1" applyFill="1" applyBorder="1" applyAlignment="1">
      <alignment horizontal="right"/>
    </xf>
    <xf numFmtId="0" fontId="30" fillId="47" borderId="59" xfId="190" applyFont="1" applyFill="1" applyBorder="1" applyAlignment="1">
      <alignment horizontal="center"/>
    </xf>
    <xf numFmtId="2" fontId="1" fillId="0" borderId="0" xfId="190" applyNumberFormat="1" applyFont="1"/>
    <xf numFmtId="43" fontId="1" fillId="0" borderId="0" xfId="190" applyNumberFormat="1" applyFont="1"/>
    <xf numFmtId="44" fontId="1" fillId="0" borderId="0" xfId="190" applyNumberFormat="1" applyFont="1"/>
    <xf numFmtId="180" fontId="1" fillId="0" borderId="0" xfId="190" applyNumberFormat="1" applyFont="1"/>
    <xf numFmtId="166" fontId="1" fillId="0" borderId="0" xfId="190" applyNumberFormat="1" applyFont="1"/>
    <xf numFmtId="0" fontId="1" fillId="58" borderId="72" xfId="190" applyFont="1" applyFill="1" applyBorder="1" applyAlignment="1">
      <alignment horizontal="right"/>
    </xf>
    <xf numFmtId="0" fontId="1" fillId="0" borderId="72" xfId="190" applyFont="1" applyBorder="1"/>
    <xf numFmtId="0" fontId="1" fillId="58" borderId="1" xfId="190" applyFont="1" applyFill="1" applyBorder="1" applyAlignment="1">
      <alignment horizontal="center" wrapText="1"/>
    </xf>
    <xf numFmtId="0" fontId="1" fillId="58" borderId="1" xfId="190" applyFont="1" applyFill="1" applyBorder="1" applyAlignment="1">
      <alignment horizontal="center" vertical="center" wrapText="1"/>
    </xf>
    <xf numFmtId="0" fontId="30" fillId="58" borderId="1" xfId="190" applyFont="1" applyFill="1" applyBorder="1" applyAlignment="1">
      <alignment horizontal="center" wrapText="1"/>
    </xf>
    <xf numFmtId="167" fontId="1" fillId="0" borderId="0" xfId="190" applyNumberFormat="1" applyFont="1"/>
    <xf numFmtId="43" fontId="1" fillId="0" borderId="72" xfId="190" applyNumberFormat="1" applyFont="1" applyBorder="1"/>
    <xf numFmtId="0" fontId="28" fillId="0" borderId="9" xfId="190" applyFont="1" applyFill="1" applyBorder="1" applyAlignment="1">
      <alignment horizontal="center"/>
    </xf>
    <xf numFmtId="164" fontId="5" fillId="0" borderId="0" xfId="21" applyNumberFormat="1" applyFill="1">
      <alignment readingOrder="1"/>
    </xf>
    <xf numFmtId="9" fontId="32" fillId="18" borderId="0" xfId="79" applyNumberFormat="1" applyFont="1" applyFill="1">
      <alignment readingOrder="1"/>
    </xf>
    <xf numFmtId="167" fontId="1" fillId="0" borderId="0" xfId="190" applyNumberFormat="1"/>
    <xf numFmtId="0" fontId="1" fillId="0" borderId="0" xfId="190" quotePrefix="1"/>
    <xf numFmtId="4" fontId="1" fillId="0" borderId="0" xfId="190" applyNumberFormat="1"/>
    <xf numFmtId="0" fontId="5" fillId="0" borderId="0" xfId="79" applyFont="1" applyAlignment="1">
      <alignment wrapText="1" readingOrder="1"/>
    </xf>
    <xf numFmtId="4" fontId="82" fillId="0" borderId="0" xfId="190" applyNumberFormat="1" applyFont="1" applyFill="1" applyBorder="1" applyAlignment="1">
      <alignment horizontal="right"/>
    </xf>
    <xf numFmtId="0" fontId="19" fillId="0" borderId="0" xfId="79" applyFont="1">
      <alignment readingOrder="1"/>
    </xf>
    <xf numFmtId="16" fontId="5" fillId="0" borderId="0" xfId="79" applyNumberFormat="1">
      <alignment readingOrder="1"/>
    </xf>
    <xf numFmtId="184" fontId="1" fillId="0" borderId="0" xfId="190" applyNumberFormat="1" applyFont="1"/>
    <xf numFmtId="0" fontId="19" fillId="0" borderId="0" xfId="79" applyFont="1" applyFill="1">
      <alignment readingOrder="1"/>
    </xf>
    <xf numFmtId="0" fontId="0" fillId="0" borderId="0" xfId="0" applyFill="1" applyBorder="1">
      <alignment readingOrder="1"/>
    </xf>
    <xf numFmtId="0" fontId="0" fillId="47" borderId="0" xfId="0" applyFill="1" applyAlignment="1">
      <alignment wrapText="1" readingOrder="1"/>
    </xf>
    <xf numFmtId="0" fontId="0" fillId="47" borderId="0" xfId="0" applyFill="1" applyAlignment="1">
      <alignment horizontal="center" wrapText="1" readingOrder="1"/>
    </xf>
    <xf numFmtId="0" fontId="0" fillId="47" borderId="0" xfId="0" applyFill="1" applyAlignment="1">
      <alignment horizontal="right" readingOrder="1"/>
    </xf>
    <xf numFmtId="1" fontId="0" fillId="0" borderId="0" xfId="0" applyNumberFormat="1" applyFill="1" applyAlignment="1">
      <alignment horizontal="center" readingOrder="1"/>
    </xf>
    <xf numFmtId="165" fontId="0" fillId="0" borderId="0" xfId="0" applyNumberFormat="1" applyFill="1" applyAlignment="1">
      <alignment horizontal="center" readingOrder="1"/>
    </xf>
    <xf numFmtId="2" fontId="0" fillId="0" borderId="0" xfId="0" applyNumberFormat="1">
      <alignment readingOrder="1"/>
    </xf>
    <xf numFmtId="165" fontId="0" fillId="47" borderId="0" xfId="0" applyNumberFormat="1" applyFill="1" applyAlignment="1">
      <alignment horizontal="center" readingOrder="1"/>
    </xf>
    <xf numFmtId="165" fontId="0" fillId="0" borderId="0" xfId="0" applyNumberFormat="1" applyFill="1">
      <alignment readingOrder="1"/>
    </xf>
    <xf numFmtId="167" fontId="0" fillId="0" borderId="0" xfId="1" applyNumberFormat="1" applyFont="1" applyFill="1">
      <alignment readingOrder="1"/>
    </xf>
    <xf numFmtId="0" fontId="0" fillId="0" borderId="0" xfId="0" applyAlignment="1">
      <alignment horizontal="center" readingOrder="1"/>
    </xf>
    <xf numFmtId="0" fontId="0" fillId="47" borderId="0" xfId="0" applyFill="1" applyAlignment="1">
      <alignment horizontal="center" readingOrder="1"/>
    </xf>
    <xf numFmtId="180" fontId="0" fillId="0" borderId="0" xfId="0" applyNumberFormat="1">
      <alignment readingOrder="1"/>
    </xf>
    <xf numFmtId="183" fontId="0" fillId="0" borderId="0" xfId="0" applyNumberFormat="1">
      <alignment readingOrder="1"/>
    </xf>
    <xf numFmtId="0" fontId="5" fillId="47" borderId="0" xfId="0" applyFont="1" applyFill="1">
      <alignment readingOrder="1"/>
    </xf>
    <xf numFmtId="0" fontId="5" fillId="0" borderId="0" xfId="0" applyFont="1" applyFill="1" applyBorder="1">
      <alignment readingOrder="1"/>
    </xf>
    <xf numFmtId="0" fontId="5" fillId="47" borderId="0" xfId="0" applyFont="1" applyFill="1" applyAlignment="1">
      <alignment horizontal="center" readingOrder="1"/>
    </xf>
    <xf numFmtId="0" fontId="28" fillId="16" borderId="9" xfId="0" applyFont="1" applyFill="1" applyBorder="1"/>
    <xf numFmtId="165" fontId="28" fillId="16" borderId="9" xfId="0" applyNumberFormat="1" applyFont="1" applyFill="1" applyBorder="1"/>
    <xf numFmtId="0" fontId="15" fillId="59" borderId="8" xfId="0" applyFont="1" applyFill="1" applyBorder="1">
      <alignment readingOrder="1"/>
    </xf>
    <xf numFmtId="0" fontId="0" fillId="59" borderId="1" xfId="0" applyFill="1" applyBorder="1">
      <alignment readingOrder="1"/>
    </xf>
    <xf numFmtId="0" fontId="0" fillId="59" borderId="4" xfId="0" applyFill="1" applyBorder="1">
      <alignment readingOrder="1"/>
    </xf>
    <xf numFmtId="2" fontId="0" fillId="0" borderId="0" xfId="0" applyNumberFormat="1" applyFill="1">
      <alignment readingOrder="1"/>
    </xf>
    <xf numFmtId="43" fontId="0" fillId="0" borderId="0" xfId="1" applyNumberFormat="1" applyFont="1" applyFill="1">
      <alignment readingOrder="1"/>
    </xf>
    <xf numFmtId="0" fontId="5" fillId="0" borderId="0" xfId="0" applyFont="1" applyFill="1" applyAlignment="1">
      <alignment horizontal="center" readingOrder="1"/>
    </xf>
    <xf numFmtId="1" fontId="5" fillId="0" borderId="0" xfId="0" applyNumberFormat="1" applyFont="1" applyAlignment="1">
      <alignment horizontal="center" readingOrder="1"/>
    </xf>
    <xf numFmtId="0" fontId="28" fillId="47" borderId="9" xfId="0" applyFont="1" applyFill="1" applyBorder="1"/>
    <xf numFmtId="0" fontId="28" fillId="47" borderId="2" xfId="0" applyFont="1" applyFill="1" applyBorder="1"/>
    <xf numFmtId="0" fontId="28" fillId="47" borderId="54" xfId="0" applyFont="1" applyFill="1" applyBorder="1"/>
    <xf numFmtId="0" fontId="28" fillId="47" borderId="10" xfId="0" applyFont="1" applyFill="1" applyBorder="1"/>
    <xf numFmtId="0" fontId="28" fillId="47" borderId="5" xfId="0" applyFont="1" applyFill="1" applyBorder="1"/>
    <xf numFmtId="0" fontId="28" fillId="47" borderId="72" xfId="0" applyFont="1" applyFill="1" applyBorder="1"/>
    <xf numFmtId="0" fontId="28" fillId="47" borderId="57" xfId="0" applyFont="1" applyFill="1" applyBorder="1"/>
    <xf numFmtId="185" fontId="12" fillId="3" borderId="4" xfId="0" applyNumberFormat="1" applyFont="1" applyFill="1" applyBorder="1" applyAlignment="1">
      <alignment horizontal="center" wrapText="1" readingOrder="1"/>
    </xf>
    <xf numFmtId="14" fontId="12" fillId="3" borderId="4" xfId="0" applyNumberFormat="1" applyFont="1" applyFill="1" applyBorder="1" applyAlignment="1">
      <alignment horizontal="center" wrapText="1" readingOrder="1"/>
    </xf>
    <xf numFmtId="0" fontId="28" fillId="43" borderId="9" xfId="0" applyFont="1" applyFill="1" applyBorder="1"/>
    <xf numFmtId="0" fontId="28" fillId="43" borderId="9" xfId="0" applyFont="1" applyFill="1" applyBorder="1" applyAlignment="1">
      <alignment horizontal="center"/>
    </xf>
    <xf numFmtId="177" fontId="0" fillId="43" borderId="0" xfId="1" applyNumberFormat="1" applyFont="1" applyFill="1">
      <alignment readingOrder="1"/>
    </xf>
    <xf numFmtId="167" fontId="0" fillId="43" borderId="0" xfId="109" applyNumberFormat="1" applyFont="1" applyFill="1" applyAlignment="1">
      <alignment horizontal="center" readingOrder="1"/>
    </xf>
    <xf numFmtId="0" fontId="5" fillId="47" borderId="0" xfId="79" applyFill="1" applyBorder="1">
      <alignment readingOrder="1"/>
    </xf>
    <xf numFmtId="0" fontId="84" fillId="60" borderId="0" xfId="79" applyFont="1" applyFill="1" applyBorder="1">
      <alignment readingOrder="1"/>
    </xf>
    <xf numFmtId="0" fontId="32" fillId="60" borderId="56" xfId="0" applyFont="1" applyFill="1" applyBorder="1">
      <alignment readingOrder="1"/>
    </xf>
    <xf numFmtId="0" fontId="5" fillId="47" borderId="0" xfId="79" applyFont="1" applyFill="1" applyBorder="1" applyAlignment="1">
      <alignment horizontal="right" readingOrder="1"/>
    </xf>
    <xf numFmtId="0" fontId="84" fillId="60" borderId="0" xfId="79" applyNumberFormat="1" applyFont="1" applyFill="1" applyBorder="1">
      <alignment readingOrder="1"/>
    </xf>
    <xf numFmtId="0" fontId="5" fillId="47" borderId="72" xfId="79" applyFont="1" applyFill="1" applyBorder="1" applyAlignment="1">
      <alignment horizontal="right" readingOrder="1"/>
    </xf>
    <xf numFmtId="0" fontId="0" fillId="47" borderId="2" xfId="0" applyFill="1" applyBorder="1">
      <alignment readingOrder="1"/>
    </xf>
    <xf numFmtId="0" fontId="0" fillId="47" borderId="55" xfId="0" applyFill="1" applyBorder="1">
      <alignment readingOrder="1"/>
    </xf>
    <xf numFmtId="0" fontId="0" fillId="47" borderId="5" xfId="0" applyFill="1" applyBorder="1">
      <alignment readingOrder="1"/>
    </xf>
    <xf numFmtId="182" fontId="84" fillId="14" borderId="57" xfId="79" applyNumberFormat="1" applyFont="1" applyFill="1" applyBorder="1">
      <alignment readingOrder="1"/>
    </xf>
    <xf numFmtId="0" fontId="15" fillId="61" borderId="8" xfId="79" applyFont="1" applyFill="1" applyBorder="1">
      <alignment readingOrder="1"/>
    </xf>
    <xf numFmtId="0" fontId="5" fillId="61" borderId="1" xfId="79" applyFont="1" applyFill="1" applyBorder="1">
      <alignment readingOrder="1"/>
    </xf>
    <xf numFmtId="0" fontId="5" fillId="61" borderId="4" xfId="79" applyFill="1" applyBorder="1">
      <alignment readingOrder="1"/>
    </xf>
    <xf numFmtId="0" fontId="80" fillId="61" borderId="8" xfId="79" applyFont="1" applyFill="1" applyBorder="1">
      <alignment readingOrder="1"/>
    </xf>
    <xf numFmtId="0" fontId="15" fillId="61" borderId="9" xfId="193" applyFont="1" applyFill="1" applyBorder="1" applyAlignment="1">
      <alignment horizontal="left" vertical="center" wrapText="1"/>
    </xf>
    <xf numFmtId="165" fontId="0" fillId="43" borderId="9" xfId="0" applyNumberFormat="1" applyFill="1" applyBorder="1" applyAlignment="1">
      <alignment horizontal="center" readingOrder="1"/>
    </xf>
    <xf numFmtId="0" fontId="0" fillId="43" borderId="9" xfId="0" applyFill="1" applyBorder="1">
      <alignment readingOrder="1"/>
    </xf>
    <xf numFmtId="0" fontId="5" fillId="0" borderId="0" xfId="79" applyAlignment="1">
      <alignment horizontal="right" readingOrder="1"/>
    </xf>
    <xf numFmtId="0" fontId="28" fillId="0" borderId="0" xfId="190" applyFont="1" applyAlignment="1">
      <alignment horizontal="right"/>
    </xf>
    <xf numFmtId="43" fontId="28" fillId="0" borderId="0" xfId="190" applyNumberFormat="1" applyFont="1"/>
    <xf numFmtId="4" fontId="5" fillId="47" borderId="0" xfId="79" applyNumberFormat="1" applyFill="1">
      <alignment readingOrder="1"/>
    </xf>
    <xf numFmtId="0" fontId="78" fillId="56" borderId="74" xfId="0" applyFont="1" applyFill="1" applyBorder="1"/>
    <xf numFmtId="0" fontId="78" fillId="56" borderId="75" xfId="0" applyFont="1" applyFill="1" applyBorder="1"/>
    <xf numFmtId="0" fontId="78" fillId="56" borderId="76" xfId="0" applyFont="1" applyFill="1" applyBorder="1"/>
    <xf numFmtId="0" fontId="0" fillId="57" borderId="74" xfId="0" applyFont="1" applyFill="1" applyBorder="1"/>
    <xf numFmtId="0" fontId="0" fillId="57" borderId="75" xfId="0" applyFont="1" applyFill="1" applyBorder="1"/>
    <xf numFmtId="3" fontId="0" fillId="57" borderId="75" xfId="0" applyNumberFormat="1" applyFont="1" applyFill="1" applyBorder="1"/>
    <xf numFmtId="4" fontId="0" fillId="57" borderId="75" xfId="0" applyNumberFormat="1" applyFont="1" applyFill="1" applyBorder="1"/>
    <xf numFmtId="4" fontId="0" fillId="57" borderId="76" xfId="0" applyNumberFormat="1" applyFont="1" applyFill="1" applyBorder="1"/>
    <xf numFmtId="0" fontId="0" fillId="0" borderId="77" xfId="0" applyFont="1" applyBorder="1"/>
    <xf numFmtId="0" fontId="0" fillId="0" borderId="78" xfId="0" applyFont="1" applyBorder="1"/>
    <xf numFmtId="3" fontId="0" fillId="0" borderId="78" xfId="0" applyNumberFormat="1" applyFont="1" applyBorder="1"/>
    <xf numFmtId="4" fontId="0" fillId="0" borderId="78" xfId="0" applyNumberFormat="1" applyFont="1" applyBorder="1"/>
    <xf numFmtId="4" fontId="0" fillId="0" borderId="79" xfId="0" applyNumberFormat="1" applyFont="1" applyBorder="1"/>
    <xf numFmtId="0" fontId="0" fillId="57" borderId="77" xfId="0" applyFont="1" applyFill="1" applyBorder="1"/>
    <xf numFmtId="0" fontId="0" fillId="57" borderId="78" xfId="0" applyFont="1" applyFill="1" applyBorder="1"/>
    <xf numFmtId="3" fontId="0" fillId="57" borderId="78" xfId="0" applyNumberFormat="1" applyFont="1" applyFill="1" applyBorder="1"/>
    <xf numFmtId="4" fontId="0" fillId="57" borderId="78" xfId="0" applyNumberFormat="1" applyFont="1" applyFill="1" applyBorder="1"/>
    <xf numFmtId="4" fontId="0" fillId="57" borderId="79" xfId="0" applyNumberFormat="1" applyFont="1" applyFill="1" applyBorder="1"/>
    <xf numFmtId="43" fontId="5" fillId="0" borderId="0" xfId="1">
      <alignment readingOrder="1"/>
    </xf>
    <xf numFmtId="0" fontId="5" fillId="0" borderId="0" xfId="79" applyBorder="1">
      <alignment readingOrder="1"/>
    </xf>
    <xf numFmtId="4" fontId="5" fillId="0" borderId="0" xfId="79" applyNumberFormat="1" applyBorder="1">
      <alignment readingOrder="1"/>
    </xf>
    <xf numFmtId="182" fontId="15" fillId="14" borderId="72" xfId="79" applyNumberFormat="1" applyFont="1" applyFill="1" applyBorder="1">
      <alignment readingOrder="1"/>
    </xf>
    <xf numFmtId="43" fontId="0" fillId="0" borderId="0" xfId="1" applyFont="1" applyBorder="1">
      <alignment readingOrder="1"/>
    </xf>
    <xf numFmtId="0" fontId="15" fillId="0" borderId="0" xfId="79" applyFont="1" applyBorder="1" applyAlignment="1">
      <alignment horizontal="right" readingOrder="1"/>
    </xf>
    <xf numFmtId="4" fontId="15" fillId="0" borderId="0" xfId="79" applyNumberFormat="1" applyFont="1" applyFill="1" applyBorder="1">
      <alignment readingOrder="1"/>
    </xf>
    <xf numFmtId="1" fontId="0" fillId="0" borderId="0" xfId="0" quotePrefix="1" applyNumberFormat="1">
      <alignment readingOrder="1"/>
    </xf>
    <xf numFmtId="0" fontId="15" fillId="58" borderId="3" xfId="79" applyFont="1" applyFill="1" applyBorder="1">
      <alignment readingOrder="1"/>
    </xf>
    <xf numFmtId="0" fontId="5" fillId="58" borderId="7" xfId="79" applyFill="1" applyBorder="1">
      <alignment readingOrder="1"/>
    </xf>
    <xf numFmtId="0" fontId="15" fillId="58" borderId="7" xfId="79" applyFont="1" applyFill="1" applyBorder="1">
      <alignment readingOrder="1"/>
    </xf>
    <xf numFmtId="49" fontId="5" fillId="58" borderId="7" xfId="79" applyNumberFormat="1" applyFill="1" applyBorder="1">
      <alignment readingOrder="1"/>
    </xf>
    <xf numFmtId="0" fontId="5" fillId="58" borderId="6" xfId="79" applyFill="1" applyBorder="1">
      <alignment readingOrder="1"/>
    </xf>
    <xf numFmtId="0" fontId="32" fillId="60" borderId="0" xfId="79" applyFont="1" applyFill="1" applyBorder="1" applyAlignment="1">
      <alignment horizontal="center" readingOrder="1"/>
    </xf>
    <xf numFmtId="0" fontId="5" fillId="58" borderId="2" xfId="79" applyNumberFormat="1" applyFill="1" applyBorder="1" applyAlignment="1">
      <alignment horizontal="left" vertical="center" wrapText="1" readingOrder="1"/>
    </xf>
    <xf numFmtId="0" fontId="5" fillId="58" borderId="54" xfId="79" applyNumberFormat="1" applyFill="1" applyBorder="1" applyAlignment="1">
      <alignment horizontal="left" vertical="center" wrapText="1" readingOrder="1"/>
    </xf>
    <xf numFmtId="0" fontId="5" fillId="58" borderId="10" xfId="79" applyNumberFormat="1" applyFill="1" applyBorder="1" applyAlignment="1">
      <alignment horizontal="left" vertical="center" wrapText="1" readingOrder="1"/>
    </xf>
    <xf numFmtId="0" fontId="5" fillId="58" borderId="55" xfId="79" applyNumberFormat="1" applyFill="1" applyBorder="1" applyAlignment="1">
      <alignment horizontal="left" vertical="center" wrapText="1" readingOrder="1"/>
    </xf>
    <xf numFmtId="0" fontId="5" fillId="58" borderId="0" xfId="79" applyNumberFormat="1" applyFill="1" applyBorder="1" applyAlignment="1">
      <alignment horizontal="left" vertical="center" wrapText="1" readingOrder="1"/>
    </xf>
    <xf numFmtId="0" fontId="5" fillId="58" borderId="56" xfId="79" applyNumberFormat="1" applyFill="1" applyBorder="1" applyAlignment="1">
      <alignment horizontal="left" vertical="center" wrapText="1" readingOrder="1"/>
    </xf>
    <xf numFmtId="0" fontId="5" fillId="58" borderId="5" xfId="79" applyNumberFormat="1" applyFill="1" applyBorder="1" applyAlignment="1">
      <alignment horizontal="left" vertical="center" wrapText="1" readingOrder="1"/>
    </xf>
    <xf numFmtId="0" fontId="5" fillId="58" borderId="72" xfId="79" applyNumberFormat="1" applyFill="1" applyBorder="1" applyAlignment="1">
      <alignment horizontal="left" vertical="center" wrapText="1" readingOrder="1"/>
    </xf>
    <xf numFmtId="0" fontId="5" fillId="58" borderId="57" xfId="79" applyNumberFormat="1" applyFill="1" applyBorder="1" applyAlignment="1">
      <alignment horizontal="left" vertical="center" wrapText="1" readingOrder="1"/>
    </xf>
    <xf numFmtId="0" fontId="12" fillId="11" borderId="8" xfId="17" applyFont="1" applyFill="1" applyBorder="1" applyAlignment="1">
      <alignment horizontal="center"/>
    </xf>
    <xf numFmtId="0" fontId="12" fillId="11" borderId="1" xfId="17" applyFont="1" applyFill="1" applyBorder="1" applyAlignment="1">
      <alignment horizontal="center"/>
    </xf>
    <xf numFmtId="0" fontId="12" fillId="11" borderId="4" xfId="17" applyFont="1" applyFill="1" applyBorder="1" applyAlignment="1">
      <alignment horizontal="center"/>
    </xf>
    <xf numFmtId="0" fontId="8" fillId="10" borderId="9" xfId="0" applyFont="1" applyFill="1" applyBorder="1" applyAlignment="1">
      <alignment horizontal="center"/>
    </xf>
    <xf numFmtId="0" fontId="15" fillId="0" borderId="9" xfId="0" applyFont="1" applyBorder="1" applyAlignment="1">
      <alignment horizontal="center"/>
    </xf>
    <xf numFmtId="0" fontId="15" fillId="17" borderId="9" xfId="17" applyFont="1" applyFill="1" applyBorder="1" applyAlignment="1">
      <alignment horizontal="center"/>
    </xf>
    <xf numFmtId="168" fontId="1" fillId="0" borderId="3" xfId="190" applyNumberFormat="1" applyFill="1" applyBorder="1" applyAlignment="1">
      <alignment horizontal="center" vertical="center"/>
    </xf>
    <xf numFmtId="168" fontId="1" fillId="0" borderId="7" xfId="190" applyNumberFormat="1" applyFill="1" applyBorder="1" applyAlignment="1">
      <alignment horizontal="center" vertical="center"/>
    </xf>
    <xf numFmtId="168" fontId="1" fillId="0" borderId="6" xfId="190" applyNumberFormat="1" applyFill="1" applyBorder="1" applyAlignment="1">
      <alignment horizontal="center" vertical="center"/>
    </xf>
    <xf numFmtId="44" fontId="21" fillId="0" borderId="62" xfId="4" applyFont="1" applyFill="1" applyBorder="1" applyAlignment="1">
      <alignment horizontal="center" vertical="center"/>
    </xf>
    <xf numFmtId="44" fontId="21" fillId="0" borderId="64" xfId="4" applyFont="1" applyFill="1" applyBorder="1" applyAlignment="1">
      <alignment horizontal="center" vertical="center"/>
    </xf>
    <xf numFmtId="44" fontId="21" fillId="0" borderId="66" xfId="4" applyFont="1" applyFill="1" applyBorder="1" applyAlignment="1">
      <alignment horizontal="center" vertical="center"/>
    </xf>
    <xf numFmtId="44" fontId="21" fillId="0" borderId="62" xfId="4" applyNumberFormat="1" applyFont="1" applyFill="1" applyBorder="1" applyAlignment="1">
      <alignment horizontal="center" vertical="center"/>
    </xf>
    <xf numFmtId="44" fontId="21" fillId="0" borderId="64" xfId="4" applyNumberFormat="1" applyFont="1" applyFill="1" applyBorder="1" applyAlignment="1">
      <alignment horizontal="center" vertical="center"/>
    </xf>
    <xf numFmtId="44" fontId="21" fillId="0" borderId="66" xfId="4" applyNumberFormat="1" applyFont="1" applyFill="1" applyBorder="1" applyAlignment="1">
      <alignment horizontal="center" vertical="center"/>
    </xf>
    <xf numFmtId="2" fontId="1" fillId="0" borderId="3" xfId="190" applyNumberFormat="1" applyFill="1" applyBorder="1" applyAlignment="1">
      <alignment horizontal="center" vertical="center"/>
    </xf>
    <xf numFmtId="2" fontId="1" fillId="0" borderId="7" xfId="190" applyNumberFormat="1" applyFill="1" applyBorder="1" applyAlignment="1">
      <alignment horizontal="center" vertical="center"/>
    </xf>
    <xf numFmtId="2" fontId="1" fillId="0" borderId="6" xfId="190" applyNumberFormat="1" applyFill="1" applyBorder="1" applyAlignment="1">
      <alignment horizontal="center" vertical="center"/>
    </xf>
    <xf numFmtId="9" fontId="21" fillId="0" borderId="3" xfId="22" applyFont="1" applyFill="1" applyBorder="1" applyAlignment="1">
      <alignment horizontal="center" vertical="center"/>
    </xf>
    <xf numFmtId="9" fontId="21" fillId="0" borderId="7" xfId="22" applyFont="1" applyFill="1" applyBorder="1" applyAlignment="1">
      <alignment horizontal="center" vertical="center"/>
    </xf>
    <xf numFmtId="9" fontId="21" fillId="0" borderId="6" xfId="22" applyFont="1" applyFill="1" applyBorder="1" applyAlignment="1">
      <alignment horizontal="center" vertical="center"/>
    </xf>
    <xf numFmtId="168" fontId="21" fillId="0" borderId="3" xfId="192" applyNumberFormat="1" applyFont="1" applyFill="1" applyBorder="1" applyAlignment="1">
      <alignment horizontal="center" vertical="center"/>
    </xf>
    <xf numFmtId="168" fontId="21" fillId="0" borderId="7" xfId="192" applyNumberFormat="1" applyFont="1" applyFill="1" applyBorder="1" applyAlignment="1">
      <alignment horizontal="center" vertical="center"/>
    </xf>
    <xf numFmtId="168" fontId="21" fillId="0" borderId="6" xfId="192" applyNumberFormat="1" applyFont="1" applyFill="1" applyBorder="1" applyAlignment="1">
      <alignment horizontal="center" vertical="center"/>
    </xf>
    <xf numFmtId="0" fontId="1" fillId="47" borderId="14" xfId="190" applyFill="1" applyBorder="1" applyAlignment="1">
      <alignment horizontal="center" vertical="center" wrapText="1"/>
    </xf>
    <xf numFmtId="0" fontId="1" fillId="47" borderId="9" xfId="190" applyFill="1" applyBorder="1" applyAlignment="1">
      <alignment horizontal="center" vertical="center" wrapText="1"/>
    </xf>
    <xf numFmtId="0" fontId="35" fillId="0" borderId="9" xfId="190" applyFont="1" applyFill="1" applyBorder="1" applyAlignment="1">
      <alignment horizontal="center"/>
    </xf>
    <xf numFmtId="0" fontId="64" fillId="47" borderId="6" xfId="190" applyFont="1" applyFill="1" applyBorder="1" applyAlignment="1">
      <alignment horizontal="center" vertical="center"/>
    </xf>
    <xf numFmtId="0" fontId="64" fillId="47" borderId="9" xfId="190" applyFont="1" applyFill="1" applyBorder="1" applyAlignment="1">
      <alignment horizontal="center" vertical="center"/>
    </xf>
    <xf numFmtId="0" fontId="64" fillId="47" borderId="3" xfId="190" applyFont="1" applyFill="1" applyBorder="1" applyAlignment="1">
      <alignment horizontal="center" vertical="center"/>
    </xf>
    <xf numFmtId="0" fontId="1" fillId="47" borderId="68" xfId="190" applyFill="1" applyBorder="1" applyAlignment="1">
      <alignment horizontal="center" vertical="center"/>
    </xf>
    <xf numFmtId="0" fontId="1" fillId="47" borderId="69" xfId="190" applyFill="1" applyBorder="1" applyAlignment="1">
      <alignment horizontal="center" vertical="center"/>
    </xf>
    <xf numFmtId="0" fontId="1" fillId="47" borderId="55" xfId="190" applyFill="1" applyBorder="1" applyAlignment="1">
      <alignment horizontal="center" vertical="center"/>
    </xf>
    <xf numFmtId="0" fontId="1" fillId="47" borderId="56" xfId="190" applyFill="1" applyBorder="1" applyAlignment="1">
      <alignment horizontal="center" vertical="center"/>
    </xf>
    <xf numFmtId="0" fontId="1" fillId="47" borderId="70" xfId="190" applyFill="1" applyBorder="1" applyAlignment="1">
      <alignment horizontal="center" vertical="center"/>
    </xf>
    <xf numFmtId="0" fontId="1" fillId="47" borderId="71" xfId="190" applyFill="1" applyBorder="1" applyAlignment="1">
      <alignment horizontal="center" vertical="center"/>
    </xf>
    <xf numFmtId="0" fontId="1" fillId="47" borderId="6" xfId="190" applyFill="1" applyBorder="1" applyAlignment="1">
      <alignment horizontal="center" vertical="center"/>
    </xf>
    <xf numFmtId="0" fontId="1" fillId="47" borderId="9" xfId="190" applyFill="1" applyBorder="1" applyAlignment="1">
      <alignment horizontal="center" vertical="center"/>
    </xf>
    <xf numFmtId="0" fontId="1" fillId="47" borderId="17" xfId="190" applyFill="1" applyBorder="1" applyAlignment="1">
      <alignment horizontal="center" vertical="center"/>
    </xf>
    <xf numFmtId="0" fontId="1" fillId="47" borderId="14" xfId="190" applyFill="1" applyBorder="1" applyAlignment="1">
      <alignment horizontal="center" vertical="center"/>
    </xf>
    <xf numFmtId="0" fontId="7" fillId="15" borderId="22" xfId="0" applyFont="1" applyFill="1" applyBorder="1" applyAlignment="1">
      <alignment horizontal="center" readingOrder="1"/>
    </xf>
    <xf numFmtId="0" fontId="31" fillId="47" borderId="18" xfId="19" applyFont="1" applyFill="1" applyBorder="1" applyAlignment="1">
      <alignment horizontal="center" wrapText="1"/>
    </xf>
    <xf numFmtId="0" fontId="31" fillId="47" borderId="20" xfId="19" applyFont="1" applyFill="1" applyBorder="1" applyAlignment="1">
      <alignment horizontal="center" wrapText="1"/>
    </xf>
    <xf numFmtId="0" fontId="31" fillId="47" borderId="19" xfId="19" applyFont="1" applyFill="1" applyBorder="1" applyAlignment="1">
      <alignment horizontal="center" wrapText="1"/>
    </xf>
    <xf numFmtId="0" fontId="5" fillId="7" borderId="8" xfId="80" applyFill="1" applyBorder="1" applyAlignment="1">
      <alignment horizontal="left" wrapText="1"/>
    </xf>
    <xf numFmtId="0" fontId="5" fillId="7" borderId="1" xfId="80" applyFill="1" applyBorder="1" applyAlignment="1">
      <alignment horizontal="left" wrapText="1"/>
    </xf>
    <xf numFmtId="0" fontId="5" fillId="7" borderId="4" xfId="80" applyFill="1" applyBorder="1" applyAlignment="1">
      <alignment horizontal="left" wrapText="1"/>
    </xf>
    <xf numFmtId="0" fontId="15" fillId="43" borderId="0" xfId="0" applyFont="1" applyFill="1">
      <alignment readingOrder="1"/>
    </xf>
    <xf numFmtId="0" fontId="15" fillId="7" borderId="8" xfId="79" applyFont="1" applyFill="1" applyBorder="1" applyAlignment="1">
      <alignment horizontal="left" wrapText="1" readingOrder="1"/>
    </xf>
    <xf numFmtId="0" fontId="15" fillId="7" borderId="1" xfId="79" applyFont="1" applyFill="1" applyBorder="1" applyAlignment="1">
      <alignment horizontal="left" wrapText="1" readingOrder="1"/>
    </xf>
    <xf numFmtId="0" fontId="15" fillId="7" borderId="4" xfId="79" applyFont="1" applyFill="1" applyBorder="1" applyAlignment="1">
      <alignment horizontal="left" wrapText="1" readingOrder="1"/>
    </xf>
    <xf numFmtId="0" fontId="5" fillId="7" borderId="8" xfId="80" applyFont="1" applyFill="1" applyBorder="1" applyAlignment="1">
      <alignment horizontal="left" wrapText="1"/>
    </xf>
    <xf numFmtId="0" fontId="5" fillId="7" borderId="1" xfId="80" applyFont="1" applyFill="1" applyBorder="1" applyAlignment="1">
      <alignment horizontal="left" wrapText="1"/>
    </xf>
    <xf numFmtId="0" fontId="5" fillId="7" borderId="4" xfId="80" applyFont="1" applyFill="1" applyBorder="1" applyAlignment="1">
      <alignment horizontal="left" wrapText="1"/>
    </xf>
    <xf numFmtId="14" fontId="5" fillId="7" borderId="8" xfId="80" applyNumberFormat="1" applyFill="1" applyBorder="1" applyAlignment="1">
      <alignment horizontal="left" wrapText="1"/>
    </xf>
    <xf numFmtId="14" fontId="5" fillId="7" borderId="1" xfId="80" applyNumberFormat="1" applyFill="1" applyBorder="1" applyAlignment="1">
      <alignment horizontal="left" wrapText="1"/>
    </xf>
    <xf numFmtId="14" fontId="5" fillId="7" borderId="4" xfId="80" applyNumberFormat="1" applyFill="1" applyBorder="1" applyAlignment="1">
      <alignment horizontal="left" wrapText="1"/>
    </xf>
    <xf numFmtId="0" fontId="15" fillId="12" borderId="8" xfId="79" applyFont="1" applyFill="1" applyBorder="1" applyAlignment="1">
      <alignment horizontal="center" vertical="center" readingOrder="1"/>
    </xf>
    <xf numFmtId="0" fontId="15" fillId="12" borderId="1" xfId="79" applyFont="1" applyFill="1" applyBorder="1" applyAlignment="1">
      <alignment horizontal="center" vertical="center" readingOrder="1"/>
    </xf>
    <xf numFmtId="0" fontId="15" fillId="12" borderId="4" xfId="79" applyFont="1" applyFill="1" applyBorder="1" applyAlignment="1">
      <alignment horizontal="center" vertical="center" readingOrder="1"/>
    </xf>
    <xf numFmtId="0" fontId="15" fillId="12" borderId="9" xfId="79" applyFont="1" applyFill="1" applyBorder="1" applyAlignment="1">
      <alignment horizontal="center" vertical="center" readingOrder="1"/>
    </xf>
    <xf numFmtId="0" fontId="5" fillId="0" borderId="8" xfId="80" applyFont="1" applyBorder="1" applyAlignment="1">
      <alignment horizontal="center" vertical="center" wrapText="1"/>
    </xf>
    <xf numFmtId="0" fontId="5" fillId="0" borderId="1" xfId="80" applyFont="1" applyBorder="1" applyAlignment="1">
      <alignment horizontal="center" vertical="center" wrapText="1"/>
    </xf>
    <xf numFmtId="0" fontId="5" fillId="0" borderId="4" xfId="80" applyFont="1" applyBorder="1" applyAlignment="1">
      <alignment horizontal="center" vertical="center" wrapText="1"/>
    </xf>
    <xf numFmtId="0" fontId="5" fillId="0" borderId="9" xfId="80" applyFont="1" applyBorder="1" applyAlignment="1">
      <alignment horizontal="center" vertical="center" wrapText="1"/>
    </xf>
    <xf numFmtId="0" fontId="5" fillId="0" borderId="9" xfId="80" applyFont="1" applyFill="1" applyBorder="1" applyAlignment="1">
      <alignment horizontal="center" vertical="center" wrapText="1"/>
    </xf>
    <xf numFmtId="0" fontId="5" fillId="0" borderId="8" xfId="80" applyFont="1" applyFill="1" applyBorder="1" applyAlignment="1">
      <alignment horizontal="center" vertical="center" wrapText="1"/>
    </xf>
    <xf numFmtId="0" fontId="5" fillId="0" borderId="4" xfId="80" applyFont="1" applyFill="1" applyBorder="1" applyAlignment="1">
      <alignment horizontal="center" vertical="center" wrapText="1"/>
    </xf>
    <xf numFmtId="0" fontId="15" fillId="13" borderId="8" xfId="79" applyFont="1" applyFill="1" applyBorder="1" applyAlignment="1">
      <alignment horizontal="center" vertical="center" readingOrder="1"/>
    </xf>
    <xf numFmtId="0" fontId="15" fillId="13" borderId="1" xfId="79" applyFont="1" applyFill="1" applyBorder="1" applyAlignment="1">
      <alignment horizontal="center" vertical="center" readingOrder="1"/>
    </xf>
    <xf numFmtId="0" fontId="15" fillId="13" borderId="4" xfId="79" applyFont="1" applyFill="1" applyBorder="1" applyAlignment="1">
      <alignment horizontal="center" vertical="center" readingOrder="1"/>
    </xf>
    <xf numFmtId="0" fontId="15" fillId="13" borderId="9" xfId="79" applyFont="1" applyFill="1" applyBorder="1" applyAlignment="1">
      <alignment horizontal="center" vertical="center" readingOrder="1"/>
    </xf>
    <xf numFmtId="0" fontId="5" fillId="0" borderId="1" xfId="80" applyFont="1" applyFill="1" applyBorder="1" applyAlignment="1">
      <alignment horizontal="center" vertical="center" wrapText="1"/>
    </xf>
    <xf numFmtId="0" fontId="5" fillId="0" borderId="8" xfId="80" applyFont="1" applyFill="1" applyBorder="1" applyAlignment="1">
      <alignment horizontal="center" vertical="center"/>
    </xf>
    <xf numFmtId="0" fontId="5" fillId="0" borderId="4" xfId="80" applyFont="1" applyFill="1" applyBorder="1" applyAlignment="1">
      <alignment horizontal="center" vertical="center"/>
    </xf>
    <xf numFmtId="0" fontId="5" fillId="44" borderId="8" xfId="80" applyFont="1" applyFill="1" applyBorder="1" applyAlignment="1">
      <alignment horizontal="center" vertical="center" wrapText="1"/>
    </xf>
    <xf numFmtId="0" fontId="5" fillId="44" borderId="4" xfId="80" applyFill="1" applyBorder="1" applyAlignment="1">
      <alignment horizontal="center" vertical="center" wrapText="1"/>
    </xf>
    <xf numFmtId="0" fontId="5" fillId="44" borderId="9" xfId="80" applyFont="1" applyFill="1" applyBorder="1" applyAlignment="1">
      <alignment horizontal="center" vertical="center" wrapText="1"/>
    </xf>
    <xf numFmtId="0" fontId="5" fillId="44" borderId="9" xfId="80" applyFill="1" applyBorder="1" applyAlignment="1">
      <alignment horizontal="center" vertical="center" wrapText="1"/>
    </xf>
    <xf numFmtId="0" fontId="5" fillId="0" borderId="3" xfId="80" applyFont="1" applyBorder="1" applyAlignment="1">
      <alignment horizontal="center" vertical="center" wrapText="1"/>
    </xf>
    <xf numFmtId="0" fontId="5" fillId="0" borderId="7" xfId="80" applyFont="1" applyBorder="1" applyAlignment="1">
      <alignment horizontal="center" vertical="center" wrapText="1"/>
    </xf>
    <xf numFmtId="0" fontId="5" fillId="0" borderId="6" xfId="80" applyFont="1" applyBorder="1" applyAlignment="1">
      <alignment horizontal="center" vertical="center" wrapText="1"/>
    </xf>
    <xf numFmtId="0" fontId="5" fillId="44" borderId="3" xfId="80" applyFont="1" applyFill="1" applyBorder="1" applyAlignment="1">
      <alignment horizontal="center" vertical="center" wrapText="1"/>
    </xf>
    <xf numFmtId="0" fontId="5" fillId="44" borderId="7" xfId="80" applyFont="1" applyFill="1" applyBorder="1" applyAlignment="1">
      <alignment horizontal="center" vertical="center" wrapText="1"/>
    </xf>
    <xf numFmtId="0" fontId="5" fillId="44" borderId="6" xfId="80" applyFont="1" applyFill="1" applyBorder="1" applyAlignment="1">
      <alignment horizontal="center" vertical="center" wrapText="1"/>
    </xf>
    <xf numFmtId="0" fontId="5" fillId="0" borderId="3" xfId="80" applyFont="1" applyBorder="1" applyAlignment="1">
      <alignment horizontal="left" vertical="center" wrapText="1"/>
    </xf>
    <xf numFmtId="0" fontId="5" fillId="0" borderId="7" xfId="80" applyFont="1" applyBorder="1" applyAlignment="1">
      <alignment horizontal="left" vertical="center" wrapText="1"/>
    </xf>
    <xf numFmtId="0" fontId="5" fillId="0" borderId="6" xfId="80" applyFont="1" applyBorder="1" applyAlignment="1">
      <alignment horizontal="left" vertical="center" wrapText="1"/>
    </xf>
    <xf numFmtId="0" fontId="5" fillId="0" borderId="3" xfId="80" applyFont="1" applyFill="1" applyBorder="1" applyAlignment="1">
      <alignment horizontal="left" vertical="center" wrapText="1"/>
    </xf>
    <xf numFmtId="0" fontId="5" fillId="0" borderId="7" xfId="80" applyFont="1" applyFill="1" applyBorder="1" applyAlignment="1">
      <alignment horizontal="left" vertical="center" wrapText="1"/>
    </xf>
    <xf numFmtId="0" fontId="5" fillId="0" borderId="6" xfId="80" applyFont="1" applyFill="1" applyBorder="1" applyAlignment="1">
      <alignment horizontal="left" vertical="center" wrapText="1"/>
    </xf>
    <xf numFmtId="0" fontId="5" fillId="0" borderId="2" xfId="79" applyFill="1" applyBorder="1" applyAlignment="1">
      <alignment horizontal="center" vertical="center" wrapText="1" readingOrder="1"/>
    </xf>
    <xf numFmtId="0" fontId="5" fillId="0" borderId="55" xfId="79" applyFill="1" applyBorder="1" applyAlignment="1">
      <alignment horizontal="center" vertical="center" wrapText="1" readingOrder="1"/>
    </xf>
    <xf numFmtId="0" fontId="5" fillId="0" borderId="5" xfId="79" applyFill="1" applyBorder="1" applyAlignment="1">
      <alignment horizontal="center" vertical="center" wrapText="1" readingOrder="1"/>
    </xf>
    <xf numFmtId="0" fontId="5" fillId="0" borderId="3" xfId="79" applyFont="1" applyFill="1" applyBorder="1" applyAlignment="1">
      <alignment horizontal="center" vertical="center" wrapText="1" readingOrder="1"/>
    </xf>
    <xf numFmtId="0" fontId="5" fillId="0" borderId="7" xfId="79" applyFont="1" applyFill="1" applyBorder="1" applyAlignment="1">
      <alignment horizontal="center" vertical="center" wrapText="1" readingOrder="1"/>
    </xf>
    <xf numFmtId="0" fontId="5" fillId="0" borderId="6" xfId="79" applyFont="1" applyFill="1" applyBorder="1" applyAlignment="1">
      <alignment horizontal="center" vertical="center" wrapText="1" readingOrder="1"/>
    </xf>
    <xf numFmtId="0" fontId="5" fillId="0" borderId="3" xfId="79" applyBorder="1" applyAlignment="1">
      <alignment horizontal="left" vertical="center" wrapText="1" readingOrder="1"/>
    </xf>
    <xf numFmtId="0" fontId="5" fillId="0" borderId="7" xfId="79" applyBorder="1" applyAlignment="1">
      <alignment horizontal="left" vertical="center" wrapText="1" readingOrder="1"/>
    </xf>
    <xf numFmtId="0" fontId="5" fillId="0" borderId="6" xfId="79" applyBorder="1" applyAlignment="1">
      <alignment horizontal="left" vertical="center" wrapText="1" readingOrder="1"/>
    </xf>
    <xf numFmtId="0" fontId="5" fillId="0" borderId="3" xfId="79" applyFill="1" applyBorder="1" applyAlignment="1">
      <alignment horizontal="center" vertical="center" wrapText="1" readingOrder="1"/>
    </xf>
    <xf numFmtId="0" fontId="5" fillId="0" borderId="7" xfId="79" applyFill="1" applyBorder="1" applyAlignment="1">
      <alignment horizontal="center" vertical="center" wrapText="1" readingOrder="1"/>
    </xf>
    <xf numFmtId="0" fontId="5" fillId="0" borderId="6" xfId="79" applyFill="1" applyBorder="1" applyAlignment="1">
      <alignment horizontal="center" vertical="center" wrapText="1" readingOrder="1"/>
    </xf>
    <xf numFmtId="0" fontId="5" fillId="0" borderId="3" xfId="79" applyBorder="1" applyAlignment="1">
      <alignment horizontal="center" vertical="center" readingOrder="1"/>
    </xf>
    <xf numFmtId="0" fontId="5" fillId="0" borderId="7" xfId="79" applyBorder="1" applyAlignment="1">
      <alignment horizontal="center" vertical="center" readingOrder="1"/>
    </xf>
    <xf numFmtId="0" fontId="5" fillId="0" borderId="6" xfId="79" applyBorder="1" applyAlignment="1">
      <alignment horizontal="center" vertical="center" readingOrder="1"/>
    </xf>
    <xf numFmtId="0" fontId="5" fillId="0" borderId="2" xfId="79" applyBorder="1" applyAlignment="1">
      <alignment horizontal="center" vertical="center" wrapText="1" readingOrder="1"/>
    </xf>
    <xf numFmtId="0" fontId="5" fillId="0" borderId="55" xfId="79" applyBorder="1" applyAlignment="1">
      <alignment horizontal="center" vertical="center" wrapText="1" readingOrder="1"/>
    </xf>
    <xf numFmtId="0" fontId="5" fillId="0" borderId="5" xfId="79" applyBorder="1" applyAlignment="1">
      <alignment horizontal="center" vertical="center" wrapText="1" readingOrder="1"/>
    </xf>
    <xf numFmtId="0" fontId="5" fillId="0" borderId="3" xfId="79" applyBorder="1" applyAlignment="1">
      <alignment horizontal="center" vertical="center" wrapText="1" readingOrder="1"/>
    </xf>
    <xf numFmtId="0" fontId="5" fillId="0" borderId="7" xfId="79" applyBorder="1" applyAlignment="1">
      <alignment horizontal="center" vertical="center" wrapText="1" readingOrder="1"/>
    </xf>
    <xf numFmtId="0" fontId="5" fillId="0" borderId="6" xfId="79" applyBorder="1" applyAlignment="1">
      <alignment horizontal="center" vertical="center" wrapText="1" readingOrder="1"/>
    </xf>
    <xf numFmtId="9" fontId="5" fillId="0" borderId="3" xfId="79" applyNumberFormat="1" applyBorder="1" applyAlignment="1">
      <alignment horizontal="center" vertical="center" wrapText="1" readingOrder="1"/>
    </xf>
    <xf numFmtId="9" fontId="5" fillId="0" borderId="7" xfId="79" applyNumberFormat="1" applyBorder="1" applyAlignment="1">
      <alignment horizontal="center" vertical="center" wrapText="1" readingOrder="1"/>
    </xf>
    <xf numFmtId="9" fontId="5" fillId="0" borderId="6" xfId="79" applyNumberFormat="1" applyBorder="1" applyAlignment="1">
      <alignment horizontal="center" vertical="center" wrapText="1" readingOrder="1"/>
    </xf>
    <xf numFmtId="0" fontId="5" fillId="0" borderId="10" xfId="79" applyBorder="1" applyAlignment="1">
      <alignment horizontal="center" vertical="center" wrapText="1" readingOrder="1"/>
    </xf>
    <xf numFmtId="0" fontId="5" fillId="0" borderId="56" xfId="79" applyBorder="1" applyAlignment="1">
      <alignment horizontal="center" vertical="center" wrapText="1" readingOrder="1"/>
    </xf>
    <xf numFmtId="0" fontId="5" fillId="0" borderId="57" xfId="79" applyBorder="1" applyAlignment="1">
      <alignment horizontal="center" vertical="center" wrapText="1" readingOrder="1"/>
    </xf>
    <xf numFmtId="0" fontId="5" fillId="0" borderId="9" xfId="79" applyFont="1" applyBorder="1" applyAlignment="1">
      <alignment horizontal="center" vertical="center" wrapText="1" readingOrder="1"/>
    </xf>
    <xf numFmtId="0" fontId="5" fillId="0" borderId="3" xfId="79" applyFont="1" applyBorder="1" applyAlignment="1">
      <alignment horizontal="center" vertical="top" wrapText="1" readingOrder="1"/>
    </xf>
    <xf numFmtId="0" fontId="5" fillId="0" borderId="7" xfId="79" applyFont="1" applyBorder="1" applyAlignment="1">
      <alignment horizontal="center" vertical="top" wrapText="1" readingOrder="1"/>
    </xf>
    <xf numFmtId="0" fontId="5" fillId="0" borderId="6" xfId="79" applyFont="1" applyBorder="1" applyAlignment="1">
      <alignment horizontal="center" vertical="top" wrapText="1" readingOrder="1"/>
    </xf>
  </cellXfs>
  <cellStyles count="195">
    <cellStyle name="20% - Accent1 2" xfId="82"/>
    <cellStyle name="20% - Accent1 2 2" xfId="146"/>
    <cellStyle name="20% - Accent2 2" xfId="83"/>
    <cellStyle name="20% - Accent3 2" xfId="84"/>
    <cellStyle name="20% - Accent3 2 2" xfId="147"/>
    <cellStyle name="20% - Accent4 2" xfId="85"/>
    <cellStyle name="20% - Accent4 2 2" xfId="148"/>
    <cellStyle name="20% - Accent5 2" xfId="86"/>
    <cellStyle name="20% - Accent6 2" xfId="87"/>
    <cellStyle name="40% - Accent1 2" xfId="88"/>
    <cellStyle name="40% - Accent1 2 2" xfId="149"/>
    <cellStyle name="40% - Accent2 2" xfId="89"/>
    <cellStyle name="40% - Accent2 2 2" xfId="150"/>
    <cellStyle name="40% - Accent3 2" xfId="90"/>
    <cellStyle name="40% - Accent3 2 2" xfId="151"/>
    <cellStyle name="40% - Accent4 2" xfId="91"/>
    <cellStyle name="40% - Accent4 2 2" xfId="152"/>
    <cellStyle name="40% - Accent5 2" xfId="92"/>
    <cellStyle name="40% - Accent6 2" xfId="93"/>
    <cellStyle name="40% - Accent6 2 2" xfId="153"/>
    <cellStyle name="60% - Accent1 2" xfId="94"/>
    <cellStyle name="60% - Accent1 2 2" xfId="154"/>
    <cellStyle name="60% - Accent2 2" xfId="95"/>
    <cellStyle name="60% - Accent2 2 2" xfId="155"/>
    <cellStyle name="60% - Accent3 2" xfId="96"/>
    <cellStyle name="60% - Accent3 2 2" xfId="156"/>
    <cellStyle name="60% - Accent4 2" xfId="97"/>
    <cellStyle name="60% - Accent4 2 2" xfId="157"/>
    <cellStyle name="60% - Accent5 2" xfId="98"/>
    <cellStyle name="60% - Accent6 2" xfId="99"/>
    <cellStyle name="60% - Accent6 2 2" xfId="158"/>
    <cellStyle name="Accent1 2" xfId="100"/>
    <cellStyle name="Accent1 2 2" xfId="159"/>
    <cellStyle name="Accent2 2" xfId="101"/>
    <cellStyle name="Accent3 2" xfId="102"/>
    <cellStyle name="Accent3 2 2" xfId="160"/>
    <cellStyle name="Accent4 2" xfId="103"/>
    <cellStyle name="Accent4 2 2" xfId="161"/>
    <cellStyle name="Accent5 2" xfId="104"/>
    <cellStyle name="Accent6 2" xfId="105"/>
    <cellStyle name="Bad 2" xfId="106"/>
    <cellStyle name="Bad 2 2" xfId="162"/>
    <cellStyle name="Calculation 2" xfId="107"/>
    <cellStyle name="Calculation 2 2" xfId="163"/>
    <cellStyle name="Check Cell 2" xfId="108"/>
    <cellStyle name="Comma" xfId="1" builtinId="3"/>
    <cellStyle name="Comma 2" xfId="2"/>
    <cellStyle name="Comma 2 2" xfId="28"/>
    <cellStyle name="Comma 2 2 2" xfId="109"/>
    <cellStyle name="Comma 2 2 3" xfId="68"/>
    <cellStyle name="Comma 2 3" xfId="110"/>
    <cellStyle name="Comma 2 4" xfId="57"/>
    <cellStyle name="Comma 2 5" xfId="191"/>
    <cellStyle name="Comma 3" xfId="3"/>
    <cellStyle name="Comma 3 2" xfId="29"/>
    <cellStyle name="Comma 3 2 2" xfId="111"/>
    <cellStyle name="Comma 3 2 3" xfId="69"/>
    <cellStyle name="Comma 3 3" xfId="112"/>
    <cellStyle name="Comma 3 4" xfId="58"/>
    <cellStyle name="Currency" xfId="4" builtinId="4"/>
    <cellStyle name="Currency 2" xfId="5"/>
    <cellStyle name="Currency 2 2" xfId="30"/>
    <cellStyle name="Currency 2 2 2" xfId="113"/>
    <cellStyle name="Currency 2 2 3" xfId="70"/>
    <cellStyle name="Currency 2 3" xfId="114"/>
    <cellStyle name="Currency 2 4" xfId="59"/>
    <cellStyle name="Currency 2 5" xfId="192"/>
    <cellStyle name="Currency 3" xfId="6"/>
    <cellStyle name="Currency 3 2" xfId="31"/>
    <cellStyle name="Currency 3 2 2" xfId="115"/>
    <cellStyle name="Currency 3 2 3" xfId="71"/>
    <cellStyle name="Currency 3 3" xfId="116"/>
    <cellStyle name="Currency 3 4" xfId="60"/>
    <cellStyle name="Data Field" xfId="7"/>
    <cellStyle name="Data Field 2" xfId="32"/>
    <cellStyle name="Data Field 2 2" xfId="117"/>
    <cellStyle name="Data Field 2 3" xfId="72"/>
    <cellStyle name="Data Field 3" xfId="118"/>
    <cellStyle name="Data Field 4" xfId="61"/>
    <cellStyle name="Data Name" xfId="8"/>
    <cellStyle name="Date/Time" xfId="9"/>
    <cellStyle name="Explanatory Text 2" xfId="119"/>
    <cellStyle name="Good 2" xfId="120"/>
    <cellStyle name="Heading" xfId="10"/>
    <cellStyle name="Heading 1 2" xfId="121"/>
    <cellStyle name="Heading 1 2 2" xfId="164"/>
    <cellStyle name="Heading 2" xfId="11" builtinId="17" customBuiltin="1"/>
    <cellStyle name="Heading 3 2" xfId="122"/>
    <cellStyle name="Heading 3 2 2" xfId="165"/>
    <cellStyle name="Heading 4 2" xfId="123"/>
    <cellStyle name="Heading 4 2 2" xfId="166"/>
    <cellStyle name="Hyperlink 2" xfId="12"/>
    <cellStyle name="Hyperlink 3" xfId="81"/>
    <cellStyle name="Input 2" xfId="124"/>
    <cellStyle name="Linked Cell 2" xfId="125"/>
    <cellStyle name="Neutral 2" xfId="126"/>
    <cellStyle name="Normal" xfId="0" builtinId="0"/>
    <cellStyle name="Normal 10" xfId="33"/>
    <cellStyle name="Normal 11" xfId="34"/>
    <cellStyle name="Normal 12" xfId="35"/>
    <cellStyle name="Normal 13" xfId="79"/>
    <cellStyle name="Normal 13 2" xfId="80"/>
    <cellStyle name="Normal 14" xfId="144"/>
    <cellStyle name="Normal 14 2" xfId="167"/>
    <cellStyle name="Normal 14 3" xfId="179"/>
    <cellStyle name="Normal 14 4" xfId="186"/>
    <cellStyle name="Normal 15" xfId="145"/>
    <cellStyle name="Normal 15 2" xfId="180"/>
    <cellStyle name="Normal 15 3" xfId="187"/>
    <cellStyle name="Normal 16" xfId="56"/>
    <cellStyle name="Normal 2" xfId="13"/>
    <cellStyle name="Normal 2 2" xfId="14"/>
    <cellStyle name="Normal 2 2 2" xfId="36"/>
    <cellStyle name="Normal 2 2 2 2" xfId="127"/>
    <cellStyle name="Normal 2 2 2 3" xfId="73"/>
    <cellStyle name="Normal 2 2 3" xfId="128"/>
    <cellStyle name="Normal 2 2 4" xfId="63"/>
    <cellStyle name="Normal 2 3" xfId="37"/>
    <cellStyle name="Normal 2 3 2" xfId="38"/>
    <cellStyle name="Normal 2 3 3" xfId="168"/>
    <cellStyle name="Normal 2 4" xfId="39"/>
    <cellStyle name="Normal 2 4 2" xfId="129"/>
    <cellStyle name="Normal 2 4 3" xfId="74"/>
    <cellStyle name="Normal 2 5" xfId="40"/>
    <cellStyle name="Normal 2 6" xfId="130"/>
    <cellStyle name="Normal 2 6 2" xfId="169"/>
    <cellStyle name="Normal 2 7" xfId="62"/>
    <cellStyle name="Normal 2 8" xfId="190"/>
    <cellStyle name="Normal 3" xfId="15"/>
    <cellStyle name="Normal 3 2" xfId="41"/>
    <cellStyle name="Normal 3 2 2" xfId="131"/>
    <cellStyle name="Normal 3 2 3" xfId="75"/>
    <cellStyle name="Normal 3 3" xfId="132"/>
    <cellStyle name="Normal 3 4" xfId="64"/>
    <cellStyle name="Normal 4" xfId="27"/>
    <cellStyle name="Normal 4 2" xfId="42"/>
    <cellStyle name="Normal 4 3" xfId="133"/>
    <cellStyle name="Normal 4 3 2" xfId="178"/>
    <cellStyle name="Normal 4 3 3" xfId="185"/>
    <cellStyle name="Normal 4 4" xfId="170"/>
    <cellStyle name="Normal 4 4 2" xfId="181"/>
    <cellStyle name="Normal 4 4 3" xfId="188"/>
    <cellStyle name="Normal 4 5" xfId="67"/>
    <cellStyle name="Normal 4 5 2" xfId="177"/>
    <cellStyle name="Normal 4 5 3" xfId="184"/>
    <cellStyle name="Normal 4 6" xfId="176"/>
    <cellStyle name="Normal 4 7" xfId="183"/>
    <cellStyle name="Normal 5" xfId="43"/>
    <cellStyle name="Normal 5 2" xfId="44"/>
    <cellStyle name="Normal 6" xfId="45"/>
    <cellStyle name="Normal 7" xfId="46"/>
    <cellStyle name="Normal 7 2" xfId="47"/>
    <cellStyle name="Normal 8" xfId="48"/>
    <cellStyle name="Normal 8 2" xfId="49"/>
    <cellStyle name="Normal 9" xfId="50"/>
    <cellStyle name="Normal 9 2" xfId="134"/>
    <cellStyle name="Normal 9 3" xfId="76"/>
    <cellStyle name="Normal_EStarWASHERResTiersFY07v1_3_postJan07" xfId="16"/>
    <cellStyle name="Normal_MTDUCT" xfId="17"/>
    <cellStyle name="Normal_PC-HVACCONTROLS-D2-6p-D3 2" xfId="194"/>
    <cellStyle name="Normal_PC-LPDPackage-6P-D14" xfId="193"/>
    <cellStyle name="Normal_ProCostFinAssumptions_Sector" xfId="18"/>
    <cellStyle name="Normal_prodraft-248-c_TEDWtest" xfId="19"/>
    <cellStyle name="Normal_PTCSFY07v1_3" xfId="20"/>
    <cellStyle name="Note 2" xfId="135"/>
    <cellStyle name="Note 2 2" xfId="171"/>
    <cellStyle name="Output 2" xfId="136"/>
    <cellStyle name="Output 2 2" xfId="172"/>
    <cellStyle name="Percent" xfId="21" builtinId="5"/>
    <cellStyle name="Percent 2" xfId="22"/>
    <cellStyle name="Percent 2 2" xfId="23"/>
    <cellStyle name="Percent 2 2 2" xfId="51"/>
    <cellStyle name="Percent 2 2 2 2" xfId="137"/>
    <cellStyle name="Percent 2 2 2 3" xfId="77"/>
    <cellStyle name="Percent 2 2 3" xfId="138"/>
    <cellStyle name="Percent 2 2 4" xfId="65"/>
    <cellStyle name="Percent 2 3" xfId="173"/>
    <cellStyle name="Percent 2 3 2" xfId="182"/>
    <cellStyle name="Percent 2 3 3" xfId="189"/>
    <cellStyle name="Percent 3" xfId="24"/>
    <cellStyle name="Percent 3 2" xfId="52"/>
    <cellStyle name="Percent 3 2 2" xfId="139"/>
    <cellStyle name="Percent 3 2 3" xfId="78"/>
    <cellStyle name="Percent 3 3" xfId="140"/>
    <cellStyle name="Percent 3 4" xfId="66"/>
    <cellStyle name="Percent 4" xfId="53"/>
    <cellStyle name="Percent 4 2" xfId="54"/>
    <cellStyle name="Percent 5" xfId="55"/>
    <cellStyle name="Title 2" xfId="141"/>
    <cellStyle name="Title 2 2" xfId="174"/>
    <cellStyle name="Total 2" xfId="142"/>
    <cellStyle name="Total 2 2" xfId="175"/>
    <cellStyle name="Warning Text 2" xfId="143"/>
    <cellStyle name="표준_ENERGY CONSUMP" xfId="25"/>
    <cellStyle name="常规_海外市场服务网站资料操作BOM" xfId="26"/>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4" formatCode="#,##0.0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CACEAE"/>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66"/>
      <color rgb="FFFFFF99"/>
      <color rgb="FFFF9933"/>
      <color rgb="FFFF33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externalLink" Target="externalLinks/externalLink13.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lineMarker"/>
        <c:ser>
          <c:idx val="0"/>
          <c:order val="0"/>
          <c:tx>
            <c:strRef>
              <c:f>Data!$F$223</c:f>
              <c:strCache>
                <c:ptCount val="1"/>
                <c:pt idx="0">
                  <c:v>Average Capacity</c:v>
                </c:pt>
              </c:strCache>
            </c:strRef>
          </c:tx>
          <c:spPr>
            <a:ln w="28575">
              <a:noFill/>
            </a:ln>
          </c:spPr>
          <c:xVal>
            <c:numRef>
              <c:f>Data!$F$224:$F$231</c:f>
              <c:numCache>
                <c:formatCode>0</c:formatCode>
                <c:ptCount val="8"/>
                <c:pt idx="0">
                  <c:v>1.95</c:v>
                </c:pt>
                <c:pt idx="1">
                  <c:v>1.1225000000000001</c:v>
                </c:pt>
                <c:pt idx="2">
                  <c:v>3.6625000000000001</c:v>
                </c:pt>
                <c:pt idx="3">
                  <c:v>2.93</c:v>
                </c:pt>
                <c:pt idx="4">
                  <c:v>21.09</c:v>
                </c:pt>
                <c:pt idx="5">
                  <c:v>1.65</c:v>
                </c:pt>
                <c:pt idx="6">
                  <c:v>3.1142857142857143</c:v>
                </c:pt>
                <c:pt idx="7">
                  <c:v>1.52</c:v>
                </c:pt>
              </c:numCache>
            </c:numRef>
          </c:xVal>
          <c:yVal>
            <c:numRef>
              <c:f>Data!$E$224:$E$231</c:f>
              <c:numCache>
                <c:formatCode>#,##0</c:formatCode>
                <c:ptCount val="8"/>
                <c:pt idx="0">
                  <c:v>640430</c:v>
                </c:pt>
                <c:pt idx="1">
                  <c:v>560190</c:v>
                </c:pt>
                <c:pt idx="2">
                  <c:v>150270</c:v>
                </c:pt>
                <c:pt idx="3">
                  <c:v>131080</c:v>
                </c:pt>
                <c:pt idx="4">
                  <c:v>101040</c:v>
                </c:pt>
                <c:pt idx="5">
                  <c:v>367190</c:v>
                </c:pt>
                <c:pt idx="6">
                  <c:v>190070</c:v>
                </c:pt>
                <c:pt idx="7">
                  <c:v>449390</c:v>
                </c:pt>
              </c:numCache>
            </c:numRef>
          </c:yVal>
        </c:ser>
        <c:axId val="539664384"/>
        <c:axId val="539666304"/>
      </c:scatterChart>
      <c:valAx>
        <c:axId val="539664384"/>
        <c:scaling>
          <c:orientation val="minMax"/>
        </c:scaling>
        <c:axPos val="b"/>
        <c:title>
          <c:tx>
            <c:rich>
              <a:bodyPr/>
              <a:lstStyle/>
              <a:p>
                <a:pPr>
                  <a:defRPr sz="1000" b="1" i="0" u="none" strike="noStrike" baseline="0">
                    <a:solidFill>
                      <a:srgbClr val="000000"/>
                    </a:solidFill>
                    <a:latin typeface="Calibri"/>
                    <a:ea typeface="Calibri"/>
                    <a:cs typeface="Calibri"/>
                  </a:defRPr>
                </a:pPr>
                <a:r>
                  <a:rPr lang="en-US"/>
                  <a:t>Capacity (MGD)</a:t>
                </a:r>
              </a:p>
            </c:rich>
          </c:tx>
          <c:spPr>
            <a:noFill/>
            <a:ln w="25400">
              <a:noFill/>
            </a:ln>
          </c:spPr>
        </c:title>
        <c:numFmt formatCode="0" sourceLinked="1"/>
        <c:maj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39666304"/>
        <c:crosses val="autoZero"/>
        <c:crossBetween val="midCat"/>
      </c:valAx>
      <c:valAx>
        <c:axId val="539666304"/>
        <c:scaling>
          <c:orientation val="minMax"/>
        </c:scaling>
        <c:axPos val="l"/>
        <c:majorGridlines/>
        <c:title>
          <c:tx>
            <c:rich>
              <a:bodyPr/>
              <a:lstStyle/>
              <a:p>
                <a:pPr>
                  <a:defRPr sz="1000" b="1" i="0" u="none" strike="noStrike" baseline="0">
                    <a:solidFill>
                      <a:srgbClr val="000000"/>
                    </a:solidFill>
                    <a:latin typeface="Calibri"/>
                    <a:ea typeface="Calibri"/>
                    <a:cs typeface="Calibri"/>
                  </a:defRPr>
                </a:pPr>
                <a:r>
                  <a:rPr lang="en-US"/>
                  <a:t>Savings (kWh/MGD/yr)</a:t>
                </a:r>
              </a:p>
            </c:rich>
          </c:tx>
          <c:spPr>
            <a:noFill/>
            <a:ln w="25400">
              <a:noFill/>
            </a:ln>
          </c:spPr>
        </c:title>
        <c:numFmt formatCode="#,##0" sourceLinked="1"/>
        <c:maj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39664384"/>
        <c:crosses val="autoZero"/>
        <c:crossBetween val="midCat"/>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844" l="0.70000000000000062" r="0.70000000000000062" t="0.750000000000008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lineMarker"/>
        <c:ser>
          <c:idx val="0"/>
          <c:order val="0"/>
          <c:tx>
            <c:strRef>
              <c:f>Data!$F$223</c:f>
              <c:strCache>
                <c:ptCount val="1"/>
                <c:pt idx="0">
                  <c:v>Average Capacity</c:v>
                </c:pt>
              </c:strCache>
            </c:strRef>
          </c:tx>
          <c:spPr>
            <a:ln w="28575">
              <a:noFill/>
            </a:ln>
          </c:spPr>
          <c:xVal>
            <c:numRef>
              <c:f>Data!$H$224:$H$231</c:f>
              <c:numCache>
                <c:formatCode>General</c:formatCode>
                <c:ptCount val="8"/>
                <c:pt idx="0">
                  <c:v>0.29003461136251801</c:v>
                </c:pt>
                <c:pt idx="1">
                  <c:v>5.0186349675360807E-2</c:v>
                </c:pt>
                <c:pt idx="2">
                  <c:v>0.56377763336216591</c:v>
                </c:pt>
                <c:pt idx="3">
                  <c:v>0.4668676203541095</c:v>
                </c:pt>
                <c:pt idx="4">
                  <c:v>1.3240765797394864</c:v>
                </c:pt>
                <c:pt idx="5">
                  <c:v>0.21748394421390627</c:v>
                </c:pt>
                <c:pt idx="6">
                  <c:v>0.49335845359034802</c:v>
                </c:pt>
                <c:pt idx="7">
                  <c:v>0.18184358794477254</c:v>
                </c:pt>
              </c:numCache>
            </c:numRef>
          </c:xVal>
          <c:yVal>
            <c:numRef>
              <c:f>Data!$G$224:$G$231</c:f>
              <c:numCache>
                <c:formatCode>General</c:formatCode>
                <c:ptCount val="8"/>
                <c:pt idx="0">
                  <c:v>6.397533318676353</c:v>
                </c:pt>
                <c:pt idx="1">
                  <c:v>6.4005828843140362</c:v>
                </c:pt>
                <c:pt idx="2">
                  <c:v>6.3427127715928506</c:v>
                </c:pt>
                <c:pt idx="3">
                  <c:v>6.2833577737829733</c:v>
                </c:pt>
                <c:pt idx="4">
                  <c:v>6.6295961221650419</c:v>
                </c:pt>
                <c:pt idx="5">
                  <c:v>6.0834094443529239</c:v>
                </c:pt>
                <c:pt idx="6">
                  <c:v>6.6173600061770568</c:v>
                </c:pt>
                <c:pt idx="7">
                  <c:v>6.6795605269736971</c:v>
                </c:pt>
              </c:numCache>
            </c:numRef>
          </c:yVal>
        </c:ser>
        <c:axId val="539686016"/>
        <c:axId val="539687936"/>
      </c:scatterChart>
      <c:valAx>
        <c:axId val="539686016"/>
        <c:scaling>
          <c:orientation val="minMax"/>
        </c:scaling>
        <c:axPos val="b"/>
        <c:title>
          <c:tx>
            <c:rich>
              <a:bodyPr/>
              <a:lstStyle/>
              <a:p>
                <a:pPr>
                  <a:defRPr sz="1000" b="1" i="0" u="none" strike="noStrike" baseline="0">
                    <a:solidFill>
                      <a:srgbClr val="000000"/>
                    </a:solidFill>
                    <a:latin typeface="Calibri"/>
                    <a:ea typeface="Calibri"/>
                    <a:cs typeface="Calibri"/>
                  </a:defRPr>
                </a:pPr>
                <a:r>
                  <a:rPr lang="en-US"/>
                  <a:t>Capacity (MGD)</a:t>
                </a:r>
              </a:p>
            </c:rich>
          </c:tx>
          <c:spPr>
            <a:noFill/>
            <a:ln w="25400">
              <a:noFill/>
            </a:ln>
          </c:spPr>
        </c:title>
        <c:numFmt formatCode="General" sourceLinked="1"/>
        <c:maj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39687936"/>
        <c:crosses val="autoZero"/>
        <c:crossBetween val="midCat"/>
      </c:valAx>
      <c:valAx>
        <c:axId val="539687936"/>
        <c:scaling>
          <c:orientation val="minMax"/>
        </c:scaling>
        <c:axPos val="l"/>
        <c:majorGridlines/>
        <c:title>
          <c:tx>
            <c:rich>
              <a:bodyPr/>
              <a:lstStyle/>
              <a:p>
                <a:pPr>
                  <a:defRPr sz="1000" b="1" i="0" u="none" strike="noStrike" baseline="0">
                    <a:solidFill>
                      <a:srgbClr val="000000"/>
                    </a:solidFill>
                    <a:latin typeface="Calibri"/>
                    <a:ea typeface="Calibri"/>
                    <a:cs typeface="Calibri"/>
                  </a:defRPr>
                </a:pPr>
                <a:r>
                  <a:rPr lang="en-US"/>
                  <a:t>Savings (kWh/MGD/yr)</a:t>
                </a:r>
              </a:p>
            </c:rich>
          </c:tx>
          <c:spPr>
            <a:noFill/>
            <a:ln w="25400">
              <a:noFill/>
            </a:ln>
          </c:spPr>
        </c:title>
        <c:numFmt formatCode="General" sourceLinked="1"/>
        <c:maj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39686016"/>
        <c:crosses val="autoZero"/>
        <c:crossBetween val="midCat"/>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866" l="0.70000000000000062" r="0.70000000000000062" t="0.75000000000000866"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800" b="1" i="0" u="none" strike="noStrike" baseline="0">
                <a:solidFill>
                  <a:srgbClr val="000000"/>
                </a:solidFill>
                <a:latin typeface="Calibri"/>
                <a:ea typeface="Calibri"/>
                <a:cs typeface="Calibri"/>
              </a:defRPr>
            </a:pPr>
            <a:r>
              <a:rPr lang="en-US"/>
              <a:t>Cost by Plant Size</a:t>
            </a:r>
          </a:p>
        </c:rich>
      </c:tx>
    </c:title>
    <c:plotArea>
      <c:layout/>
      <c:scatterChart>
        <c:scatterStyle val="smoothMarker"/>
        <c:ser>
          <c:idx val="0"/>
          <c:order val="0"/>
          <c:trendline>
            <c:trendlineType val="power"/>
            <c:dispRSqr val="1"/>
            <c:dispEq val="1"/>
            <c:trendlineLbl>
              <c:layout>
                <c:manualLayout>
                  <c:x val="-2.539412918686795E-2"/>
                  <c:y val="-0.38863214652203104"/>
                </c:manualLayout>
              </c:layout>
              <c:numFmt formatCode="General" sourceLinked="0"/>
              <c:txPr>
                <a:bodyPr/>
                <a:lstStyle/>
                <a:p>
                  <a:pPr>
                    <a:defRPr sz="1000" b="0" i="0" u="none" strike="noStrike" baseline="0">
                      <a:solidFill>
                        <a:srgbClr val="000000"/>
                      </a:solidFill>
                      <a:latin typeface="Calibri"/>
                      <a:ea typeface="Calibri"/>
                      <a:cs typeface="Calibri"/>
                    </a:defRPr>
                  </a:pPr>
                  <a:endParaRPr lang="en-US"/>
                </a:p>
              </c:txPr>
            </c:trendlineLbl>
          </c:trendline>
          <c:xVal>
            <c:numRef>
              <c:f>Data!$F$81:$F$86</c:f>
              <c:numCache>
                <c:formatCode>_(* #,##0_);_(* \(#,##0\);_(* "-"??_);_(@_)</c:formatCode>
                <c:ptCount val="6"/>
                <c:pt idx="0">
                  <c:v>2000000</c:v>
                </c:pt>
                <c:pt idx="1">
                  <c:v>4380000</c:v>
                </c:pt>
                <c:pt idx="2">
                  <c:v>4884730</c:v>
                </c:pt>
                <c:pt idx="3">
                  <c:v>6500000</c:v>
                </c:pt>
                <c:pt idx="4">
                  <c:v>18396000</c:v>
                </c:pt>
                <c:pt idx="5">
                  <c:v>21900000</c:v>
                </c:pt>
              </c:numCache>
            </c:numRef>
          </c:xVal>
          <c:yVal>
            <c:numRef>
              <c:f>Data!$G$81:$G$86</c:f>
              <c:numCache>
                <c:formatCode>_(* #,##0.0_);_(* \(#,##0.0\);_(* "-"??_);_(@_)</c:formatCode>
                <c:ptCount val="6"/>
                <c:pt idx="0">
                  <c:v>2.6800752730799582</c:v>
                </c:pt>
                <c:pt idx="1">
                  <c:v>1.4031392703245791</c:v>
                </c:pt>
                <c:pt idx="2">
                  <c:v>0.34059296779502585</c:v>
                </c:pt>
                <c:pt idx="3">
                  <c:v>0.39966169896002945</c:v>
                </c:pt>
                <c:pt idx="4">
                  <c:v>0.35971075277054287</c:v>
                </c:pt>
                <c:pt idx="5">
                  <c:v>0.29209699953963647</c:v>
                </c:pt>
              </c:numCache>
            </c:numRef>
          </c:yVal>
          <c:smooth val="1"/>
        </c:ser>
        <c:axId val="539708416"/>
        <c:axId val="539735168"/>
      </c:scatterChart>
      <c:valAx>
        <c:axId val="539708416"/>
        <c:scaling>
          <c:orientation val="minMax"/>
        </c:scaling>
        <c:axPos val="b"/>
        <c:title>
          <c:tx>
            <c:rich>
              <a:bodyPr/>
              <a:lstStyle/>
              <a:p>
                <a:pPr>
                  <a:defRPr sz="1000" b="1" i="0" u="none" strike="noStrike" baseline="0">
                    <a:solidFill>
                      <a:srgbClr val="000000"/>
                    </a:solidFill>
                    <a:latin typeface="Calibri"/>
                    <a:ea typeface="Calibri"/>
                    <a:cs typeface="Calibri"/>
                  </a:defRPr>
                </a:pPr>
                <a:r>
                  <a:rPr lang="en-US"/>
                  <a:t>Plant Size</a:t>
                </a:r>
              </a:p>
            </c:rich>
          </c:tx>
        </c:title>
        <c:numFmt formatCode="_(* #,##0_);_(* \(#,##0\);_(* &quot;-&quot;??_);_(@_)" sourceLinked="1"/>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39735168"/>
        <c:crosses val="autoZero"/>
        <c:crossBetween val="midCat"/>
      </c:valAx>
      <c:valAx>
        <c:axId val="539735168"/>
        <c:scaling>
          <c:orientation val="minMax"/>
        </c:scaling>
        <c:axPos val="l"/>
        <c:majorGridlines/>
        <c:minorGridlines/>
        <c:title>
          <c:tx>
            <c:rich>
              <a:bodyPr/>
              <a:lstStyle/>
              <a:p>
                <a:pPr>
                  <a:defRPr sz="1000" b="1" i="0" u="none" strike="noStrike" baseline="0">
                    <a:solidFill>
                      <a:srgbClr val="000000"/>
                    </a:solidFill>
                    <a:latin typeface="Calibri"/>
                    <a:ea typeface="Calibri"/>
                    <a:cs typeface="Calibri"/>
                  </a:defRPr>
                </a:pPr>
                <a:r>
                  <a:rPr lang="en-US"/>
                  <a:t>First Year Cost ($/kWh)</a:t>
                </a:r>
              </a:p>
            </c:rich>
          </c:tx>
        </c:title>
        <c:numFmt formatCode="_(* #,##0.0_);_(* \(#,##0.0\);_(* &quot;-&quot;??_);_(@_)" sourceLinked="1"/>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39708416"/>
        <c:crosses val="autoZero"/>
        <c:crossBetween val="midCat"/>
      </c:valAx>
    </c:plotArea>
    <c:legend>
      <c:legendPos val="r"/>
      <c:txPr>
        <a:bodyPr/>
        <a:lstStyle/>
        <a:p>
          <a:pPr>
            <a:defRPr sz="920"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844" l="0.70000000000000062" r="0.70000000000000062" t="0.75000000000000844"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2095500</xdr:colOff>
      <xdr:row>435</xdr:row>
      <xdr:rowOff>0</xdr:rowOff>
    </xdr:from>
    <xdr:to>
      <xdr:col>1</xdr:col>
      <xdr:colOff>1019175</xdr:colOff>
      <xdr:row>435</xdr:row>
      <xdr:rowOff>0</xdr:rowOff>
    </xdr:to>
    <xdr:sp macro="" textlink="">
      <xdr:nvSpPr>
        <xdr:cNvPr id="2" name="AutoShape 1"/>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3" name="AutoShape 2"/>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4" name="AutoShape 3"/>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5" name="AutoShape 4"/>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6" name="AutoShape 5"/>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 name="AutoShape 6"/>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8" name="AutoShape 7"/>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9" name="AutoShape 8"/>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0" name="AutoShape 9"/>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1" name="AutoShape 10"/>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2" name="AutoShape 11"/>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3" name="AutoShape 12"/>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4" name="AutoShape 13"/>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5" name="AutoShape 14"/>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6" name="AutoShape 15"/>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7" name="AutoShape 16"/>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8" name="AutoShape 17"/>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19" name="AutoShape 18"/>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0" name="AutoShape 19"/>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1" name="AutoShape 20"/>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2" name="AutoShape 21"/>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3" name="AutoShape 22"/>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4" name="AutoShape 23"/>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5" name="AutoShape 24"/>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6" name="AutoShape 25"/>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7" name="AutoShape 26"/>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28" name="AutoShape 27"/>
        <xdr:cNvSpPr>
          <a:spLocks noChangeArrowheads="1"/>
        </xdr:cNvSpPr>
      </xdr:nvSpPr>
      <xdr:spPr bwMode="auto">
        <a:xfrm>
          <a:off x="5686425" y="7620952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2095500</xdr:colOff>
      <xdr:row>435</xdr:row>
      <xdr:rowOff>0</xdr:rowOff>
    </xdr:from>
    <xdr:to>
      <xdr:col>1</xdr:col>
      <xdr:colOff>1019175</xdr:colOff>
      <xdr:row>435</xdr:row>
      <xdr:rowOff>0</xdr:rowOff>
    </xdr:to>
    <xdr:sp macro="" textlink="">
      <xdr:nvSpPr>
        <xdr:cNvPr id="71681" name="AutoShape 1"/>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2" name="AutoShape 2"/>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3" name="AutoShape 3"/>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4" name="AutoShape 4"/>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5" name="AutoShape 5"/>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6" name="AutoShape 6"/>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7" name="AutoShape 7"/>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8" name="AutoShape 8"/>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9" name="AutoShape 9"/>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0" name="AutoShape 10"/>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1" name="AutoShape 11"/>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2" name="AutoShape 12"/>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3" name="AutoShape 13"/>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4" name="AutoShape 14"/>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5" name="AutoShape 15"/>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6" name="AutoShape 16"/>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7" name="AutoShape 17"/>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8" name="AutoShape 18"/>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9" name="AutoShape 19"/>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0" name="AutoShape 20"/>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1" name="AutoShape 21"/>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2" name="AutoShape 22"/>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3" name="AutoShape 23"/>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4" name="AutoShape 24"/>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5" name="AutoShape 25"/>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6" name="AutoShape 26"/>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7" name="AutoShape 27"/>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771525</xdr:colOff>
      <xdr:row>232</xdr:row>
      <xdr:rowOff>85725</xdr:rowOff>
    </xdr:from>
    <xdr:to>
      <xdr:col>7</xdr:col>
      <xdr:colOff>561975</xdr:colOff>
      <xdr:row>246</xdr:row>
      <xdr:rowOff>152400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628650</xdr:colOff>
      <xdr:row>232</xdr:row>
      <xdr:rowOff>38100</xdr:rowOff>
    </xdr:from>
    <xdr:to>
      <xdr:col>11</xdr:col>
      <xdr:colOff>923925</xdr:colOff>
      <xdr:row>246</xdr:row>
      <xdr:rowOff>104775</xdr:rowOff>
    </xdr:to>
    <xdr:graphicFrame macro="">
      <xdr:nvGraphicFramePr>
        <xdr:cNvPr id="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1133475</xdr:colOff>
      <xdr:row>76</xdr:row>
      <xdr:rowOff>152400</xdr:rowOff>
    </xdr:from>
    <xdr:to>
      <xdr:col>11</xdr:col>
      <xdr:colOff>952500</xdr:colOff>
      <xdr:row>95</xdr:row>
      <xdr:rowOff>142875</xdr:rowOff>
    </xdr:to>
    <xdr:graphicFrame macro="">
      <xdr:nvGraphicFramePr>
        <xdr:cNvPr id="4"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47625</xdr:colOff>
      <xdr:row>0</xdr:row>
      <xdr:rowOff>66675</xdr:rowOff>
    </xdr:from>
    <xdr:to>
      <xdr:col>17</xdr:col>
      <xdr:colOff>66675</xdr:colOff>
      <xdr:row>5</xdr:row>
      <xdr:rowOff>76200</xdr:rowOff>
    </xdr:to>
    <xdr:sp macro="" textlink="">
      <xdr:nvSpPr>
        <xdr:cNvPr id="122881" name="Rectangle 1"/>
        <xdr:cNvSpPr>
          <a:spLocks noChangeArrowheads="1"/>
        </xdr:cNvSpPr>
      </xdr:nvSpPr>
      <xdr:spPr bwMode="auto">
        <a:xfrm>
          <a:off x="3095625" y="66675"/>
          <a:ext cx="7334250" cy="819150"/>
        </a:xfrm>
        <a:prstGeom prst="rect">
          <a:avLst/>
        </a:prstGeom>
        <a:solidFill>
          <a:srgbClr val="FFFFFF"/>
        </a:solidFill>
        <a:ln w="9525">
          <a:solidFill>
            <a:srgbClr val="000000"/>
          </a:solidFill>
          <a:miter lim="800000"/>
          <a:headEnd/>
          <a:tailEnd/>
        </a:ln>
      </xdr:spPr>
      <xdr:txBody>
        <a:bodyPr vertOverflow="clip" wrap="square" lIns="45720" tIns="36576" rIns="45720" bIns="36576" anchor="ctr" upright="1"/>
        <a:lstStyle/>
        <a:p>
          <a:pPr algn="ctr" rtl="0">
            <a:defRPr sz="1000"/>
          </a:pPr>
          <a:r>
            <a:rPr lang="en-US" sz="2000" b="0" i="0" u="none" strike="noStrike" baseline="0">
              <a:solidFill>
                <a:srgbClr val="000000"/>
              </a:solidFill>
              <a:latin typeface="Arial"/>
              <a:cs typeface="Arial"/>
            </a:rPr>
            <a:t>Three Kinds of Levelized Costs in ProCost 2.3</a:t>
          </a:r>
        </a:p>
        <a:p>
          <a:pPr algn="ctr" rtl="0">
            <a:defRPr sz="1000"/>
          </a:pPr>
          <a:endParaRPr lang="en-US" sz="1600" b="0" i="0" u="none" strike="noStrike" baseline="0">
            <a:solidFill>
              <a:srgbClr val="000000"/>
            </a:solidFill>
            <a:latin typeface="Arial"/>
            <a:cs typeface="Arial"/>
          </a:endParaRPr>
        </a:p>
        <a:p>
          <a:pPr algn="ctr" rtl="0">
            <a:defRPr sz="1000"/>
          </a:pPr>
          <a:r>
            <a:rPr lang="en-US" sz="1200" b="0" i="0" u="none" strike="noStrike" baseline="0">
              <a:solidFill>
                <a:srgbClr val="000000"/>
              </a:solidFill>
              <a:latin typeface="Arial"/>
              <a:cs typeface="Arial"/>
            </a:rPr>
            <a:t>Expressed in mills/kWh or cents/therm depending on Electric- or Gas-based run</a:t>
          </a:r>
        </a:p>
      </xdr:txBody>
    </xdr:sp>
    <xdr:clientData/>
  </xdr:twoCellAnchor>
  <xdr:twoCellAnchor>
    <xdr:from>
      <xdr:col>0</xdr:col>
      <xdr:colOff>371475</xdr:colOff>
      <xdr:row>11</xdr:row>
      <xdr:rowOff>142875</xdr:rowOff>
    </xdr:from>
    <xdr:to>
      <xdr:col>6</xdr:col>
      <xdr:colOff>47625</xdr:colOff>
      <xdr:row>40</xdr:row>
      <xdr:rowOff>114300</xdr:rowOff>
    </xdr:to>
    <xdr:sp macro="" textlink="">
      <xdr:nvSpPr>
        <xdr:cNvPr id="122882" name="Rectangle 2"/>
        <xdr:cNvSpPr>
          <a:spLocks noChangeArrowheads="1"/>
        </xdr:cNvSpPr>
      </xdr:nvSpPr>
      <xdr:spPr bwMode="auto">
        <a:xfrm>
          <a:off x="371475" y="1924050"/>
          <a:ext cx="3333750" cy="4667250"/>
        </a:xfrm>
        <a:prstGeom prst="rect">
          <a:avLst/>
        </a:prstGeom>
        <a:solidFill>
          <a:srgbClr val="FFFFFF"/>
        </a:solidFill>
        <a:ln w="9525">
          <a:solidFill>
            <a:srgbClr val="000000"/>
          </a:solidFill>
          <a:miter lim="800000"/>
          <a:headEnd/>
          <a:tailEnd/>
        </a:ln>
      </xdr:spPr>
      <xdr:txBody>
        <a:bodyPr vertOverflow="clip" wrap="square" lIns="36576" tIns="32004" rIns="0" bIns="32004" anchor="ctr" upright="1"/>
        <a:lstStyle/>
        <a:p>
          <a:pPr algn="l" rtl="0">
            <a:defRPr sz="1000"/>
          </a:pPr>
          <a:r>
            <a:rPr lang="en-US" sz="1600" b="0" i="0" u="none" strike="noStrike" baseline="0">
              <a:solidFill>
                <a:srgbClr val="000000"/>
              </a:solidFill>
              <a:latin typeface="Arial"/>
              <a:cs typeface="Arial"/>
            </a:rPr>
            <a:t>Sponsor Levelized Costs</a:t>
          </a:r>
        </a:p>
        <a:p>
          <a:pPr algn="l" rtl="0">
            <a:defRPr sz="1000"/>
          </a:pPr>
          <a:endParaRPr lang="en-US" sz="16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Direct and program administrative costs of the measure to sponsor.  Separate costs for each sponsor.</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Depends on share of costs incurred by sponsor, sponsor cost of capital, and financing term which are user-defined inputs.  Includes applicable Capital, O&amp;M, Periodic Replacement and Program Administrative costs.  Sponsor costs are levelized over the life of the program</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Does not include any adjustments for benefits.</a:t>
          </a:r>
        </a:p>
        <a:p>
          <a:pPr algn="l" rtl="0">
            <a:defRPr sz="1000"/>
          </a:pPr>
          <a:endParaRPr lang="en-US" sz="1200" b="0" i="0" u="none" strike="noStrike" baseline="0">
            <a:solidFill>
              <a:srgbClr val="000000"/>
            </a:solidFill>
            <a:latin typeface="Arial"/>
            <a:cs typeface="Arial"/>
          </a:endParaRPr>
        </a:p>
        <a:p>
          <a:pPr algn="l" rtl="0">
            <a:defRPr sz="1000"/>
          </a:pPr>
          <a:r>
            <a:rPr lang="en-US" sz="1200" b="0" i="1" u="sng" strike="noStrike" baseline="0">
              <a:solidFill>
                <a:srgbClr val="000000"/>
              </a:solidFill>
              <a:latin typeface="Arial"/>
              <a:cs typeface="Arial"/>
            </a:rPr>
            <a:t>ProCost variables</a:t>
          </a:r>
          <a:r>
            <a:rPr lang="en-US" sz="1200" b="0" i="1" u="none" strike="noStrike" baseline="0">
              <a:solidFill>
                <a:srgbClr val="000000"/>
              </a:solidFill>
              <a:latin typeface="Arial"/>
              <a:cs typeface="Arial"/>
            </a:rPr>
            <a:t>:  </a:t>
          </a:r>
        </a:p>
        <a:p>
          <a:pPr algn="l" rtl="0">
            <a:defRPr sz="1000"/>
          </a:pPr>
          <a:r>
            <a:rPr lang="en-US" sz="1200" b="0" i="1" u="none" strike="noStrike" baseline="0">
              <a:solidFill>
                <a:srgbClr val="000000"/>
              </a:solidFill>
              <a:latin typeface="Arial"/>
              <a:cs typeface="Arial"/>
            </a:rPr>
            <a:t>ecost_spons</a:t>
          </a:r>
        </a:p>
        <a:p>
          <a:pPr algn="l" rtl="0">
            <a:defRPr sz="1000"/>
          </a:pPr>
          <a:r>
            <a:rPr lang="en-US" sz="1200" b="0" i="1" u="none" strike="noStrike" baseline="0">
              <a:solidFill>
                <a:srgbClr val="000000"/>
              </a:solidFill>
              <a:latin typeface="Arial"/>
              <a:cs typeface="Arial"/>
            </a:rPr>
            <a:t>ecostmeas</a:t>
          </a:r>
        </a:p>
        <a:p>
          <a:pPr algn="l" rtl="0">
            <a:defRPr sz="1000"/>
          </a:pPr>
          <a:r>
            <a:rPr lang="en-US" sz="1200" b="0" i="1" u="none" strike="noStrike" baseline="0">
              <a:solidFill>
                <a:srgbClr val="000000"/>
              </a:solidFill>
              <a:latin typeface="Arial"/>
              <a:cs typeface="Arial"/>
            </a:rPr>
            <a:t>ecostcat</a:t>
          </a:r>
        </a:p>
        <a:p>
          <a:pPr algn="l" rtl="0">
            <a:defRPr sz="1000"/>
          </a:pPr>
          <a:r>
            <a:rPr lang="en-US" sz="1200" b="0" i="1" u="none" strike="noStrike" baseline="0">
              <a:solidFill>
                <a:srgbClr val="000000"/>
              </a:solidFill>
              <a:latin typeface="Arial"/>
              <a:cs typeface="Arial"/>
            </a:rPr>
            <a:t>catecost_spons</a:t>
          </a:r>
        </a:p>
      </xdr:txBody>
    </xdr:sp>
    <xdr:clientData/>
  </xdr:twoCellAnchor>
  <xdr:twoCellAnchor>
    <xdr:from>
      <xdr:col>3</xdr:col>
      <xdr:colOff>581025</xdr:colOff>
      <xdr:row>5</xdr:row>
      <xdr:rowOff>66675</xdr:rowOff>
    </xdr:from>
    <xdr:to>
      <xdr:col>4</xdr:col>
      <xdr:colOff>438150</xdr:colOff>
      <xdr:row>11</xdr:row>
      <xdr:rowOff>0</xdr:rowOff>
    </xdr:to>
    <xdr:sp macro="" textlink="">
      <xdr:nvSpPr>
        <xdr:cNvPr id="122981" name="AutoShape 3"/>
        <xdr:cNvSpPr>
          <a:spLocks noChangeArrowheads="1"/>
        </xdr:cNvSpPr>
      </xdr:nvSpPr>
      <xdr:spPr bwMode="auto">
        <a:xfrm rot="2480745">
          <a:off x="2409825" y="876300"/>
          <a:ext cx="466725" cy="904875"/>
        </a:xfrm>
        <a:prstGeom prst="downArrow">
          <a:avLst>
            <a:gd name="adj1" fmla="val 41389"/>
            <a:gd name="adj2" fmla="val 70864"/>
          </a:avLst>
        </a:prstGeom>
        <a:solidFill>
          <a:srgbClr val="FFFFFF"/>
        </a:solidFill>
        <a:ln w="9525">
          <a:solidFill>
            <a:srgbClr val="000000"/>
          </a:solidFill>
          <a:miter lim="800000"/>
          <a:headEnd/>
          <a:tailEnd/>
        </a:ln>
      </xdr:spPr>
    </xdr:sp>
    <xdr:clientData/>
  </xdr:twoCellAnchor>
  <xdr:twoCellAnchor>
    <xdr:from>
      <xdr:col>6</xdr:col>
      <xdr:colOff>209550</xdr:colOff>
      <xdr:row>11</xdr:row>
      <xdr:rowOff>104775</xdr:rowOff>
    </xdr:from>
    <xdr:to>
      <xdr:col>14</xdr:col>
      <xdr:colOff>314325</xdr:colOff>
      <xdr:row>52</xdr:row>
      <xdr:rowOff>76200</xdr:rowOff>
    </xdr:to>
    <xdr:sp macro="" textlink="">
      <xdr:nvSpPr>
        <xdr:cNvPr id="122884" name="Rectangle 4"/>
        <xdr:cNvSpPr>
          <a:spLocks noChangeArrowheads="1"/>
        </xdr:cNvSpPr>
      </xdr:nvSpPr>
      <xdr:spPr bwMode="auto">
        <a:xfrm>
          <a:off x="3867150" y="1885950"/>
          <a:ext cx="4981575" cy="6610350"/>
        </a:xfrm>
        <a:prstGeom prst="rect">
          <a:avLst/>
        </a:prstGeom>
        <a:solidFill>
          <a:srgbClr val="FFFFFF"/>
        </a:solidFill>
        <a:ln w="9525">
          <a:solidFill>
            <a:srgbClr val="000000"/>
          </a:solidFill>
          <a:miter lim="800000"/>
          <a:headEnd/>
          <a:tailEnd/>
        </a:ln>
      </xdr:spPr>
      <xdr:txBody>
        <a:bodyPr vertOverflow="clip" wrap="square" lIns="36576" tIns="32004" rIns="0" bIns="32004" anchor="ctr" upright="1"/>
        <a:lstStyle/>
        <a:p>
          <a:pPr algn="l" rtl="0">
            <a:defRPr sz="1000"/>
          </a:pPr>
          <a:r>
            <a:rPr lang="en-US" sz="1600" b="0" i="0" u="none" strike="noStrike" baseline="0">
              <a:solidFill>
                <a:srgbClr val="000000"/>
              </a:solidFill>
              <a:latin typeface="Arial"/>
              <a:cs typeface="Arial"/>
            </a:rPr>
            <a:t>Utility System Net Levelized Costs</a:t>
          </a:r>
        </a:p>
        <a:p>
          <a:pPr algn="l" rtl="0">
            <a:defRPr sz="1000"/>
          </a:pPr>
          <a:endParaRPr lang="en-US" sz="16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Direct and program administrative costs incurred by the utility system minus benefits that accrue to the utility system.  There are separate Utility System Net Levelized Costs for the electric and the gas system.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Utility system benefits include deferred transmission and distribution system capacity, risk-mitigation and Regional Act credit all of which are user-determined inputs.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Utility System benefits do not include any  non-energy benefits  such as, other-fuel benefits, O&amp;M benefits or periodic replacement benefits which generally accrue to the customer or to non-utility sponsors.</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Utility System Net Levelized Costs correspond to Utility System B/C ratio with regard to the costs and benefits included.  Benefits are subtracted from costs, then levelized over the life of the program.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When using ProCost to build conservation supply curves, the user should set the Risk-Mitigation Credit to zero so the credit is not reflected in the supply curves.  </a:t>
          </a:r>
        </a:p>
        <a:p>
          <a:pPr algn="l" rtl="0">
            <a:defRPr sz="1000"/>
          </a:pPr>
          <a:endParaRPr lang="en-US" sz="1200" b="0" i="0" u="none" strike="noStrike" baseline="0">
            <a:solidFill>
              <a:srgbClr val="000000"/>
            </a:solidFill>
            <a:latin typeface="Arial"/>
            <a:cs typeface="Arial"/>
          </a:endParaRPr>
        </a:p>
        <a:p>
          <a:pPr algn="l" rtl="0">
            <a:defRPr sz="1000"/>
          </a:pPr>
          <a:r>
            <a:rPr lang="en-US" sz="1200" b="0" i="1" u="sng" strike="noStrike" baseline="0">
              <a:solidFill>
                <a:srgbClr val="000000"/>
              </a:solidFill>
              <a:latin typeface="Arial"/>
              <a:cs typeface="Arial"/>
            </a:rPr>
            <a:t>ProCost variables:</a:t>
          </a:r>
          <a:endParaRPr lang="en-US" sz="1200" b="0" i="1" u="none" strike="noStrike" baseline="0">
            <a:solidFill>
              <a:srgbClr val="000000"/>
            </a:solidFill>
            <a:latin typeface="Arial"/>
            <a:cs typeface="Arial"/>
          </a:endParaRPr>
        </a:p>
        <a:p>
          <a:pPr algn="l" rtl="0">
            <a:defRPr sz="1000"/>
          </a:pPr>
          <a:r>
            <a:rPr lang="en-US" sz="1200" b="0" i="1" u="none" strike="noStrike" baseline="0">
              <a:solidFill>
                <a:srgbClr val="000000"/>
              </a:solidFill>
              <a:latin typeface="Arial"/>
              <a:cs typeface="Arial"/>
            </a:rPr>
            <a:t>EcostmeasUtil, GasECostUtil</a:t>
          </a:r>
        </a:p>
        <a:p>
          <a:pPr algn="l" rtl="0">
            <a:defRPr sz="1000"/>
          </a:pPr>
          <a:r>
            <a:rPr lang="en-US" sz="1200" b="0" i="1" u="none" strike="noStrike" baseline="0">
              <a:solidFill>
                <a:srgbClr val="000000"/>
              </a:solidFill>
              <a:latin typeface="Arial"/>
              <a:cs typeface="Arial"/>
            </a:rPr>
            <a:t>EcostmeasUtil_Flag, GasECostUtil_Flag</a:t>
          </a:r>
        </a:p>
        <a:p>
          <a:pPr algn="l" rtl="0">
            <a:defRPr sz="1000"/>
          </a:pPr>
          <a:r>
            <a:rPr lang="en-US" sz="1200" b="0" i="1" u="none" strike="noStrike" baseline="0">
              <a:solidFill>
                <a:srgbClr val="000000"/>
              </a:solidFill>
              <a:latin typeface="Arial"/>
              <a:cs typeface="Arial"/>
            </a:rPr>
            <a:t>CatECostUtil, GasCatECostUtil</a:t>
          </a:r>
        </a:p>
        <a:p>
          <a:pPr algn="l" rtl="0">
            <a:defRPr sz="1000"/>
          </a:pPr>
          <a:r>
            <a:rPr lang="en-US" sz="1200" b="0" i="1" u="none" strike="noStrike" baseline="0">
              <a:solidFill>
                <a:srgbClr val="000000"/>
              </a:solidFill>
              <a:latin typeface="Arial"/>
              <a:cs typeface="Arial"/>
            </a:rPr>
            <a:t>CatECostUtil_Flag, GasCatECostUtil_Flag</a:t>
          </a:r>
        </a:p>
      </xdr:txBody>
    </xdr:sp>
    <xdr:clientData/>
  </xdr:twoCellAnchor>
  <xdr:twoCellAnchor>
    <xdr:from>
      <xdr:col>9</xdr:col>
      <xdr:colOff>514350</xdr:colOff>
      <xdr:row>6</xdr:row>
      <xdr:rowOff>47625</xdr:rowOff>
    </xdr:from>
    <xdr:to>
      <xdr:col>10</xdr:col>
      <xdr:colOff>361950</xdr:colOff>
      <xdr:row>10</xdr:row>
      <xdr:rowOff>142875</xdr:rowOff>
    </xdr:to>
    <xdr:sp macro="" textlink="">
      <xdr:nvSpPr>
        <xdr:cNvPr id="122983" name="AutoShape 5"/>
        <xdr:cNvSpPr>
          <a:spLocks noChangeArrowheads="1"/>
        </xdr:cNvSpPr>
      </xdr:nvSpPr>
      <xdr:spPr bwMode="auto">
        <a:xfrm>
          <a:off x="6000750" y="1019175"/>
          <a:ext cx="457200" cy="742950"/>
        </a:xfrm>
        <a:prstGeom prst="downArrow">
          <a:avLst>
            <a:gd name="adj1" fmla="val 39537"/>
            <a:gd name="adj2" fmla="val 65000"/>
          </a:avLst>
        </a:prstGeom>
        <a:solidFill>
          <a:srgbClr val="FFFFFF"/>
        </a:solidFill>
        <a:ln w="9525">
          <a:solidFill>
            <a:srgbClr val="000000"/>
          </a:solidFill>
          <a:miter lim="800000"/>
          <a:headEnd/>
          <a:tailEnd/>
        </a:ln>
      </xdr:spPr>
    </xdr:sp>
    <xdr:clientData/>
  </xdr:twoCellAnchor>
  <xdr:twoCellAnchor>
    <xdr:from>
      <xdr:col>17</xdr:col>
      <xdr:colOff>171450</xdr:colOff>
      <xdr:row>5</xdr:row>
      <xdr:rowOff>85725</xdr:rowOff>
    </xdr:from>
    <xdr:to>
      <xdr:col>18</xdr:col>
      <xdr:colOff>28575</xdr:colOff>
      <xdr:row>11</xdr:row>
      <xdr:rowOff>57150</xdr:rowOff>
    </xdr:to>
    <xdr:sp macro="" textlink="">
      <xdr:nvSpPr>
        <xdr:cNvPr id="122984" name="AutoShape 6"/>
        <xdr:cNvSpPr>
          <a:spLocks noChangeArrowheads="1"/>
        </xdr:cNvSpPr>
      </xdr:nvSpPr>
      <xdr:spPr bwMode="auto">
        <a:xfrm rot="-1916186">
          <a:off x="10534650" y="895350"/>
          <a:ext cx="466725" cy="942975"/>
        </a:xfrm>
        <a:prstGeom prst="downArrow">
          <a:avLst>
            <a:gd name="adj1" fmla="val 39565"/>
            <a:gd name="adj2" fmla="val 112413"/>
          </a:avLst>
        </a:prstGeom>
        <a:solidFill>
          <a:srgbClr val="FFFFFF"/>
        </a:solidFill>
        <a:ln w="9525">
          <a:solidFill>
            <a:srgbClr val="000000"/>
          </a:solidFill>
          <a:miter lim="800000"/>
          <a:headEnd/>
          <a:tailEnd/>
        </a:ln>
      </xdr:spPr>
    </xdr:sp>
    <xdr:clientData/>
  </xdr:twoCellAnchor>
  <xdr:twoCellAnchor>
    <xdr:from>
      <xdr:col>14</xdr:col>
      <xdr:colOff>428625</xdr:colOff>
      <xdr:row>11</xdr:row>
      <xdr:rowOff>104775</xdr:rowOff>
    </xdr:from>
    <xdr:to>
      <xdr:col>21</xdr:col>
      <xdr:colOff>295275</xdr:colOff>
      <xdr:row>50</xdr:row>
      <xdr:rowOff>19050</xdr:rowOff>
    </xdr:to>
    <xdr:sp macro="" textlink="">
      <xdr:nvSpPr>
        <xdr:cNvPr id="122887" name="Text Box 7"/>
        <xdr:cNvSpPr txBox="1">
          <a:spLocks noChangeArrowheads="1"/>
        </xdr:cNvSpPr>
      </xdr:nvSpPr>
      <xdr:spPr bwMode="auto">
        <a:xfrm>
          <a:off x="8963025" y="1885950"/>
          <a:ext cx="4133850" cy="6229350"/>
        </a:xfrm>
        <a:prstGeom prst="rect">
          <a:avLst/>
        </a:prstGeom>
        <a:solidFill>
          <a:srgbClr val="FFFFFF"/>
        </a:solidFill>
        <a:ln w="9525">
          <a:solidFill>
            <a:srgbClr val="000000"/>
          </a:solidFill>
          <a:miter lim="800000"/>
          <a:headEnd/>
          <a:tailEnd/>
        </a:ln>
      </xdr:spPr>
      <xdr:txBody>
        <a:bodyPr vertOverflow="clip" wrap="square" lIns="36576" tIns="32004" rIns="0" bIns="32004" anchor="ctr" upright="1"/>
        <a:lstStyle/>
        <a:p>
          <a:pPr algn="l" rtl="0">
            <a:defRPr sz="1000"/>
          </a:pPr>
          <a:r>
            <a:rPr lang="en-US" sz="1600" b="0" i="0" u="none" strike="noStrike" baseline="0">
              <a:solidFill>
                <a:srgbClr val="000000"/>
              </a:solidFill>
              <a:latin typeface="Arial"/>
              <a:cs typeface="Arial"/>
            </a:rPr>
            <a:t>TRC Net Levelized Costs</a:t>
          </a:r>
        </a:p>
        <a:p>
          <a:pPr algn="l" rtl="0">
            <a:defRPr sz="1000"/>
          </a:pPr>
          <a:endParaRPr lang="en-US" sz="16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All costs minus all benefits regardless of which sponsor incurs the cost or accrues the benefits.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TRC Net Levelized Cost includes all applicable costs and all benefits.  In addition to energy system costs and benefits, TRC Net Levelized Cost includes non-energy,   other-fuel, O&amp;M, periodic-replacement and risk-mitigation benefits and costs.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TRC Net Levelized Cost corresponds to TRC B/C ratios with regard to the costs and benefits included.  Benefits are subtracted from costs, then levelized over the life of the program.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The Risk-Mitigation credit is used to determine program cost-effectiveness and impacts both the TRC B/C ratio and the TRC Net Levelized Cost.  If Risk-Mitigation credit is non-zero, TRC Levelized Cost will be reduced by the risk-mitigation benefit.  </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When using ProCost to build conservation supply curves, the user should set the Risk-Mitigation Credit to zero so the credit is not reflected in the supply curves.</a:t>
          </a:r>
        </a:p>
        <a:p>
          <a:pPr algn="l" rtl="0">
            <a:defRPr sz="1000"/>
          </a:pPr>
          <a:endParaRPr lang="en-US" sz="1200" b="0" i="0" u="none" strike="noStrike" baseline="0">
            <a:solidFill>
              <a:srgbClr val="000000"/>
            </a:solidFill>
            <a:latin typeface="Arial"/>
            <a:cs typeface="Arial"/>
          </a:endParaRPr>
        </a:p>
        <a:p>
          <a:pPr algn="l" rtl="0">
            <a:defRPr sz="1000"/>
          </a:pPr>
          <a:r>
            <a:rPr lang="en-US" sz="1200" b="0" i="1" u="sng" strike="noStrike" baseline="0">
              <a:solidFill>
                <a:srgbClr val="000000"/>
              </a:solidFill>
              <a:latin typeface="Arial"/>
              <a:cs typeface="Arial"/>
            </a:rPr>
            <a:t>ProCost variables: </a:t>
          </a:r>
          <a:r>
            <a:rPr lang="en-US" sz="1200" b="0" i="1" u="none" strike="noStrike" baseline="0">
              <a:solidFill>
                <a:srgbClr val="000000"/>
              </a:solidFill>
              <a:latin typeface="Arial"/>
              <a:cs typeface="Arial"/>
            </a:rPr>
            <a:t>  </a:t>
          </a:r>
        </a:p>
        <a:p>
          <a:pPr algn="l" rtl="0">
            <a:defRPr sz="1000"/>
          </a:pPr>
          <a:r>
            <a:rPr lang="en-US" sz="1200" b="0" i="1" u="none" strike="noStrike" baseline="0">
              <a:solidFill>
                <a:srgbClr val="000000"/>
              </a:solidFill>
              <a:latin typeface="Arial"/>
              <a:cs typeface="Arial"/>
            </a:rPr>
            <a:t>EcostmeasTRC, GasEcostmeasTRC</a:t>
          </a:r>
        </a:p>
        <a:p>
          <a:pPr algn="l" rtl="0">
            <a:defRPr sz="1000"/>
          </a:pPr>
          <a:r>
            <a:rPr lang="en-US" sz="1200" b="0" i="1" u="none" strike="noStrike" baseline="0">
              <a:solidFill>
                <a:srgbClr val="000000"/>
              </a:solidFill>
              <a:latin typeface="Arial"/>
              <a:cs typeface="Arial"/>
            </a:rPr>
            <a:t>EcostmeasTRC_Flag, GasEcostmeasTRC_Flag </a:t>
          </a:r>
        </a:p>
        <a:p>
          <a:pPr algn="l" rtl="0">
            <a:defRPr sz="1000"/>
          </a:pPr>
          <a:r>
            <a:rPr lang="en-US" sz="1200" b="0" i="1" u="none" strike="noStrike" baseline="0">
              <a:solidFill>
                <a:srgbClr val="000000"/>
              </a:solidFill>
              <a:latin typeface="Arial"/>
              <a:cs typeface="Arial"/>
            </a:rPr>
            <a:t>CatEcostTRC, GasCatECostTRC</a:t>
          </a:r>
        </a:p>
        <a:p>
          <a:pPr algn="l" rtl="0">
            <a:defRPr sz="1000"/>
          </a:pPr>
          <a:r>
            <a:rPr lang="en-US" sz="1200" b="0" i="1" u="none" strike="noStrike" baseline="0">
              <a:solidFill>
                <a:srgbClr val="000000"/>
              </a:solidFill>
              <a:latin typeface="Arial"/>
              <a:cs typeface="Arial"/>
            </a:rPr>
            <a:t>CatEcostTRC_Flag, GasCatECostTRC_Flag</a:t>
          </a:r>
        </a:p>
        <a:p>
          <a:pPr algn="l" rtl="0">
            <a:defRPr sz="1000"/>
          </a:pPr>
          <a:endParaRPr lang="en-US" sz="1200" b="0" i="1" u="none" strike="noStrike" baseline="0">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0</xdr:colOff>
      <xdr:row>3</xdr:row>
      <xdr:rowOff>0</xdr:rowOff>
    </xdr:from>
    <xdr:to>
      <xdr:col>21</xdr:col>
      <xdr:colOff>232289</xdr:colOff>
      <xdr:row>25</xdr:row>
      <xdr:rowOff>142875</xdr:rowOff>
    </xdr:to>
    <xdr:pic>
      <xdr:nvPicPr>
        <xdr:cNvPr id="3" name="Picture 3"/>
        <xdr:cNvPicPr>
          <a:picLocks noChangeAspect="1" noChangeArrowheads="1"/>
        </xdr:cNvPicPr>
      </xdr:nvPicPr>
      <xdr:blipFill>
        <a:blip xmlns:r="http://schemas.openxmlformats.org/officeDocument/2006/relationships" r:embed="rId1" cstate="print"/>
        <a:srcRect r="43782" b="41602"/>
        <a:stretch>
          <a:fillRect/>
        </a:stretch>
      </xdr:blipFill>
      <xdr:spPr bwMode="auto">
        <a:xfrm>
          <a:off x="6705600" y="561975"/>
          <a:ext cx="6328289" cy="3705225"/>
        </a:xfrm>
        <a:prstGeom prst="rect">
          <a:avLst/>
        </a:prstGeom>
        <a:noFill/>
      </xdr:spPr>
    </xdr:pic>
    <xdr:clientData/>
  </xdr:twoCellAnchor>
  <xdr:twoCellAnchor>
    <xdr:from>
      <xdr:col>11</xdr:col>
      <xdr:colOff>0</xdr:colOff>
      <xdr:row>28</xdr:row>
      <xdr:rowOff>0</xdr:rowOff>
    </xdr:from>
    <xdr:to>
      <xdr:col>21</xdr:col>
      <xdr:colOff>266699</xdr:colOff>
      <xdr:row>59</xdr:row>
      <xdr:rowOff>134331</xdr:rowOff>
    </xdr:to>
    <xdr:pic>
      <xdr:nvPicPr>
        <xdr:cNvPr id="4" name="Picture 1"/>
        <xdr:cNvPicPr>
          <a:picLocks noChangeAspect="1" noChangeArrowheads="1"/>
        </xdr:cNvPicPr>
      </xdr:nvPicPr>
      <xdr:blipFill>
        <a:blip xmlns:r="http://schemas.openxmlformats.org/officeDocument/2006/relationships" r:embed="rId2" cstate="print"/>
        <a:srcRect l="24260" r="27911" b="31215"/>
        <a:stretch>
          <a:fillRect/>
        </a:stretch>
      </xdr:blipFill>
      <xdr:spPr bwMode="auto">
        <a:xfrm>
          <a:off x="6705600" y="4648200"/>
          <a:ext cx="6362699" cy="515400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KS\Commercial\Com_Master-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1\Adam\LOCALS~1\Temp\Temporary%20Directory%203%20for%20rewaterandwastewater.zip\SC-SewageTreatment-D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CG\Main\RTF\PC-RTF-Walk-I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OM-VRF-7P_V2.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G\Main\Plan%205\Commercial\Assessment\FinalPlan\PC-ExitSigns-D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CG\Main\Plan%205\Commercial\Assessment\HVAC\PC-LPDPackageRetro-D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KS\Commercial\Com%20Master.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Wastewater/Wastewater%20Projects%20Data_BacGen%20and%20more_NOTFORDISTRIBUTION_new.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COM-WaterSupply-7P_V5.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Wastewater/EPA%20Data%20Set.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Wastewater/ESI%20Data%20for%20NWPCC_v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CODE"/>
      <sheetName val="CHAR"/>
      <sheetName val="Floor"/>
      <sheetName val="Vars"/>
      <sheetName val="Labels"/>
      <sheetName val="Lookup"/>
      <sheetName val="Tally"/>
      <sheetName val="Bundles"/>
      <sheetName val="AcqTable"/>
      <sheetName val="EUI"/>
      <sheetName val="To Do"/>
      <sheetName val="Notes"/>
    </sheetNames>
    <sheetDataSet>
      <sheetData sheetId="0" refreshError="1"/>
      <sheetData sheetId="1"/>
      <sheetData sheetId="2" refreshError="1"/>
      <sheetData sheetId="3">
        <row r="10">
          <cell r="B10" t="str">
            <v>Integrated Building Design-New</v>
          </cell>
          <cell r="C10">
            <v>0.47499999999999998</v>
          </cell>
          <cell r="D10">
            <v>0.47499999999999998</v>
          </cell>
          <cell r="E10">
            <v>0.29099999999999998</v>
          </cell>
          <cell r="F10">
            <v>0.15000000000000002</v>
          </cell>
          <cell r="G10">
            <v>0.19600000000000001</v>
          </cell>
          <cell r="H10">
            <v>0.19600000000000001</v>
          </cell>
          <cell r="I10">
            <v>0.19600000000000001</v>
          </cell>
          <cell r="J10">
            <v>0.7360000000000001</v>
          </cell>
          <cell r="K10">
            <v>0.7360000000000001</v>
          </cell>
          <cell r="L10">
            <v>0.19600000000000001</v>
          </cell>
          <cell r="M10">
            <v>0.47499999999999998</v>
          </cell>
          <cell r="N10">
            <v>0.19600000000000001</v>
          </cell>
          <cell r="O10">
            <v>0.19600000000000001</v>
          </cell>
          <cell r="P10">
            <v>0.19600000000000001</v>
          </cell>
          <cell r="Q10">
            <v>0.7360000000000001</v>
          </cell>
          <cell r="R10">
            <v>0.7360000000000001</v>
          </cell>
          <cell r="S10">
            <v>0.66499999999999992</v>
          </cell>
          <cell r="T10">
            <v>0.28499999999999998</v>
          </cell>
        </row>
        <row r="11">
          <cell r="B11" t="str">
            <v>LPD Package-New</v>
          </cell>
          <cell r="C11">
            <v>0.47250000000000003</v>
          </cell>
          <cell r="D11">
            <v>0.47250000000000003</v>
          </cell>
          <cell r="E11">
            <v>0.68773000000000006</v>
          </cell>
          <cell r="F11">
            <v>0.63749999999999996</v>
          </cell>
          <cell r="G11">
            <v>0.6432000000000001</v>
          </cell>
          <cell r="H11">
            <v>0.76380000000000003</v>
          </cell>
          <cell r="I11">
            <v>0.76380000000000003</v>
          </cell>
          <cell r="J11">
            <v>0.22439999999999991</v>
          </cell>
          <cell r="K11">
            <v>0.23759999999999992</v>
          </cell>
          <cell r="L11">
            <v>0.40200000000000002</v>
          </cell>
          <cell r="M11">
            <v>0.47250000000000003</v>
          </cell>
          <cell r="N11">
            <v>0.72360000000000002</v>
          </cell>
          <cell r="O11">
            <v>0.68340000000000001</v>
          </cell>
          <cell r="P11">
            <v>0.6432000000000001</v>
          </cell>
          <cell r="Q11">
            <v>0.19799999999999993</v>
          </cell>
          <cell r="R11">
            <v>0.21119999999999994</v>
          </cell>
          <cell r="S11">
            <v>0.31825000000000003</v>
          </cell>
          <cell r="T11">
            <v>0.60775000000000001</v>
          </cell>
        </row>
        <row r="12">
          <cell r="B12" t="str">
            <v>LPD Package-NR</v>
          </cell>
          <cell r="C12">
            <v>0.9</v>
          </cell>
          <cell r="D12">
            <v>0.9</v>
          </cell>
          <cell r="E12">
            <v>0.97</v>
          </cell>
          <cell r="F12">
            <v>0.75</v>
          </cell>
          <cell r="G12">
            <v>0.8</v>
          </cell>
          <cell r="H12">
            <v>0.95</v>
          </cell>
          <cell r="I12">
            <v>0.95</v>
          </cell>
          <cell r="J12">
            <v>0.85</v>
          </cell>
          <cell r="K12">
            <v>0.9</v>
          </cell>
          <cell r="L12">
            <v>0.5</v>
          </cell>
          <cell r="M12">
            <v>0.9</v>
          </cell>
          <cell r="N12">
            <v>0.9</v>
          </cell>
          <cell r="O12">
            <v>0.85</v>
          </cell>
          <cell r="P12">
            <v>0.8</v>
          </cell>
          <cell r="Q12">
            <v>0.75</v>
          </cell>
          <cell r="R12">
            <v>0.8</v>
          </cell>
          <cell r="S12">
            <v>0.95</v>
          </cell>
          <cell r="T12">
            <v>0.85</v>
          </cell>
        </row>
        <row r="13">
          <cell r="B13" t="str">
            <v>LPD Package-Retro</v>
          </cell>
          <cell r="C13">
            <v>0.8</v>
          </cell>
          <cell r="D13">
            <v>0.8</v>
          </cell>
          <cell r="E13">
            <v>0.8</v>
          </cell>
          <cell r="F13">
            <v>0.75</v>
          </cell>
          <cell r="G13">
            <v>0.75</v>
          </cell>
          <cell r="H13">
            <v>0.75</v>
          </cell>
          <cell r="I13">
            <v>0.75</v>
          </cell>
          <cell r="J13">
            <v>0.8</v>
          </cell>
          <cell r="K13">
            <v>0.8</v>
          </cell>
          <cell r="L13">
            <v>0.75</v>
          </cell>
          <cell r="M13">
            <v>0.5</v>
          </cell>
          <cell r="N13">
            <v>0.5</v>
          </cell>
          <cell r="O13">
            <v>0.75</v>
          </cell>
          <cell r="P13">
            <v>0.85</v>
          </cell>
          <cell r="Q13">
            <v>0.75</v>
          </cell>
          <cell r="R13">
            <v>0.75</v>
          </cell>
          <cell r="S13">
            <v>0.8</v>
          </cell>
          <cell r="T13">
            <v>0.8</v>
          </cell>
        </row>
        <row r="14">
          <cell r="B14" t="str">
            <v>Top Daylighting-New</v>
          </cell>
          <cell r="E14">
            <v>0.20631900000000003</v>
          </cell>
          <cell r="F14">
            <v>0.255</v>
          </cell>
          <cell r="G14">
            <v>0.36180000000000001</v>
          </cell>
          <cell r="J14">
            <v>0.10559999999999997</v>
          </cell>
          <cell r="L14">
            <v>0.57888000000000006</v>
          </cell>
          <cell r="M14">
            <v>0.23625000000000002</v>
          </cell>
          <cell r="T14">
            <v>0.14014000000000001</v>
          </cell>
        </row>
        <row r="15">
          <cell r="B15" t="str">
            <v>Top Daylighting-NR</v>
          </cell>
        </row>
        <row r="16">
          <cell r="B16" t="str">
            <v>Top Daylighting-Retro</v>
          </cell>
        </row>
        <row r="17">
          <cell r="B17" t="str">
            <v>Perimeter Daylighting Controls (Advanced)-New</v>
          </cell>
          <cell r="C17">
            <v>0.21000000000000002</v>
          </cell>
          <cell r="D17">
            <v>0.21000000000000002</v>
          </cell>
          <cell r="E17">
            <v>0.31905000000000006</v>
          </cell>
          <cell r="J17">
            <v>3.9599999999999989E-2</v>
          </cell>
          <cell r="K17">
            <v>0.10559999999999997</v>
          </cell>
          <cell r="R17">
            <v>5.0159999999999982E-2</v>
          </cell>
          <cell r="S17">
            <v>6.3650000000000012E-2</v>
          </cell>
          <cell r="T17">
            <v>3.39625E-2</v>
          </cell>
        </row>
        <row r="18">
          <cell r="B18" t="str">
            <v>Perimeter Daylighting Controls (Advanced)-NR</v>
          </cell>
          <cell r="C18">
            <v>0.27</v>
          </cell>
          <cell r="D18">
            <v>0.27</v>
          </cell>
          <cell r="E18">
            <v>0.28499999999999998</v>
          </cell>
          <cell r="J18">
            <v>0.21</v>
          </cell>
          <cell r="K18">
            <v>0.24</v>
          </cell>
          <cell r="R18">
            <v>9.5000000000000001E-2</v>
          </cell>
          <cell r="S18">
            <v>0.19</v>
          </cell>
          <cell r="T18">
            <v>4.7500000000000001E-2</v>
          </cell>
        </row>
        <row r="19">
          <cell r="B19" t="str">
            <v>Perimeter Daylighting Controls (Advanced)-Retro</v>
          </cell>
        </row>
        <row r="20">
          <cell r="B20" t="str">
            <v>Lighting Controls Interior-New</v>
          </cell>
          <cell r="C20">
            <v>0.23625000000000002</v>
          </cell>
          <cell r="D20">
            <v>0.24937499999999999</v>
          </cell>
          <cell r="E20">
            <v>0.34386500000000003</v>
          </cell>
          <cell r="F20">
            <v>0.1275</v>
          </cell>
          <cell r="G20">
            <v>0.20100000000000001</v>
          </cell>
          <cell r="H20">
            <v>0.28139999999999998</v>
          </cell>
          <cell r="I20">
            <v>0.20100000000000001</v>
          </cell>
          <cell r="J20">
            <v>0.10559999999999997</v>
          </cell>
          <cell r="K20">
            <v>0.10559999999999997</v>
          </cell>
          <cell r="L20">
            <v>0.32160000000000005</v>
          </cell>
          <cell r="M20">
            <v>7.8750000000000014E-2</v>
          </cell>
          <cell r="N20">
            <v>0.20100000000000001</v>
          </cell>
          <cell r="O20">
            <v>0.38190000000000002</v>
          </cell>
          <cell r="P20">
            <v>0.38190000000000002</v>
          </cell>
          <cell r="Q20">
            <v>0.10559999999999997</v>
          </cell>
          <cell r="R20">
            <v>0.10559999999999997</v>
          </cell>
          <cell r="S20">
            <v>0.15075000000000005</v>
          </cell>
          <cell r="T20">
            <v>0.32175000000000004</v>
          </cell>
        </row>
        <row r="21">
          <cell r="B21" t="str">
            <v>Lighting Controls Interior-NR</v>
          </cell>
          <cell r="C21">
            <v>0.9</v>
          </cell>
          <cell r="D21">
            <v>0.95</v>
          </cell>
          <cell r="E21">
            <v>0.97</v>
          </cell>
          <cell r="F21">
            <v>0.5</v>
          </cell>
          <cell r="G21">
            <v>0.7</v>
          </cell>
          <cell r="H21">
            <v>0.8</v>
          </cell>
          <cell r="I21">
            <v>0.7</v>
          </cell>
          <cell r="J21">
            <v>0.8</v>
          </cell>
          <cell r="K21">
            <v>0.8</v>
          </cell>
          <cell r="L21">
            <v>0.9</v>
          </cell>
          <cell r="M21">
            <v>0.5</v>
          </cell>
          <cell r="N21">
            <v>0.7</v>
          </cell>
          <cell r="O21">
            <v>0.95</v>
          </cell>
          <cell r="P21">
            <v>0.95</v>
          </cell>
          <cell r="Q21">
            <v>0.9</v>
          </cell>
          <cell r="R21">
            <v>0.9</v>
          </cell>
          <cell r="S21">
            <v>0.9</v>
          </cell>
          <cell r="T21">
            <v>0.9</v>
          </cell>
        </row>
        <row r="22">
          <cell r="B22" t="str">
            <v>Lighting Controls Interior-Retro</v>
          </cell>
          <cell r="C22">
            <v>0.95</v>
          </cell>
          <cell r="D22">
            <v>0.95</v>
          </cell>
          <cell r="E22">
            <v>0.97</v>
          </cell>
          <cell r="F22">
            <v>0.8</v>
          </cell>
          <cell r="G22">
            <v>0.8</v>
          </cell>
          <cell r="H22">
            <v>0.9</v>
          </cell>
          <cell r="I22">
            <v>0.8</v>
          </cell>
          <cell r="J22">
            <v>0.9</v>
          </cell>
          <cell r="K22">
            <v>0.9</v>
          </cell>
          <cell r="L22">
            <v>0.9</v>
          </cell>
          <cell r="M22">
            <v>0.8</v>
          </cell>
          <cell r="N22">
            <v>0.9</v>
          </cell>
          <cell r="O22">
            <v>0.95</v>
          </cell>
          <cell r="P22">
            <v>0.95</v>
          </cell>
          <cell r="Q22">
            <v>0.95</v>
          </cell>
          <cell r="R22">
            <v>0.95</v>
          </cell>
          <cell r="S22">
            <v>0.95</v>
          </cell>
          <cell r="T22">
            <v>0.95</v>
          </cell>
        </row>
        <row r="23">
          <cell r="B23" t="str">
            <v>ECM on VAV Boxes-New</v>
          </cell>
          <cell r="C23">
            <v>0.189</v>
          </cell>
          <cell r="D23">
            <v>7.3499999999999996E-2</v>
          </cell>
          <cell r="I23">
            <v>0</v>
          </cell>
          <cell r="J23">
            <v>6.5999999999999975E-2</v>
          </cell>
          <cell r="K23">
            <v>6.3359999999999986E-2</v>
          </cell>
          <cell r="Q23">
            <v>7.9199999999999965E-2</v>
          </cell>
          <cell r="R23">
            <v>0.10559999999999997</v>
          </cell>
          <cell r="S23">
            <v>3.015000000000001E-2</v>
          </cell>
          <cell r="T23">
            <v>0.12870000000000001</v>
          </cell>
        </row>
        <row r="24">
          <cell r="B24" t="str">
            <v>ECM on VAV Boxes-NR</v>
          </cell>
          <cell r="C24">
            <v>0.17092786979145649</v>
          </cell>
          <cell r="D24">
            <v>0.12843122321255571</v>
          </cell>
          <cell r="I24">
            <v>5.5195017371427055E-2</v>
          </cell>
          <cell r="J24">
            <v>7.0308166557715268E-2</v>
          </cell>
          <cell r="K24">
            <v>0.10049473535163278</v>
          </cell>
          <cell r="Q24">
            <v>0.10545257808290627</v>
          </cell>
          <cell r="R24">
            <v>9.6053256161218764E-2</v>
          </cell>
          <cell r="S24">
            <v>5.1352912126539065E-2</v>
          </cell>
          <cell r="T24">
            <v>8.5657010200160755E-2</v>
          </cell>
        </row>
        <row r="25">
          <cell r="B25" t="str">
            <v>ECM on VAV Boxes-Retro</v>
          </cell>
        </row>
        <row r="26">
          <cell r="B26" t="str">
            <v>Premium HVAC Equipment-New</v>
          </cell>
          <cell r="C26">
            <v>0.47250000000000003</v>
          </cell>
          <cell r="D26">
            <v>0.47250000000000003</v>
          </cell>
          <cell r="E26">
            <v>0.63810000000000011</v>
          </cell>
          <cell r="F26">
            <v>0.76500000000000001</v>
          </cell>
          <cell r="G26">
            <v>0.72360000000000002</v>
          </cell>
          <cell r="H26">
            <v>0.72360000000000002</v>
          </cell>
          <cell r="I26">
            <v>0.72360000000000002</v>
          </cell>
          <cell r="J26">
            <v>0.23759999999999992</v>
          </cell>
          <cell r="K26">
            <v>0.23759999999999992</v>
          </cell>
          <cell r="L26">
            <v>0.72360000000000002</v>
          </cell>
          <cell r="M26">
            <v>0.47250000000000003</v>
          </cell>
          <cell r="N26">
            <v>0.72360000000000002</v>
          </cell>
          <cell r="O26">
            <v>0.72360000000000002</v>
          </cell>
          <cell r="P26">
            <v>0.72360000000000002</v>
          </cell>
          <cell r="Q26">
            <v>0.23759999999999992</v>
          </cell>
          <cell r="R26">
            <v>0.23759999999999992</v>
          </cell>
          <cell r="S26">
            <v>0.3015000000000001</v>
          </cell>
          <cell r="T26">
            <v>0.64350000000000007</v>
          </cell>
        </row>
        <row r="27">
          <cell r="B27" t="str">
            <v>Premium HVAC Equipment-NR</v>
          </cell>
          <cell r="C27">
            <v>0.9</v>
          </cell>
          <cell r="D27">
            <v>0.9</v>
          </cell>
          <cell r="E27">
            <v>0.9</v>
          </cell>
          <cell r="F27">
            <v>0.9</v>
          </cell>
          <cell r="G27">
            <v>0.9</v>
          </cell>
          <cell r="H27">
            <v>0.9</v>
          </cell>
          <cell r="I27">
            <v>0.9</v>
          </cell>
          <cell r="J27">
            <v>0.9</v>
          </cell>
          <cell r="K27">
            <v>0.9</v>
          </cell>
          <cell r="L27">
            <v>0.9</v>
          </cell>
          <cell r="M27">
            <v>0.9</v>
          </cell>
          <cell r="N27">
            <v>0.9</v>
          </cell>
          <cell r="O27">
            <v>0.9</v>
          </cell>
          <cell r="P27">
            <v>0.9</v>
          </cell>
          <cell r="Q27">
            <v>0.9</v>
          </cell>
          <cell r="R27">
            <v>0.9</v>
          </cell>
          <cell r="S27">
            <v>0.9</v>
          </cell>
          <cell r="T27">
            <v>0.9</v>
          </cell>
        </row>
        <row r="28">
          <cell r="B28" t="str">
            <v>Premium HVAC Equipment-Retro</v>
          </cell>
        </row>
        <row r="29">
          <cell r="B29" t="str">
            <v>Glass-New</v>
          </cell>
          <cell r="C29">
            <v>0.3654</v>
          </cell>
          <cell r="D29">
            <v>0.41454000000000008</v>
          </cell>
          <cell r="E29">
            <v>0.55472160000000004</v>
          </cell>
          <cell r="F29">
            <v>0.524926</v>
          </cell>
          <cell r="G29">
            <v>0.49700868000000004</v>
          </cell>
          <cell r="H29">
            <v>0.62966867999999998</v>
          </cell>
          <cell r="I29">
            <v>0.43717499999999998</v>
          </cell>
          <cell r="J29">
            <v>0.22614239999999991</v>
          </cell>
          <cell r="K29">
            <v>0.20908799999999994</v>
          </cell>
          <cell r="L29">
            <v>0.42415019999999998</v>
          </cell>
          <cell r="M29">
            <v>0.41363699999999998</v>
          </cell>
          <cell r="N29">
            <v>0.62662152000000004</v>
          </cell>
          <cell r="O29">
            <v>0.62309995497600001</v>
          </cell>
          <cell r="P29">
            <v>0.60119100000000003</v>
          </cell>
          <cell r="Q29">
            <v>0.21188639999999992</v>
          </cell>
          <cell r="R29">
            <v>0.19575599999999993</v>
          </cell>
          <cell r="S29">
            <v>0.33500000000000008</v>
          </cell>
          <cell r="T29">
            <v>0.54954900000000007</v>
          </cell>
        </row>
        <row r="30">
          <cell r="B30" t="str">
            <v>Glass-NR</v>
          </cell>
          <cell r="C30">
            <v>0.27839999999999998</v>
          </cell>
          <cell r="D30">
            <v>0.31584000000000007</v>
          </cell>
          <cell r="E30">
            <v>0.62592000000000003</v>
          </cell>
          <cell r="F30">
            <v>0.49404800000000004</v>
          </cell>
          <cell r="G30">
            <v>0.49453600000000003</v>
          </cell>
          <cell r="H30">
            <v>0.62653599999999998</v>
          </cell>
          <cell r="I30">
            <v>0.27187499999999998</v>
          </cell>
          <cell r="J30">
            <v>0.68528000000000011</v>
          </cell>
          <cell r="K30">
            <v>0.39600000000000002</v>
          </cell>
          <cell r="L30">
            <v>0.42203999999999997</v>
          </cell>
          <cell r="M30">
            <v>0.39393999999999996</v>
          </cell>
          <cell r="N30">
            <v>0.38968999999999998</v>
          </cell>
          <cell r="O30">
            <v>0.61999995519999995</v>
          </cell>
          <cell r="P30">
            <v>0.59820000000000007</v>
          </cell>
          <cell r="Q30">
            <v>0.40129999999999999</v>
          </cell>
          <cell r="R30">
            <v>0.59320000000000006</v>
          </cell>
          <cell r="S30">
            <v>0.8</v>
          </cell>
          <cell r="T30">
            <v>0.38429999999999997</v>
          </cell>
        </row>
        <row r="31">
          <cell r="B31" t="str">
            <v>Glass-Retro</v>
          </cell>
          <cell r="C31">
            <v>0.13919999999999999</v>
          </cell>
          <cell r="D31">
            <v>0.18950400000000001</v>
          </cell>
          <cell r="E31">
            <v>0.12518400000000002</v>
          </cell>
          <cell r="F31">
            <v>0.29642879999999999</v>
          </cell>
          <cell r="G31">
            <v>0.29672159999999997</v>
          </cell>
          <cell r="H31">
            <v>0.37592159999999997</v>
          </cell>
          <cell r="I31">
            <v>0.16312499999999999</v>
          </cell>
          <cell r="J31">
            <v>0.41116799999999998</v>
          </cell>
          <cell r="K31">
            <v>0.23760000000000001</v>
          </cell>
          <cell r="L31">
            <v>0.12661199999999997</v>
          </cell>
          <cell r="M31">
            <v>0.15757599999999999</v>
          </cell>
          <cell r="N31">
            <v>0.15587600000000001</v>
          </cell>
          <cell r="O31">
            <v>0.49599996416000008</v>
          </cell>
          <cell r="P31">
            <v>0.17946000000000001</v>
          </cell>
          <cell r="Q31">
            <v>0.24077999999999999</v>
          </cell>
          <cell r="R31">
            <v>0.35592000000000001</v>
          </cell>
          <cell r="S31">
            <v>0.3</v>
          </cell>
          <cell r="T31">
            <v>0.19214999999999999</v>
          </cell>
        </row>
        <row r="32">
          <cell r="B32" t="str">
            <v>Package Roof Top Optimization &amp; Repair-New</v>
          </cell>
        </row>
        <row r="33">
          <cell r="B33" t="str">
            <v>Package Roof Top Optimization &amp; Repair-NR</v>
          </cell>
        </row>
        <row r="34">
          <cell r="B34" t="str">
            <v>Package Roof Top Optimization &amp; Repair-Retro</v>
          </cell>
          <cell r="C34">
            <v>7.7468677322209439E-2</v>
          </cell>
          <cell r="D34">
            <v>0.57440352804443162</v>
          </cell>
          <cell r="E34">
            <v>0.87109413293764892</v>
          </cell>
          <cell r="F34">
            <v>0.90363824299650453</v>
          </cell>
          <cell r="G34">
            <v>0.7289588571341673</v>
          </cell>
          <cell r="H34">
            <v>0.7289588571341673</v>
          </cell>
          <cell r="I34">
            <v>0.45850749748885433</v>
          </cell>
          <cell r="J34">
            <v>0.19212014717232331</v>
          </cell>
          <cell r="K34">
            <v>0.26826193202492099</v>
          </cell>
          <cell r="L34">
            <v>0.33249999999999996</v>
          </cell>
          <cell r="M34">
            <v>0.71708917807350647</v>
          </cell>
          <cell r="N34">
            <v>0.89840640509685676</v>
          </cell>
          <cell r="O34">
            <v>0.72438021196990066</v>
          </cell>
          <cell r="P34">
            <v>0.3076410167395302</v>
          </cell>
          <cell r="Q34">
            <v>0.17011243721388764</v>
          </cell>
          <cell r="R34">
            <v>0.52413467198060115</v>
          </cell>
          <cell r="S34">
            <v>0.52174831040527792</v>
          </cell>
          <cell r="T34">
            <v>0.47822245600313801</v>
          </cell>
        </row>
        <row r="35">
          <cell r="B35" t="str">
            <v>Variable Speed Chiller-New</v>
          </cell>
          <cell r="C35">
            <v>0.47250000000000003</v>
          </cell>
          <cell r="D35">
            <v>0.47250000000000003</v>
          </cell>
          <cell r="I35">
            <v>0.72360000000000002</v>
          </cell>
          <cell r="J35">
            <v>0.23759999999999992</v>
          </cell>
          <cell r="K35">
            <v>0.23759999999999992</v>
          </cell>
          <cell r="P35">
            <v>0.72360000000000002</v>
          </cell>
          <cell r="Q35">
            <v>0.23759999999999992</v>
          </cell>
          <cell r="R35">
            <v>0.23759999999999992</v>
          </cell>
          <cell r="S35">
            <v>0.3015000000000001</v>
          </cell>
          <cell r="T35">
            <v>0.64350000000000007</v>
          </cell>
        </row>
        <row r="36">
          <cell r="B36" t="str">
            <v>Variable Speed Chiller-NR</v>
          </cell>
          <cell r="C36">
            <v>0.9</v>
          </cell>
          <cell r="D36">
            <v>0.9</v>
          </cell>
          <cell r="I36">
            <v>0.9</v>
          </cell>
          <cell r="J36">
            <v>0.9</v>
          </cell>
          <cell r="K36">
            <v>0.9</v>
          </cell>
          <cell r="P36">
            <v>0.9</v>
          </cell>
          <cell r="Q36">
            <v>0.9</v>
          </cell>
          <cell r="R36">
            <v>0.9</v>
          </cell>
          <cell r="S36">
            <v>0.9</v>
          </cell>
          <cell r="T36">
            <v>0.9</v>
          </cell>
        </row>
        <row r="37">
          <cell r="B37" t="str">
            <v>Variable Speed Chiller-Retro</v>
          </cell>
          <cell r="K37">
            <v>0</v>
          </cell>
          <cell r="Q37">
            <v>0</v>
          </cell>
          <cell r="R37">
            <v>0</v>
          </cell>
          <cell r="T37">
            <v>0</v>
          </cell>
        </row>
        <row r="38">
          <cell r="B38" t="str">
            <v>Controls Commission (Complex HVAC)-New</v>
          </cell>
          <cell r="C38">
            <v>0.22470000000000004</v>
          </cell>
          <cell r="D38">
            <v>0.26964000000000005</v>
          </cell>
          <cell r="E38">
            <v>0.48552320000000004</v>
          </cell>
          <cell r="F38">
            <v>0.5970399999999999</v>
          </cell>
          <cell r="G38">
            <v>0.56472959999999994</v>
          </cell>
          <cell r="H38">
            <v>0.56472959999999994</v>
          </cell>
          <cell r="I38">
            <v>0.42354719999999996</v>
          </cell>
          <cell r="J38">
            <v>0.13685759999999994</v>
          </cell>
          <cell r="K38">
            <v>0.13685759999999994</v>
          </cell>
          <cell r="L38">
            <v>0.65268720000000002</v>
          </cell>
          <cell r="M38">
            <v>0.27593999999999996</v>
          </cell>
          <cell r="N38">
            <v>0.63387360000000004</v>
          </cell>
          <cell r="O38">
            <v>0.64255679999999993</v>
          </cell>
          <cell r="P38">
            <v>0.65268720000000002</v>
          </cell>
          <cell r="Q38">
            <v>0.11721599999999995</v>
          </cell>
          <cell r="R38">
            <v>0.18627839999999993</v>
          </cell>
          <cell r="S38">
            <v>0.23584000000000005</v>
          </cell>
          <cell r="T38">
            <v>0.57200000000000006</v>
          </cell>
        </row>
        <row r="39">
          <cell r="B39" t="str">
            <v>Controls Commission (Complex HVAC)-NR</v>
          </cell>
        </row>
        <row r="40">
          <cell r="B40" t="str">
            <v>Controls Commission (Complex HVAC)-Retro</v>
          </cell>
          <cell r="C40">
            <v>0.9</v>
          </cell>
          <cell r="D40">
            <v>0.9</v>
          </cell>
          <cell r="E40">
            <v>0.9</v>
          </cell>
          <cell r="F40">
            <v>0.9</v>
          </cell>
          <cell r="G40">
            <v>0.9</v>
          </cell>
          <cell r="H40">
            <v>0.9</v>
          </cell>
          <cell r="I40">
            <v>0.9</v>
          </cell>
          <cell r="J40">
            <v>0.9</v>
          </cell>
          <cell r="K40">
            <v>0.9</v>
          </cell>
          <cell r="L40">
            <v>0.9</v>
          </cell>
          <cell r="M40">
            <v>0.9</v>
          </cell>
          <cell r="N40">
            <v>0.9</v>
          </cell>
          <cell r="O40">
            <v>0.9</v>
          </cell>
          <cell r="P40">
            <v>0.9</v>
          </cell>
          <cell r="Q40">
            <v>0.9</v>
          </cell>
          <cell r="R40">
            <v>0.9</v>
          </cell>
          <cell r="S40">
            <v>0.9</v>
          </cell>
          <cell r="T40">
            <v>0.9</v>
          </cell>
        </row>
        <row r="41">
          <cell r="B41" t="str">
            <v>Evaporative Assist Cooling-New</v>
          </cell>
          <cell r="C41">
            <v>1.575E-2</v>
          </cell>
          <cell r="D41">
            <v>6.8250000000000005E-2</v>
          </cell>
          <cell r="E41">
            <v>0.13471000000000002</v>
          </cell>
          <cell r="F41">
            <v>0.16320000000000001</v>
          </cell>
          <cell r="G41">
            <v>0.157584</v>
          </cell>
          <cell r="H41">
            <v>0.157584</v>
          </cell>
          <cell r="I41">
            <v>0.12864000000000003</v>
          </cell>
          <cell r="J41">
            <v>1.1615999999999996E-2</v>
          </cell>
          <cell r="K41">
            <v>1.4783999999999997E-2</v>
          </cell>
          <cell r="L41">
            <v>5.6279999999999997E-2</v>
          </cell>
          <cell r="M41">
            <v>9.240000000000001E-2</v>
          </cell>
          <cell r="N41">
            <v>0.14150400000000002</v>
          </cell>
          <cell r="O41">
            <v>0.14150400000000002</v>
          </cell>
          <cell r="P41">
            <v>0.10934400000000001</v>
          </cell>
          <cell r="Q41">
            <v>1.5839999999999995E-3</v>
          </cell>
          <cell r="R41">
            <v>1.1615999999999996E-2</v>
          </cell>
          <cell r="S41">
            <v>4.6900000000000004E-2</v>
          </cell>
          <cell r="T41">
            <v>7.579000000000001E-2</v>
          </cell>
        </row>
        <row r="42">
          <cell r="B42" t="str">
            <v>Evaporative Assist Cooling-NR</v>
          </cell>
          <cell r="C42">
            <v>1.6309195225728306E-2</v>
          </cell>
          <cell r="D42">
            <v>0.12092705853566983</v>
          </cell>
          <cell r="E42">
            <v>0.18338823851318928</v>
          </cell>
          <cell r="F42">
            <v>0.19023963010452727</v>
          </cell>
          <cell r="G42">
            <v>0.15346502255456154</v>
          </cell>
          <cell r="H42">
            <v>0.15346502255456154</v>
          </cell>
          <cell r="I42">
            <v>9.6527894208179865E-2</v>
          </cell>
          <cell r="J42">
            <v>4.04463467731207E-2</v>
          </cell>
          <cell r="K42">
            <v>5.647619621577285E-2</v>
          </cell>
          <cell r="L42">
            <v>6.9999999999999993E-2</v>
          </cell>
          <cell r="M42">
            <v>0.15096614275231718</v>
          </cell>
          <cell r="N42">
            <v>0.18913819054670669</v>
          </cell>
          <cell r="O42">
            <v>0.15250109725682121</v>
          </cell>
          <cell r="P42">
            <v>6.4766529839901096E-2</v>
          </cell>
          <cell r="Q42">
            <v>3.5813144676607921E-2</v>
          </cell>
          <cell r="R42">
            <v>0.11034414146960025</v>
          </cell>
          <cell r="S42">
            <v>0.10434966208105559</v>
          </cell>
          <cell r="T42">
            <v>0.10067841179013433</v>
          </cell>
        </row>
        <row r="43">
          <cell r="B43" t="str">
            <v>Evaporative Assist Cooling-Retro</v>
          </cell>
        </row>
        <row r="44">
          <cell r="B44" t="str">
            <v>Low Pressure Distribution (Complex HVAC)-New</v>
          </cell>
          <cell r="C44">
            <v>0.2008125</v>
          </cell>
          <cell r="D44">
            <v>8.2687499999999997E-2</v>
          </cell>
          <cell r="E44">
            <v>0</v>
          </cell>
          <cell r="F44">
            <v>0</v>
          </cell>
          <cell r="G44">
            <v>0</v>
          </cell>
          <cell r="H44">
            <v>0</v>
          </cell>
          <cell r="I44">
            <v>8.0400000000000013E-2</v>
          </cell>
          <cell r="J44">
            <v>0.10249799999999998</v>
          </cell>
          <cell r="K44">
            <v>9.4960799999999956E-2</v>
          </cell>
          <cell r="L44">
            <v>0</v>
          </cell>
          <cell r="M44">
            <v>0</v>
          </cell>
          <cell r="N44">
            <v>0</v>
          </cell>
          <cell r="O44">
            <v>0</v>
          </cell>
          <cell r="P44">
            <v>0.13016760000000002</v>
          </cell>
          <cell r="Q44">
            <v>0.12846239999999995</v>
          </cell>
          <cell r="R44">
            <v>0.10272239999999995</v>
          </cell>
          <cell r="S44">
            <v>5.025000000000001E-2</v>
          </cell>
          <cell r="T44">
            <v>0.16006526250000003</v>
          </cell>
        </row>
        <row r="45">
          <cell r="B45" t="str">
            <v>Low Pressure Distribution (Complex HVAC)-NR</v>
          </cell>
        </row>
        <row r="46">
          <cell r="B46" t="str">
            <v>Low Pressure Distribution (Complex HVAC)-Retro</v>
          </cell>
        </row>
        <row r="47">
          <cell r="B47" t="str">
            <v>Fan &amp; Ventilation Control (Simple HVAC)-New</v>
          </cell>
          <cell r="C47">
            <v>3.9375E-2</v>
          </cell>
          <cell r="D47">
            <v>0.17062500000000003</v>
          </cell>
          <cell r="E47">
            <v>0.33677500000000005</v>
          </cell>
          <cell r="F47">
            <v>0.28559999999999997</v>
          </cell>
          <cell r="G47">
            <v>0.39396000000000003</v>
          </cell>
          <cell r="H47">
            <v>0.39396000000000003</v>
          </cell>
          <cell r="I47">
            <v>0.32160000000000005</v>
          </cell>
          <cell r="J47">
            <v>2.9039999999999989E-2</v>
          </cell>
          <cell r="K47">
            <v>3.6959999999999993E-2</v>
          </cell>
          <cell r="L47">
            <v>0.14069999999999999</v>
          </cell>
          <cell r="M47">
            <v>0.23100000000000001</v>
          </cell>
          <cell r="N47">
            <v>0.35376000000000002</v>
          </cell>
          <cell r="O47">
            <v>0.35376000000000002</v>
          </cell>
          <cell r="P47">
            <v>0.27336000000000005</v>
          </cell>
          <cell r="Q47">
            <v>3.9599999999999982E-3</v>
          </cell>
          <cell r="R47">
            <v>2.9039999999999989E-2</v>
          </cell>
          <cell r="S47">
            <v>0.11725000000000002</v>
          </cell>
          <cell r="T47">
            <v>0.18947500000000003</v>
          </cell>
        </row>
        <row r="48">
          <cell r="B48" t="str">
            <v>Fan &amp; Ventilation Control (Simple HVAC)-NR</v>
          </cell>
          <cell r="C48">
            <v>4.077298806432076E-2</v>
          </cell>
          <cell r="D48">
            <v>0.30231764633917457</v>
          </cell>
          <cell r="E48">
            <v>0.45847059628297315</v>
          </cell>
          <cell r="F48">
            <v>0.47559907526131817</v>
          </cell>
          <cell r="G48">
            <v>0.38366255638640384</v>
          </cell>
          <cell r="H48">
            <v>0.38366255638640384</v>
          </cell>
          <cell r="I48">
            <v>0.24131973552044966</v>
          </cell>
          <cell r="J48">
            <v>0.10111586693280175</v>
          </cell>
          <cell r="K48">
            <v>0.14119049053943211</v>
          </cell>
          <cell r="L48">
            <v>0.17499999999999999</v>
          </cell>
          <cell r="M48">
            <v>0.37741535688079292</v>
          </cell>
          <cell r="N48">
            <v>0.47284547636676671</v>
          </cell>
          <cell r="O48">
            <v>0.38125274314205299</v>
          </cell>
          <cell r="P48">
            <v>0.16191632459975275</v>
          </cell>
          <cell r="Q48">
            <v>8.9532861691519805E-2</v>
          </cell>
          <cell r="R48">
            <v>0.27586035367400064</v>
          </cell>
          <cell r="S48">
            <v>0.26087415520263896</v>
          </cell>
          <cell r="T48">
            <v>0.25169602947533581</v>
          </cell>
        </row>
        <row r="49">
          <cell r="B49" t="str">
            <v>Fan &amp; Ventilation Control (Simple HVAC)-Retro</v>
          </cell>
          <cell r="C49">
            <v>4.077298806432076E-2</v>
          </cell>
          <cell r="D49">
            <v>0.30231764633917457</v>
          </cell>
          <cell r="E49">
            <v>0.45847059628297315</v>
          </cell>
          <cell r="F49">
            <v>0.47559907526131817</v>
          </cell>
          <cell r="G49">
            <v>0.38366255638640384</v>
          </cell>
          <cell r="H49">
            <v>0.38366255638640384</v>
          </cell>
          <cell r="I49">
            <v>0.24131973552044966</v>
          </cell>
          <cell r="J49">
            <v>0.10111586693280175</v>
          </cell>
          <cell r="K49">
            <v>0.14119049053943211</v>
          </cell>
          <cell r="L49">
            <v>0.17499999999999999</v>
          </cell>
          <cell r="M49">
            <v>0.37741535688079292</v>
          </cell>
          <cell r="N49">
            <v>0.47284547636676671</v>
          </cell>
          <cell r="O49">
            <v>0.38125274314205299</v>
          </cell>
          <cell r="P49">
            <v>0.16191632459975275</v>
          </cell>
          <cell r="Q49">
            <v>8.9532861691519805E-2</v>
          </cell>
          <cell r="R49">
            <v>0.27586035367400064</v>
          </cell>
          <cell r="S49">
            <v>0.26087415520263896</v>
          </cell>
          <cell r="T49">
            <v>0.25169602947533581</v>
          </cell>
        </row>
        <row r="50">
          <cell r="B50" t="str">
            <v>Demand Control Ventilation-New</v>
          </cell>
        </row>
        <row r="51">
          <cell r="B51" t="str">
            <v>Demand Control Ventilation-NR</v>
          </cell>
        </row>
        <row r="52">
          <cell r="B52" t="str">
            <v>Demand Control Ventilation-Retro</v>
          </cell>
          <cell r="U52">
            <v>2.4E-2</v>
          </cell>
        </row>
        <row r="53">
          <cell r="B53" t="str">
            <v>Efficienct fans, pumps and drives-New</v>
          </cell>
          <cell r="C53">
            <v>0.40162500000000001</v>
          </cell>
          <cell r="D53">
            <v>0.16537499999999999</v>
          </cell>
          <cell r="E53">
            <v>3.5450000000000002E-2</v>
          </cell>
          <cell r="F53">
            <v>3.1194999999999997E-2</v>
          </cell>
          <cell r="G53">
            <v>1.6080000000000001E-2</v>
          </cell>
          <cell r="H53">
            <v>1.6080000000000001E-2</v>
          </cell>
          <cell r="I53">
            <v>0.14472000000000002</v>
          </cell>
          <cell r="J53">
            <v>0.20499599999999996</v>
          </cell>
          <cell r="K53">
            <v>0.17092943999999993</v>
          </cell>
          <cell r="L53">
            <v>8.2892400000000019E-2</v>
          </cell>
          <cell r="M53">
            <v>6.0690000000000008E-2</v>
          </cell>
          <cell r="N53">
            <v>9.2942400000000008E-2</v>
          </cell>
          <cell r="O53">
            <v>9.2942400000000008E-2</v>
          </cell>
          <cell r="P53">
            <v>0.26033520000000004</v>
          </cell>
          <cell r="Q53">
            <v>0.23123231999999991</v>
          </cell>
          <cell r="R53">
            <v>0.18490031999999992</v>
          </cell>
          <cell r="S53">
            <v>0.10050000000000002</v>
          </cell>
          <cell r="T53">
            <v>0.3369795000000001</v>
          </cell>
        </row>
        <row r="54">
          <cell r="B54" t="str">
            <v>Efficienct fans, pumps and drives-NR</v>
          </cell>
          <cell r="C54">
            <v>0.2293386189986151</v>
          </cell>
          <cell r="D54">
            <v>9.5213057517730362E-2</v>
          </cell>
          <cell r="E54">
            <v>4.1529403717026896E-2</v>
          </cell>
          <cell r="F54">
            <v>2.2144449343400825E-2</v>
          </cell>
          <cell r="G54">
            <v>3.5063472503183764E-2</v>
          </cell>
          <cell r="H54">
            <v>1.4148283560766443E-2</v>
          </cell>
          <cell r="I54">
            <v>9.612831495294788E-2</v>
          </cell>
          <cell r="J54">
            <v>0.37964240229481344</v>
          </cell>
          <cell r="K54">
            <v>0.19295103608882</v>
          </cell>
          <cell r="L54">
            <v>3.7655960154967957E-2</v>
          </cell>
          <cell r="M54">
            <v>5.2304856440088317E-2</v>
          </cell>
          <cell r="N54">
            <v>2.6705745720978759E-2</v>
          </cell>
          <cell r="O54">
            <v>3.3181598546134228E-2</v>
          </cell>
          <cell r="P54">
            <v>0.22412406654787179</v>
          </cell>
          <cell r="Q54">
            <v>0.21697113763585124</v>
          </cell>
          <cell r="R54">
            <v>0.13668499782703664</v>
          </cell>
          <cell r="S54">
            <v>0.15</v>
          </cell>
          <cell r="T54">
            <v>9.2241400030624893E-2</v>
          </cell>
        </row>
        <row r="55">
          <cell r="B55" t="str">
            <v>Efficienct fans, pumps and drives-Retro</v>
          </cell>
        </row>
        <row r="56">
          <cell r="B56" t="str">
            <v>Duct Sealing and Repair</v>
          </cell>
        </row>
        <row r="57">
          <cell r="B57" t="str">
            <v>Duct Sealing and Repair</v>
          </cell>
        </row>
        <row r="58">
          <cell r="B58" t="str">
            <v>Duct Sealing and Repair</v>
          </cell>
        </row>
        <row r="59">
          <cell r="B59" t="str">
            <v>Roof Insulation-New</v>
          </cell>
        </row>
        <row r="60">
          <cell r="B60" t="str">
            <v>Roof Insulation-NR</v>
          </cell>
          <cell r="C60">
            <v>0.75</v>
          </cell>
          <cell r="D60">
            <v>0.75</v>
          </cell>
          <cell r="E60">
            <v>0.75</v>
          </cell>
          <cell r="F60">
            <v>0.75</v>
          </cell>
          <cell r="G60">
            <v>0.75</v>
          </cell>
          <cell r="H60">
            <v>0.75</v>
          </cell>
          <cell r="I60">
            <v>0.75</v>
          </cell>
          <cell r="J60">
            <v>0.75</v>
          </cell>
          <cell r="K60">
            <v>0.75</v>
          </cell>
          <cell r="L60">
            <v>0.75</v>
          </cell>
          <cell r="M60">
            <v>0.75</v>
          </cell>
          <cell r="N60">
            <v>0.75</v>
          </cell>
          <cell r="O60">
            <v>0.75</v>
          </cell>
          <cell r="P60">
            <v>0.75</v>
          </cell>
          <cell r="Q60">
            <v>0.75</v>
          </cell>
          <cell r="R60">
            <v>0.75</v>
          </cell>
          <cell r="S60">
            <v>0.75</v>
          </cell>
          <cell r="T60">
            <v>0.75</v>
          </cell>
        </row>
        <row r="61">
          <cell r="B61" t="str">
            <v>Roof Insulation-Retro</v>
          </cell>
        </row>
        <row r="62">
          <cell r="B62" t="str">
            <v>Grocery Refrigeration Bundle-New</v>
          </cell>
        </row>
        <row r="63">
          <cell r="B63" t="str">
            <v>Grocery Refrigeration Bundle-NR</v>
          </cell>
        </row>
        <row r="64">
          <cell r="B64" t="str">
            <v>Grocery Refrigeration Bundle-Retro</v>
          </cell>
          <cell r="F64">
            <v>0.3</v>
          </cell>
          <cell r="M64">
            <v>1</v>
          </cell>
          <cell r="N64">
            <v>0.5</v>
          </cell>
        </row>
        <row r="65">
          <cell r="B65" t="str">
            <v>Grocery Refrigeration Heat Recovery-New</v>
          </cell>
          <cell r="M65">
            <v>0.21000000000000002</v>
          </cell>
        </row>
        <row r="66">
          <cell r="B66" t="str">
            <v>Grocery Refrigeration Heat Recovery-NR</v>
          </cell>
        </row>
        <row r="67">
          <cell r="B67" t="str">
            <v>Grocery Refrigeration Heat Recovery-Retro</v>
          </cell>
        </row>
        <row r="68">
          <cell r="B68" t="str">
            <v>Lodging Measures-New</v>
          </cell>
        </row>
        <row r="69">
          <cell r="B69" t="str">
            <v>Lodging Measures-NR</v>
          </cell>
        </row>
        <row r="70">
          <cell r="B70" t="str">
            <v>Lodging Measures-Retro</v>
          </cell>
        </row>
        <row r="71">
          <cell r="B71" t="str">
            <v>Demand controlled circulating systems-New</v>
          </cell>
        </row>
        <row r="72">
          <cell r="B72" t="str">
            <v>Demand controlled circulating systems-NR</v>
          </cell>
        </row>
        <row r="73">
          <cell r="B73" t="str">
            <v>Demand controlled circulating systems-Retro</v>
          </cell>
          <cell r="K73">
            <v>0.18000000000000002</v>
          </cell>
          <cell r="P73">
            <v>0.45</v>
          </cell>
          <cell r="Q73">
            <v>0.22500000000000001</v>
          </cell>
          <cell r="R73">
            <v>0.22500000000000001</v>
          </cell>
        </row>
        <row r="74">
          <cell r="B74" t="str">
            <v>Plug Load Sensor-Retro</v>
          </cell>
          <cell r="U74">
            <v>1</v>
          </cell>
        </row>
        <row r="75">
          <cell r="B75" t="str">
            <v>Premium Fume Hood-New</v>
          </cell>
        </row>
        <row r="76">
          <cell r="B76" t="str">
            <v>Pre-Rinse Spray Wash-Retro</v>
          </cell>
          <cell r="U76">
            <v>1</v>
          </cell>
        </row>
        <row r="77">
          <cell r="B77" t="str">
            <v>LED Exit Signs-Retro</v>
          </cell>
          <cell r="U77">
            <v>1</v>
          </cell>
        </row>
        <row r="78">
          <cell r="B78" t="str">
            <v>Network PC Power Management-Retro</v>
          </cell>
          <cell r="U78">
            <v>0.9</v>
          </cell>
        </row>
        <row r="79">
          <cell r="B79" t="str">
            <v>Packaged Refrigeration Equipment-New</v>
          </cell>
          <cell r="U79">
            <v>1</v>
          </cell>
        </row>
        <row r="80">
          <cell r="B80" t="str">
            <v>Commercial Clothes Washers-New</v>
          </cell>
          <cell r="U80">
            <v>1</v>
          </cell>
        </row>
        <row r="81">
          <cell r="B81" t="str">
            <v>Cooking Equipment-New</v>
          </cell>
          <cell r="U81">
            <v>1</v>
          </cell>
        </row>
        <row r="82">
          <cell r="B82" t="str">
            <v>Office Equipment</v>
          </cell>
          <cell r="U82">
            <v>1</v>
          </cell>
        </row>
        <row r="83">
          <cell r="B83" t="str">
            <v>Computer Servers and IT</v>
          </cell>
          <cell r="U83">
            <v>1</v>
          </cell>
        </row>
        <row r="84">
          <cell r="B84" t="str">
            <v>Exterior Building Lighting-New</v>
          </cell>
        </row>
        <row r="85">
          <cell r="B85" t="str">
            <v>Exterior Building Lighting-NR</v>
          </cell>
        </row>
        <row r="86">
          <cell r="B86" t="str">
            <v>Exterior Building Lighting-Retro</v>
          </cell>
        </row>
        <row r="87">
          <cell r="B87" t="str">
            <v>Street and Roadway Lighitng-New</v>
          </cell>
          <cell r="U87">
            <v>1</v>
          </cell>
        </row>
        <row r="88">
          <cell r="B88" t="str">
            <v>Street and Roadway Lighitng-NR</v>
          </cell>
          <cell r="U88">
            <v>1</v>
          </cell>
        </row>
        <row r="89">
          <cell r="B89" t="str">
            <v>Street and Roadway Lighitng-Retro</v>
          </cell>
          <cell r="U89">
            <v>1</v>
          </cell>
        </row>
        <row r="90">
          <cell r="B90" t="str">
            <v>Parking Lighting-New</v>
          </cell>
          <cell r="U90">
            <v>0.99</v>
          </cell>
        </row>
        <row r="91">
          <cell r="B91" t="str">
            <v>Parking Lighting-NR</v>
          </cell>
          <cell r="U91">
            <v>1</v>
          </cell>
        </row>
        <row r="92">
          <cell r="B92" t="str">
            <v>Parking Lighting-Retro</v>
          </cell>
          <cell r="U92">
            <v>1</v>
          </cell>
        </row>
        <row r="93">
          <cell r="B93" t="str">
            <v>LED Traffic Lights-Retro</v>
          </cell>
          <cell r="U93">
            <v>0</v>
          </cell>
        </row>
        <row r="94">
          <cell r="B94" t="str">
            <v>Singage -New</v>
          </cell>
          <cell r="U94">
            <v>0.92999999999999994</v>
          </cell>
        </row>
        <row r="95">
          <cell r="B95" t="str">
            <v>Singage -NR</v>
          </cell>
          <cell r="U95">
            <v>0.92999999999999994</v>
          </cell>
        </row>
        <row r="96">
          <cell r="B96" t="str">
            <v>Singage -Retro</v>
          </cell>
          <cell r="U96">
            <v>1</v>
          </cell>
        </row>
        <row r="97">
          <cell r="B97" t="str">
            <v>Municipal Sewage Treatment-Retro</v>
          </cell>
          <cell r="U97">
            <v>0.9</v>
          </cell>
        </row>
        <row r="98">
          <cell r="B98" t="str">
            <v>Municipal Water Supply-Retro</v>
          </cell>
          <cell r="U98">
            <v>0.98</v>
          </cell>
        </row>
        <row r="99">
          <cell r="B99" t="str">
            <v>DCV Restaurant Hood-Retro</v>
          </cell>
        </row>
        <row r="100">
          <cell r="B100">
            <v>0</v>
          </cell>
        </row>
        <row r="101">
          <cell r="B101">
            <v>0</v>
          </cell>
        </row>
        <row r="102">
          <cell r="B102">
            <v>0</v>
          </cell>
        </row>
        <row r="103">
          <cell r="B103">
            <v>0</v>
          </cell>
        </row>
        <row r="104">
          <cell r="B104">
            <v>0</v>
          </cell>
        </row>
        <row r="105">
          <cell r="B105">
            <v>0</v>
          </cell>
        </row>
        <row r="106">
          <cell r="B106">
            <v>0</v>
          </cell>
        </row>
        <row r="107">
          <cell r="B107">
            <v>0</v>
          </cell>
        </row>
      </sheetData>
      <sheetData sheetId="4"/>
      <sheetData sheetId="5"/>
      <sheetData sheetId="6"/>
      <sheetData sheetId="7"/>
      <sheetData sheetId="8" refreshError="1"/>
      <sheetData sheetId="9"/>
      <sheetData sheetId="10"/>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2">
          <cell r="C12" t="str">
            <v>_PRE2013</v>
          </cell>
          <cell r="D12" t="str">
            <v>Com_Master_7P.xlsm!_PRE2013</v>
          </cell>
        </row>
      </sheetData>
      <sheetData sheetId="16">
        <row r="11">
          <cell r="B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ummary"/>
      <sheetName val="Measures"/>
      <sheetName val="Forecast"/>
      <sheetName val="Units Notes"/>
      <sheetName val="Updates"/>
      <sheetName val="Nov03"/>
    </sheetNames>
    <sheetDataSet>
      <sheetData sheetId="0"/>
      <sheetData sheetId="1">
        <row r="12">
          <cell r="B12">
            <v>2025</v>
          </cell>
        </row>
      </sheetData>
      <sheetData sheetId="2">
        <row r="3">
          <cell r="A3" t="str">
            <v>Eligible Units</v>
          </cell>
          <cell r="B3">
            <v>2000</v>
          </cell>
          <cell r="C3">
            <v>2001</v>
          </cell>
          <cell r="D3">
            <v>2002</v>
          </cell>
          <cell r="E3">
            <v>2003</v>
          </cell>
          <cell r="F3">
            <v>2004</v>
          </cell>
          <cell r="G3">
            <v>2005</v>
          </cell>
          <cell r="H3">
            <v>2006</v>
          </cell>
          <cell r="I3">
            <v>2007</v>
          </cell>
          <cell r="J3">
            <v>2008</v>
          </cell>
          <cell r="K3">
            <v>2009</v>
          </cell>
          <cell r="L3">
            <v>2010</v>
          </cell>
          <cell r="M3">
            <v>2011</v>
          </cell>
          <cell r="N3">
            <v>2012</v>
          </cell>
          <cell r="O3">
            <v>2013</v>
          </cell>
          <cell r="P3">
            <v>2014</v>
          </cell>
          <cell r="Q3">
            <v>2015</v>
          </cell>
          <cell r="R3">
            <v>2016</v>
          </cell>
          <cell r="S3">
            <v>2017</v>
          </cell>
          <cell r="T3">
            <v>2018</v>
          </cell>
          <cell r="U3">
            <v>2019</v>
          </cell>
          <cell r="V3">
            <v>2020</v>
          </cell>
          <cell r="W3">
            <v>2021</v>
          </cell>
          <cell r="X3">
            <v>2022</v>
          </cell>
          <cell r="Y3">
            <v>2023</v>
          </cell>
          <cell r="Z3">
            <v>2024</v>
          </cell>
          <cell r="AA3">
            <v>2025</v>
          </cell>
        </row>
        <row r="4">
          <cell r="A4" t="str">
            <v>Optimize Municipal Sewage - Activated Sludge &gt;10 MGD</v>
          </cell>
          <cell r="B4">
            <v>1209</v>
          </cell>
          <cell r="C4">
            <v>1223.7349104375066</v>
          </cell>
          <cell r="D4">
            <v>1238.6512860159812</v>
          </cell>
          <cell r="E4">
            <v>1253.7532681511022</v>
          </cell>
          <cell r="F4">
            <v>1269.0451033432655</v>
          </cell>
          <cell r="G4">
            <v>1284.5311458720646</v>
          </cell>
          <cell r="H4">
            <v>1300.1881329448802</v>
          </cell>
          <cell r="I4">
            <v>1316.0194461340452</v>
          </cell>
          <cell r="J4">
            <v>1332.0285451518112</v>
          </cell>
          <cell r="K4">
            <v>1348.2189665031083</v>
          </cell>
          <cell r="L4">
            <v>1364.594319443825</v>
          </cell>
          <cell r="M4">
            <v>1381.1280175403276</v>
          </cell>
          <cell r="N4">
            <v>1397.8232160286334</v>
          </cell>
          <cell r="O4">
            <v>1414.683133465039</v>
          </cell>
          <cell r="P4">
            <v>1431.7110665457587</v>
          </cell>
          <cell r="Q4">
            <v>1448.9103833707265</v>
          </cell>
          <cell r="R4">
            <v>1466.2794030111218</v>
          </cell>
          <cell r="S4">
            <v>1483.8204846177216</v>
          </cell>
          <cell r="T4">
            <v>1501.5358178783731</v>
          </cell>
          <cell r="U4">
            <v>1519.4273735558122</v>
          </cell>
          <cell r="V4">
            <v>1537.496840425867</v>
          </cell>
          <cell r="W4">
            <v>1555.7455503496783</v>
          </cell>
          <cell r="X4">
            <v>1574.1754741744762</v>
          </cell>
          <cell r="Y4">
            <v>1592.7884997644214</v>
          </cell>
          <cell r="Z4">
            <v>1611.5864503660271</v>
          </cell>
          <cell r="AA4">
            <v>1630.5711173724494</v>
          </cell>
        </row>
        <row r="5">
          <cell r="A5" t="str">
            <v>Optimize Municipal Sewage - Activated Sludge 1 to 10 MGD</v>
          </cell>
          <cell r="B5">
            <v>296.92499999999995</v>
          </cell>
          <cell r="C5">
            <v>300.54382818995583</v>
          </cell>
          <cell r="D5">
            <v>304.20722340801916</v>
          </cell>
          <cell r="E5">
            <v>307.91620276738297</v>
          </cell>
          <cell r="F5">
            <v>311.67180918957735</v>
          </cell>
          <cell r="G5">
            <v>315.47511206622227</v>
          </cell>
          <cell r="H5">
            <v>319.32039815935354</v>
          </cell>
          <cell r="I5">
            <v>323.20849796803253</v>
          </cell>
          <cell r="J5">
            <v>327.14026118213525</v>
          </cell>
          <cell r="K5">
            <v>331.11655635147673</v>
          </cell>
          <cell r="L5">
            <v>335.13826989318255</v>
          </cell>
          <cell r="M5">
            <v>339.19887229790049</v>
          </cell>
          <cell r="N5">
            <v>343.29913847750367</v>
          </cell>
          <cell r="O5">
            <v>347.43985889504268</v>
          </cell>
          <cell r="P5">
            <v>351.62184320438325</v>
          </cell>
          <cell r="Q5">
            <v>355.84591859582542</v>
          </cell>
          <cell r="R5">
            <v>360.11167224075871</v>
          </cell>
          <cell r="S5">
            <v>364.41968353607683</v>
          </cell>
          <cell r="T5">
            <v>368.77049025933491</v>
          </cell>
          <cell r="U5">
            <v>373.16457642105831</v>
          </cell>
          <cell r="V5">
            <v>377.60235677704753</v>
          </cell>
          <cell r="W5">
            <v>382.08415842645007</v>
          </cell>
          <cell r="X5">
            <v>386.61046540054286</v>
          </cell>
          <cell r="Y5">
            <v>391.18174135033149</v>
          </cell>
          <cell r="Z5">
            <v>395.79843405701615</v>
          </cell>
          <cell r="AA5">
            <v>400.46098347875477</v>
          </cell>
        </row>
        <row r="6">
          <cell r="A6" t="str">
            <v>Optimize Municipal Sewage - Lagoon Extended Aeration</v>
          </cell>
          <cell r="B6">
            <v>239.06450595482545</v>
          </cell>
          <cell r="C6">
            <v>241.97814870423082</v>
          </cell>
          <cell r="D6">
            <v>244.9276738972041</v>
          </cell>
          <cell r="E6">
            <v>247.9139004464773</v>
          </cell>
          <cell r="F6">
            <v>250.93766804396043</v>
          </cell>
          <cell r="G6">
            <v>253.99983769354088</v>
          </cell>
          <cell r="H6">
            <v>257.09580947129416</v>
          </cell>
          <cell r="I6">
            <v>260.22625204051161</v>
          </cell>
          <cell r="J6">
            <v>263.39184951566801</v>
          </cell>
          <cell r="K6">
            <v>266.59330119602231</v>
          </cell>
          <cell r="L6">
            <v>269.83132076641795</v>
          </cell>
          <cell r="M6">
            <v>273.10065109482707</v>
          </cell>
          <cell r="N6">
            <v>276.40191608938835</v>
          </cell>
          <cell r="O6">
            <v>279.73575217902726</v>
          </cell>
          <cell r="P6">
            <v>283.10281124385284</v>
          </cell>
          <cell r="Q6">
            <v>286.50375928315918</v>
          </cell>
          <cell r="R6">
            <v>289.93826391446669</v>
          </cell>
          <cell r="S6">
            <v>293.40679163009537</v>
          </cell>
          <cell r="T6">
            <v>296.90977541320763</v>
          </cell>
          <cell r="U6">
            <v>300.44760495728565</v>
          </cell>
          <cell r="V6">
            <v>304.02061419645577</v>
          </cell>
          <cell r="W6">
            <v>307.62906648946557</v>
          </cell>
          <cell r="X6">
            <v>311.27335154650478</v>
          </cell>
          <cell r="Y6">
            <v>314.95384266890738</v>
          </cell>
          <cell r="Z6">
            <v>318.6709003806825</v>
          </cell>
          <cell r="AA6">
            <v>322.42487890723936</v>
          </cell>
        </row>
        <row r="7">
          <cell r="A7" t="str">
            <v>Optimize Municipal Sewage - Activated Sludge &lt;1 MGD</v>
          </cell>
          <cell r="B7">
            <v>71.789200000000008</v>
          </cell>
          <cell r="C7">
            <v>72.664144112804181</v>
          </cell>
          <cell r="D7">
            <v>73.549863442562852</v>
          </cell>
          <cell r="E7">
            <v>74.446603902359897</v>
          </cell>
          <cell r="F7">
            <v>75.354617645103687</v>
          </cell>
          <cell r="G7">
            <v>76.274163223522606</v>
          </cell>
          <cell r="H7">
            <v>77.203859316465341</v>
          </cell>
          <cell r="I7">
            <v>78.143906718284697</v>
          </cell>
          <cell r="J7">
            <v>79.094510863202999</v>
          </cell>
          <cell r="K7">
            <v>80.055881745314281</v>
          </cell>
          <cell r="L7">
            <v>81.028233678591107</v>
          </cell>
          <cell r="M7">
            <v>82.009987987432666</v>
          </cell>
          <cell r="N7">
            <v>83.001332026569713</v>
          </cell>
          <cell r="O7">
            <v>84.002456910627288</v>
          </cell>
          <cell r="P7">
            <v>85.013558394099917</v>
          </cell>
          <cell r="Q7">
            <v>86.034836471362922</v>
          </cell>
          <cell r="R7">
            <v>87.066191330559178</v>
          </cell>
          <cell r="S7">
            <v>88.10776305568119</v>
          </cell>
          <cell r="T7">
            <v>89.159681668183737</v>
          </cell>
          <cell r="U7">
            <v>90.222064189969359</v>
          </cell>
          <cell r="V7">
            <v>91.295010898842577</v>
          </cell>
          <cell r="W7">
            <v>92.378600879373991</v>
          </cell>
          <cell r="X7">
            <v>93.472951158483326</v>
          </cell>
          <cell r="Y7">
            <v>94.578173835639404</v>
          </cell>
          <cell r="Z7">
            <v>95.694377173380332</v>
          </cell>
          <cell r="AA7">
            <v>96.821667542824059</v>
          </cell>
        </row>
        <row r="8">
          <cell r="A8" t="str">
            <v>Optimize Municipal Sewage - Lagoon Aerated/Mixed</v>
          </cell>
          <cell r="B8">
            <v>114.80909404517453</v>
          </cell>
          <cell r="C8">
            <v>116.20835104944824</v>
          </cell>
          <cell r="D8">
            <v>117.62484035184877</v>
          </cell>
          <cell r="E8">
            <v>119.05895522961524</v>
          </cell>
          <cell r="F8">
            <v>120.51109893904483</v>
          </cell>
          <cell r="G8">
            <v>121.98168497136614</v>
          </cell>
          <cell r="H8">
            <v>123.4685042445729</v>
          </cell>
          <cell r="I8">
            <v>124.97187787963779</v>
          </cell>
          <cell r="J8">
            <v>126.49213441785882</v>
          </cell>
          <cell r="K8">
            <v>128.02960969292258</v>
          </cell>
          <cell r="L8">
            <v>129.58464644709434</v>
          </cell>
          <cell r="M8">
            <v>131.15471997867076</v>
          </cell>
          <cell r="N8">
            <v>132.74012991526857</v>
          </cell>
          <cell r="O8">
            <v>134.34118189752675</v>
          </cell>
          <cell r="P8">
            <v>135.95818898640957</v>
          </cell>
          <cell r="Q8">
            <v>137.59147102352327</v>
          </cell>
          <cell r="R8">
            <v>139.24086838445515</v>
          </cell>
          <cell r="S8">
            <v>140.90660509895159</v>
          </cell>
          <cell r="T8">
            <v>142.58888910421524</v>
          </cell>
          <cell r="U8">
            <v>144.28790754787576</v>
          </cell>
          <cell r="V8">
            <v>146.0038207995137</v>
          </cell>
          <cell r="W8">
            <v>147.73675533536647</v>
          </cell>
          <cell r="X8">
            <v>149.48689831108743</v>
          </cell>
          <cell r="Y8">
            <v>151.2544290020893</v>
          </cell>
          <cell r="Z8">
            <v>153.03952054756181</v>
          </cell>
          <cell r="AA8">
            <v>154.84234306183532</v>
          </cell>
        </row>
        <row r="20">
          <cell r="A20" t="str">
            <v>Lost Opportunity (Cumulative)</v>
          </cell>
          <cell r="B20">
            <v>2000</v>
          </cell>
          <cell r="C20">
            <v>2001</v>
          </cell>
          <cell r="D20">
            <v>2002</v>
          </cell>
          <cell r="E20">
            <v>2003</v>
          </cell>
          <cell r="F20">
            <v>2004</v>
          </cell>
          <cell r="G20">
            <v>2005</v>
          </cell>
          <cell r="H20">
            <v>2006</v>
          </cell>
          <cell r="I20">
            <v>2007</v>
          </cell>
          <cell r="J20">
            <v>2008</v>
          </cell>
          <cell r="K20">
            <v>2009</v>
          </cell>
          <cell r="L20">
            <v>2010</v>
          </cell>
          <cell r="M20">
            <v>2011</v>
          </cell>
          <cell r="N20">
            <v>2012</v>
          </cell>
          <cell r="O20">
            <v>2013</v>
          </cell>
          <cell r="P20">
            <v>2014</v>
          </cell>
          <cell r="Q20">
            <v>2015</v>
          </cell>
          <cell r="R20">
            <v>2016</v>
          </cell>
          <cell r="S20">
            <v>2017</v>
          </cell>
          <cell r="T20">
            <v>2018</v>
          </cell>
          <cell r="U20">
            <v>2019</v>
          </cell>
          <cell r="V20">
            <v>2020</v>
          </cell>
          <cell r="W20">
            <v>2021</v>
          </cell>
          <cell r="X20">
            <v>2022</v>
          </cell>
          <cell r="Y20">
            <v>2023</v>
          </cell>
          <cell r="Z20">
            <v>2024</v>
          </cell>
          <cell r="AA20">
            <v>2025</v>
          </cell>
        </row>
        <row r="21">
          <cell r="A21" t="str">
            <v>Optimize Municipal Sewage - Activated Sludge &gt;10 MGD</v>
          </cell>
          <cell r="B21">
            <v>0</v>
          </cell>
          <cell r="C21">
            <v>14.734910437506556</v>
          </cell>
          <cell r="D21">
            <v>29.651286015981306</v>
          </cell>
          <cell r="E21">
            <v>44.753268151102283</v>
          </cell>
          <cell r="F21">
            <v>60.045103343265424</v>
          </cell>
          <cell r="G21">
            <v>75.531145872064542</v>
          </cell>
          <cell r="H21">
            <v>91.188132944880095</v>
          </cell>
          <cell r="I21">
            <v>107.01944613404515</v>
          </cell>
          <cell r="J21">
            <v>123.02854515181123</v>
          </cell>
          <cell r="K21">
            <v>139.21896650310833</v>
          </cell>
          <cell r="L21">
            <v>155.59431944382501</v>
          </cell>
          <cell r="M21">
            <v>172.12801754032751</v>
          </cell>
          <cell r="N21">
            <v>188.82321602863337</v>
          </cell>
          <cell r="O21">
            <v>205.68313346503888</v>
          </cell>
          <cell r="P21">
            <v>222.7110665457588</v>
          </cell>
          <cell r="Q21">
            <v>239.91038337072646</v>
          </cell>
          <cell r="R21">
            <v>257.27940301112187</v>
          </cell>
          <cell r="S21">
            <v>274.82048461772155</v>
          </cell>
          <cell r="T21">
            <v>292.53581787837311</v>
          </cell>
          <cell r="U21">
            <v>310.42737355581232</v>
          </cell>
          <cell r="V21">
            <v>328.49684042586694</v>
          </cell>
          <cell r="W21">
            <v>346.74555034967824</v>
          </cell>
          <cell r="X21">
            <v>365.17547417447628</v>
          </cell>
          <cell r="Y21">
            <v>383.78849976442143</v>
          </cell>
          <cell r="Z21">
            <v>402.58645036602701</v>
          </cell>
          <cell r="AA21">
            <v>421.57111737244952</v>
          </cell>
        </row>
        <row r="22">
          <cell r="A22" t="str">
            <v>Optimize Municipal Sewage - Activated Sludge 1 to 10 MGD</v>
          </cell>
          <cell r="B22">
            <v>0</v>
          </cell>
          <cell r="C22">
            <v>3.6188281899558592</v>
          </cell>
          <cell r="D22">
            <v>7.2822234080192292</v>
          </cell>
          <cell r="E22">
            <v>10.991202767382998</v>
          </cell>
          <cell r="F22">
            <v>14.746809189577407</v>
          </cell>
          <cell r="G22">
            <v>18.550112066222304</v>
          </cell>
          <cell r="H22">
            <v>22.395398159353618</v>
          </cell>
          <cell r="I22">
            <v>26.283497968032556</v>
          </cell>
          <cell r="J22">
            <v>30.215261182135279</v>
          </cell>
          <cell r="K22">
            <v>34.191556351476791</v>
          </cell>
          <cell r="L22">
            <v>38.213269893182584</v>
          </cell>
          <cell r="M22">
            <v>42.273872297900539</v>
          </cell>
          <cell r="N22">
            <v>46.374138477503699</v>
          </cell>
          <cell r="O22">
            <v>50.51485889504275</v>
          </cell>
          <cell r="P22">
            <v>54.696843204383327</v>
          </cell>
          <cell r="Q22">
            <v>58.920918595825448</v>
          </cell>
          <cell r="R22">
            <v>63.186672240758782</v>
          </cell>
          <cell r="S22">
            <v>67.494683536076906</v>
          </cell>
          <cell r="T22">
            <v>71.845490259334937</v>
          </cell>
          <cell r="U22">
            <v>76.239576421058374</v>
          </cell>
          <cell r="V22">
            <v>80.677356777047592</v>
          </cell>
          <cell r="W22">
            <v>85.159158426450134</v>
          </cell>
          <cell r="X22">
            <v>89.68546540054291</v>
          </cell>
          <cell r="Y22">
            <v>94.256741350331552</v>
          </cell>
          <cell r="Z22">
            <v>98.873434057016198</v>
          </cell>
          <cell r="AA22">
            <v>103.53598347875483</v>
          </cell>
        </row>
        <row r="23">
          <cell r="A23" t="str">
            <v>Optimize Municipal Sewage - Lagoon Extended Aeration</v>
          </cell>
          <cell r="B23">
            <v>0</v>
          </cell>
          <cell r="C23">
            <v>2.9136427494053811</v>
          </cell>
          <cell r="D23">
            <v>5.8631679423786567</v>
          </cell>
          <cell r="E23">
            <v>8.8493944916518537</v>
          </cell>
          <cell r="F23">
            <v>11.873162089134976</v>
          </cell>
          <cell r="G23">
            <v>14.935331738715437</v>
          </cell>
          <cell r="H23">
            <v>18.031303516468739</v>
          </cell>
          <cell r="I23">
            <v>21.161746085686158</v>
          </cell>
          <cell r="J23">
            <v>24.327343560842593</v>
          </cell>
          <cell r="K23">
            <v>27.528795241196853</v>
          </cell>
          <cell r="L23">
            <v>30.766814811592496</v>
          </cell>
          <cell r="M23">
            <v>34.036145140001601</v>
          </cell>
          <cell r="N23">
            <v>37.33741013456288</v>
          </cell>
          <cell r="O23">
            <v>40.671246224201781</v>
          </cell>
          <cell r="P23">
            <v>44.03830528902737</v>
          </cell>
          <cell r="Q23">
            <v>47.439253328333749</v>
          </cell>
          <cell r="R23">
            <v>50.873757959641267</v>
          </cell>
          <cell r="S23">
            <v>54.342285675269913</v>
          </cell>
          <cell r="T23">
            <v>57.845269458382205</v>
          </cell>
          <cell r="U23">
            <v>61.38309900246017</v>
          </cell>
          <cell r="V23">
            <v>64.956108241630304</v>
          </cell>
          <cell r="W23">
            <v>68.564560534640123</v>
          </cell>
          <cell r="X23">
            <v>72.208845591679335</v>
          </cell>
          <cell r="Y23">
            <v>75.889336714081949</v>
          </cell>
          <cell r="Z23">
            <v>79.606394425857019</v>
          </cell>
          <cell r="AA23">
            <v>83.360372952413897</v>
          </cell>
        </row>
        <row r="24">
          <cell r="A24" t="str">
            <v>Optimize Municipal Sewage - Activated Sludge &lt;1 MGD</v>
          </cell>
          <cell r="B24">
            <v>0</v>
          </cell>
          <cell r="C24">
            <v>0.8749441128041735</v>
          </cell>
          <cell r="D24">
            <v>1.76066344256285</v>
          </cell>
          <cell r="E24">
            <v>2.6574039023598948</v>
          </cell>
          <cell r="F24">
            <v>3.5654176451036816</v>
          </cell>
          <cell r="G24">
            <v>4.4849632235225947</v>
          </cell>
          <cell r="H24">
            <v>5.4146593164653334</v>
          </cell>
          <cell r="I24">
            <v>6.354706718284695</v>
          </cell>
          <cell r="J24">
            <v>7.3053108632029851</v>
          </cell>
          <cell r="K24">
            <v>8.2666817453142656</v>
          </cell>
          <cell r="L24">
            <v>9.2390336785911042</v>
          </cell>
          <cell r="M24">
            <v>10.220787987432658</v>
          </cell>
          <cell r="N24">
            <v>11.212132026569703</v>
          </cell>
          <cell r="O24">
            <v>12.213256910627274</v>
          </cell>
          <cell r="P24">
            <v>13.224358394099912</v>
          </cell>
          <cell r="Q24">
            <v>14.245636471362914</v>
          </cell>
          <cell r="R24">
            <v>15.276991330559172</v>
          </cell>
          <cell r="S24">
            <v>16.318563055681182</v>
          </cell>
          <cell r="T24">
            <v>17.370481668183722</v>
          </cell>
          <cell r="U24">
            <v>18.432864189969347</v>
          </cell>
          <cell r="V24">
            <v>19.505810898842569</v>
          </cell>
          <cell r="W24">
            <v>20.589400879373979</v>
          </cell>
          <cell r="X24">
            <v>21.683751158483318</v>
          </cell>
          <cell r="Y24">
            <v>22.788973835639389</v>
          </cell>
          <cell r="Z24">
            <v>23.90517717338032</v>
          </cell>
          <cell r="AA24">
            <v>25.032467542824048</v>
          </cell>
        </row>
        <row r="25">
          <cell r="A25" t="str">
            <v>Optimize Municipal Sewage - Lagoon Aerated/Mixed</v>
          </cell>
          <cell r="B25">
            <v>0</v>
          </cell>
          <cell r="C25">
            <v>1.3992570042737089</v>
          </cell>
          <cell r="D25">
            <v>2.8157463066742485</v>
          </cell>
          <cell r="E25">
            <v>4.2498611844407082</v>
          </cell>
          <cell r="F25">
            <v>5.702004893870293</v>
          </cell>
          <cell r="G25">
            <v>7.1725909261916092</v>
          </cell>
          <cell r="H25">
            <v>8.6594101993983621</v>
          </cell>
          <cell r="I25">
            <v>10.162783834463262</v>
          </cell>
          <cell r="J25">
            <v>11.683040372684285</v>
          </cell>
          <cell r="K25">
            <v>13.220515647748034</v>
          </cell>
          <cell r="L25">
            <v>14.775552401919802</v>
          </cell>
          <cell r="M25">
            <v>16.345625933496212</v>
          </cell>
          <cell r="N25">
            <v>17.931035870094032</v>
          </cell>
          <cell r="O25">
            <v>19.532087852352227</v>
          </cell>
          <cell r="P25">
            <v>21.149094941235035</v>
          </cell>
          <cell r="Q25">
            <v>22.782376978348736</v>
          </cell>
          <cell r="R25">
            <v>24.431774339280615</v>
          </cell>
          <cell r="S25">
            <v>26.097511053777048</v>
          </cell>
          <cell r="T25">
            <v>27.779795059040701</v>
          </cell>
          <cell r="U25">
            <v>29.478813502701243</v>
          </cell>
          <cell r="V25">
            <v>31.194726754339179</v>
          </cell>
          <cell r="W25">
            <v>32.927661290191921</v>
          </cell>
          <cell r="X25">
            <v>34.677804265912883</v>
          </cell>
          <cell r="Y25">
            <v>36.445334956914749</v>
          </cell>
          <cell r="Z25">
            <v>38.230426502387274</v>
          </cell>
          <cell r="AA25">
            <v>40.03324901666079</v>
          </cell>
        </row>
      </sheetData>
      <sheetData sheetId="3"/>
      <sheetData sheetId="4"/>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ummary"/>
      <sheetName val="ProData"/>
      <sheetName val="MData"/>
      <sheetName val="MMap"/>
      <sheetName val="Shape"/>
      <sheetName val="LoadShapeMap"/>
      <sheetName val="Notes and Sources"/>
    </sheetNames>
    <sheetDataSet>
      <sheetData sheetId="0"/>
      <sheetData sheetId="1" refreshError="1">
        <row r="2">
          <cell r="B2">
            <v>20</v>
          </cell>
        </row>
        <row r="5">
          <cell r="F5">
            <v>0</v>
          </cell>
        </row>
        <row r="17">
          <cell r="B17">
            <v>0</v>
          </cell>
        </row>
      </sheetData>
      <sheetData sheetId="2"/>
      <sheetData sheetId="3"/>
      <sheetData sheetId="4"/>
      <sheetData sheetId="5"/>
      <sheetData sheetId="6"/>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etro_Out"/>
      <sheetName val="M_Input_Retro"/>
      <sheetName val="M_Input_Raw_Out"/>
      <sheetName val="M_Input_Raw"/>
      <sheetName val="MMap"/>
      <sheetName val="Savings &amp; Cost"/>
      <sheetName val="ToDo7P"/>
      <sheetName val="Notes"/>
      <sheetName val="Applicability Matrix"/>
      <sheetName val="HVAC Retrofit Data"/>
    </sheetNames>
    <sheetDataSet>
      <sheetData sheetId="0"/>
      <sheetData sheetId="1"/>
      <sheetData sheetId="2"/>
      <sheetData sheetId="3">
        <row r="9">
          <cell r="A9" t="str">
            <v>HVAC</v>
          </cell>
        </row>
      </sheetData>
      <sheetData sheetId="4">
        <row r="4">
          <cell r="A4" t="str">
            <v>VRF-New-Residential Care</v>
          </cell>
          <cell r="B4">
            <v>0</v>
          </cell>
          <cell r="C4">
            <v>3.8069292641859711</v>
          </cell>
          <cell r="D4">
            <v>1.4908462479082174</v>
          </cell>
          <cell r="E4">
            <v>0.29816924958164348</v>
          </cell>
          <cell r="F4">
            <v>1.7890154974898609</v>
          </cell>
          <cell r="G4">
            <v>1.8932005948492177</v>
          </cell>
          <cell r="H4">
            <v>2.7869053938826216</v>
          </cell>
          <cell r="I4">
            <v>4116.6448521764823</v>
          </cell>
          <cell r="J4">
            <v>-6.2399963380380763</v>
          </cell>
          <cell r="K4">
            <v>21.022385057613977</v>
          </cell>
          <cell r="L4">
            <v>1.4720602779572771</v>
          </cell>
          <cell r="M4">
            <v>3.6166170251130086E-2</v>
          </cell>
          <cell r="N4">
            <v>7.156508117480161E-4</v>
          </cell>
          <cell r="O4">
            <v>0.2387140096982803</v>
          </cell>
          <cell r="P4">
            <v>0.21464261750835234</v>
          </cell>
          <cell r="Q4">
            <v>0.24699847340719602</v>
          </cell>
          <cell r="R4">
            <v>0.22978785719812655</v>
          </cell>
          <cell r="S4">
            <v>0.23459979279712947</v>
          </cell>
          <cell r="T4">
            <v>0.23222203816105286</v>
          </cell>
          <cell r="U4">
            <v>0.2206149003230867</v>
          </cell>
          <cell r="V4">
            <v>0.2298723485449593</v>
          </cell>
          <cell r="W4">
            <v>0.21477425249831805</v>
          </cell>
          <cell r="X4">
            <v>0.24488345919415083</v>
          </cell>
          <cell r="Y4">
            <v>0.2167085472962971</v>
          </cell>
          <cell r="Z4">
            <v>0.23593895714970123</v>
          </cell>
          <cell r="AA4">
            <v>0</v>
          </cell>
          <cell r="AB4">
            <v>0.10134834334104595</v>
          </cell>
          <cell r="AC4">
            <v>8.7075521973022235E-2</v>
          </cell>
          <cell r="AD4">
            <v>8.3523758007515325E-2</v>
          </cell>
          <cell r="AE4">
            <v>8.7212728293256325E-2</v>
          </cell>
          <cell r="AF4">
            <v>8.5567379682640471E-2</v>
          </cell>
          <cell r="AG4">
            <v>7.5083002777803193E-2</v>
          </cell>
          <cell r="AH4">
            <v>8.8156989501835259E-2</v>
          </cell>
          <cell r="AI4">
            <v>7.2297648464551043E-2</v>
          </cell>
          <cell r="AJ4">
            <v>8.9006247460708399E-2</v>
          </cell>
          <cell r="AK4">
            <v>7.9941494543151512E-2</v>
          </cell>
          <cell r="AL4">
            <v>9.591336631878955E-2</v>
          </cell>
          <cell r="AM4">
            <v>0.10204553004500096</v>
          </cell>
        </row>
        <row r="5">
          <cell r="A5" t="str">
            <v>VRF-New-University</v>
          </cell>
          <cell r="B5">
            <v>0</v>
          </cell>
          <cell r="C5">
            <v>4.1927764987039833</v>
          </cell>
          <cell r="D5">
            <v>1.8</v>
          </cell>
          <cell r="E5">
            <v>0.36000000000000004</v>
          </cell>
          <cell r="F5">
            <v>2.16</v>
          </cell>
          <cell r="G5">
            <v>2.2857897489496097</v>
          </cell>
          <cell r="H5">
            <v>3.0693692024984283</v>
          </cell>
          <cell r="I5">
            <v>4512.904517054224</v>
          </cell>
          <cell r="J5">
            <v>-5.3418996945468651</v>
          </cell>
          <cell r="K5">
            <v>24.544701788951414</v>
          </cell>
          <cell r="L5">
            <v>1.3428046931739446</v>
          </cell>
          <cell r="M5">
            <v>3.9831753666557682E-2</v>
          </cell>
          <cell r="N5">
            <v>7.8818483259029373E-4</v>
          </cell>
          <cell r="O5">
            <v>0.26290861224823919</v>
          </cell>
          <cell r="P5">
            <v>0.23639748990759407</v>
          </cell>
          <cell r="Q5">
            <v>0.27203273889537177</v>
          </cell>
          <cell r="R5">
            <v>0.25307775913032743</v>
          </cell>
          <cell r="S5">
            <v>0.2583774033035402</v>
          </cell>
          <cell r="T5">
            <v>0.2557586538952929</v>
          </cell>
          <cell r="U5">
            <v>0.24297508704468884</v>
          </cell>
          <cell r="V5">
            <v>0.25317081400704311</v>
          </cell>
          <cell r="W5">
            <v>0.23654246662085415</v>
          </cell>
          <cell r="X5">
            <v>0.26970335968407272</v>
          </cell>
          <cell r="Y5">
            <v>0.23867280979450545</v>
          </cell>
          <cell r="Z5">
            <v>0.2598522972234738</v>
          </cell>
          <cell r="AA5">
            <v>0</v>
          </cell>
          <cell r="AB5">
            <v>0.11162039603427776</v>
          </cell>
          <cell r="AC5">
            <v>9.5900968157057676E-2</v>
          </cell>
          <cell r="AD5">
            <v>9.1989218962341468E-2</v>
          </cell>
          <cell r="AE5">
            <v>9.6052080876793011E-2</v>
          </cell>
          <cell r="AF5">
            <v>9.4239969721572864E-2</v>
          </cell>
          <cell r="AG5">
            <v>8.2692960034867771E-2</v>
          </cell>
          <cell r="AH5">
            <v>9.7092046667913157E-2</v>
          </cell>
          <cell r="AI5">
            <v>7.9625299121114351E-2</v>
          </cell>
          <cell r="AJ5">
            <v>9.8027380256797678E-2</v>
          </cell>
          <cell r="AK5">
            <v>8.8043879024757396E-2</v>
          </cell>
          <cell r="AL5">
            <v>0.10563456274226217</v>
          </cell>
          <cell r="AM5">
            <v>0.11238824534922333</v>
          </cell>
        </row>
        <row r="6">
          <cell r="A6" t="str">
            <v>VRF-New-Small Ret</v>
          </cell>
          <cell r="B6">
            <v>0</v>
          </cell>
          <cell r="C6">
            <v>3.857066858206172</v>
          </cell>
          <cell r="D6">
            <v>1.6809270334128756</v>
          </cell>
          <cell r="E6">
            <v>0.33618540668257513</v>
          </cell>
          <cell r="F6">
            <v>2.0171124400954508</v>
          </cell>
          <cell r="G6">
            <v>2.1345809898374606</v>
          </cell>
          <cell r="H6">
            <v>2.8236091836077688</v>
          </cell>
          <cell r="I6">
            <v>4581.1767399474093</v>
          </cell>
          <cell r="J6">
            <v>-5.1871651614649457</v>
          </cell>
          <cell r="K6">
            <v>25.151567473997755</v>
          </cell>
          <cell r="L6">
            <v>1.3227931837914357</v>
          </cell>
          <cell r="M6">
            <v>3.664248190167093E-2</v>
          </cell>
          <cell r="N6">
            <v>7.2507599602900682E-4</v>
          </cell>
          <cell r="O6">
            <v>0.24185789425053131</v>
          </cell>
          <cell r="P6">
            <v>0.21746947970337871</v>
          </cell>
          <cell r="Q6">
            <v>0.25025146507683432</v>
          </cell>
          <cell r="R6">
            <v>0.23281418353503974</v>
          </cell>
          <cell r="S6">
            <v>0.23768949275009163</v>
          </cell>
          <cell r="T6">
            <v>0.23528042287584006</v>
          </cell>
          <cell r="U6">
            <v>0.22352041800928704</v>
          </cell>
          <cell r="V6">
            <v>0.23289978764035885</v>
          </cell>
          <cell r="W6">
            <v>0.21760284833776694</v>
          </cell>
          <cell r="X6">
            <v>0.24810859594014814</v>
          </cell>
          <cell r="Y6">
            <v>0.21956261796875876</v>
          </cell>
          <cell r="Z6">
            <v>0.23904629401524469</v>
          </cell>
          <cell r="AA6">
            <v>0</v>
          </cell>
          <cell r="AB6">
            <v>0.10268310995750415</v>
          </cell>
          <cell r="AC6">
            <v>8.8222314273801686E-2</v>
          </cell>
          <cell r="AD6">
            <v>8.4623773263753005E-2</v>
          </cell>
          <cell r="AE6">
            <v>8.8361327613369081E-2</v>
          </cell>
          <cell r="AF6">
            <v>8.6694309616500931E-2</v>
          </cell>
          <cell r="AG6">
            <v>7.607185254354637E-2</v>
          </cell>
          <cell r="AH6">
            <v>8.9318024825309081E-2</v>
          </cell>
          <cell r="AI6">
            <v>7.3249814868437707E-2</v>
          </cell>
          <cell r="AJ6">
            <v>9.0178467586369368E-2</v>
          </cell>
          <cell r="AK6">
            <v>8.0994331073758724E-2</v>
          </cell>
          <cell r="AL6">
            <v>9.7176553808728514E-2</v>
          </cell>
          <cell r="AM6">
            <v>0.10338947867181278</v>
          </cell>
        </row>
        <row r="7">
          <cell r="A7" t="str">
            <v>VRF-New-Medium Off</v>
          </cell>
          <cell r="B7">
            <v>0</v>
          </cell>
          <cell r="C7">
            <v>3.3493861473537248</v>
          </cell>
          <cell r="D7">
            <v>1.4712249393338206</v>
          </cell>
          <cell r="E7">
            <v>0.29424498786676412</v>
          </cell>
          <cell r="F7">
            <v>1.7654699272005847</v>
          </cell>
          <cell r="G7">
            <v>1.8682838248490328</v>
          </cell>
          <cell r="H7">
            <v>2.4519558080761419</v>
          </cell>
          <cell r="I7">
            <v>4617.4182019878726</v>
          </cell>
          <cell r="J7">
            <v>-5.1050262553418726</v>
          </cell>
          <cell r="K7">
            <v>25.47371458970947</v>
          </cell>
          <cell r="L7">
            <v>1.3124107672849294</v>
          </cell>
          <cell r="M7">
            <v>3.1819469508287158E-2</v>
          </cell>
          <cell r="N7">
            <v>6.2963894227328053E-4</v>
          </cell>
          <cell r="O7">
            <v>0.21002370723944827</v>
          </cell>
          <cell r="P7">
            <v>0.18884538162490519</v>
          </cell>
          <cell r="Q7">
            <v>0.21731248674106327</v>
          </cell>
          <cell r="R7">
            <v>0.20217036154835763</v>
          </cell>
          <cell r="S7">
            <v>0.20640396541089351</v>
          </cell>
          <cell r="T7">
            <v>0.20431198578973184</v>
          </cell>
          <cell r="U7">
            <v>0.19409987414094287</v>
          </cell>
          <cell r="V7">
            <v>0.20224469814013912</v>
          </cell>
          <cell r="W7">
            <v>0.18896119581038165</v>
          </cell>
          <cell r="X7">
            <v>0.21545166957976922</v>
          </cell>
          <cell r="Y7">
            <v>0.19066301366715099</v>
          </cell>
          <cell r="Z7">
            <v>0.20758217971966211</v>
          </cell>
          <cell r="AA7">
            <v>0</v>
          </cell>
          <cell r="AB7">
            <v>8.9167597737420362E-2</v>
          </cell>
          <cell r="AC7">
            <v>7.6610182861487547E-2</v>
          </cell>
          <cell r="AD7">
            <v>7.3485294480541294E-2</v>
          </cell>
          <cell r="AE7">
            <v>7.6730898776186773E-2</v>
          </cell>
          <cell r="AF7">
            <v>7.5283299553419794E-2</v>
          </cell>
          <cell r="AG7">
            <v>6.6059007655207683E-2</v>
          </cell>
          <cell r="AH7">
            <v>7.7561672134980469E-2</v>
          </cell>
          <cell r="AI7">
            <v>6.3608416508152701E-2</v>
          </cell>
          <cell r="AJ7">
            <v>7.8308860392387658E-2</v>
          </cell>
          <cell r="AK7">
            <v>7.0333572241678771E-2</v>
          </cell>
          <cell r="AL7">
            <v>8.4385833883601061E-2</v>
          </cell>
          <cell r="AM7">
            <v>8.9780991716214301E-2</v>
          </cell>
        </row>
        <row r="8">
          <cell r="A8" t="str">
            <v>VRF-New-Large Off</v>
          </cell>
          <cell r="B8">
            <v>0</v>
          </cell>
          <cell r="C8">
            <v>3.3900776130202694</v>
          </cell>
          <cell r="D8">
            <v>1.4996068097757478</v>
          </cell>
          <cell r="E8">
            <v>0.29992136195514957</v>
          </cell>
          <cell r="F8">
            <v>1.7995281717308973</v>
          </cell>
          <cell r="G8">
            <v>1.9043254851335727</v>
          </cell>
          <cell r="H8">
            <v>2.4817444532758151</v>
          </cell>
          <cell r="I8">
            <v>4650.0017355999125</v>
          </cell>
          <cell r="J8">
            <v>-5.0311778050357123</v>
          </cell>
          <cell r="K8">
            <v>25.763346706677989</v>
          </cell>
          <cell r="L8">
            <v>1.3032144308575175</v>
          </cell>
          <cell r="M8">
            <v>3.2206042090265272E-2</v>
          </cell>
          <cell r="N8">
            <v>6.3728838317816863E-4</v>
          </cell>
          <cell r="O8">
            <v>0.21257527104735577</v>
          </cell>
          <cell r="P8">
            <v>0.19113965138796216</v>
          </cell>
          <cell r="Q8">
            <v>0.21995260143793749</v>
          </cell>
          <cell r="R8">
            <v>0.20462651559086409</v>
          </cell>
          <cell r="S8">
            <v>0.20891155322025731</v>
          </cell>
          <cell r="T8">
            <v>0.20679415828023281</v>
          </cell>
          <cell r="U8">
            <v>0.19645798037802967</v>
          </cell>
          <cell r="V8">
            <v>0.20470175529286913</v>
          </cell>
          <cell r="W8">
            <v>0.19125687259214133</v>
          </cell>
          <cell r="X8">
            <v>0.21806917733486386</v>
          </cell>
          <cell r="Y8">
            <v>0.19297936571889832</v>
          </cell>
          <cell r="Z8">
            <v>0.21010408157493873</v>
          </cell>
          <cell r="AA8">
            <v>0</v>
          </cell>
          <cell r="AB8">
            <v>9.0250888848768404E-2</v>
          </cell>
          <cell r="AC8">
            <v>7.7540914789210769E-2</v>
          </cell>
          <cell r="AD8">
            <v>7.437806235077131E-2</v>
          </cell>
          <cell r="AE8">
            <v>7.7663097273389381E-2</v>
          </cell>
          <cell r="AF8">
            <v>7.6197911265617424E-2</v>
          </cell>
          <cell r="AG8">
            <v>6.6861554069299625E-2</v>
          </cell>
          <cell r="AH8">
            <v>7.8503963641504415E-2</v>
          </cell>
          <cell r="AI8">
            <v>6.4381190856219364E-2</v>
          </cell>
          <cell r="AJ8">
            <v>7.9260229438492036E-2</v>
          </cell>
          <cell r="AK8">
            <v>7.1188050051691487E-2</v>
          </cell>
          <cell r="AL8">
            <v>8.5411031669449161E-2</v>
          </cell>
          <cell r="AM8">
            <v>9.0871734909505147E-2</v>
          </cell>
        </row>
        <row r="9">
          <cell r="A9" t="str">
            <v>VRF-New-Other</v>
          </cell>
          <cell r="B9">
            <v>0</v>
          </cell>
          <cell r="C9">
            <v>3.9276157074034557</v>
          </cell>
          <cell r="D9">
            <v>1.7902223614992041</v>
          </cell>
          <cell r="E9">
            <v>0.35804447229984082</v>
          </cell>
          <cell r="F9">
            <v>2.1482668337990449</v>
          </cell>
          <cell r="G9">
            <v>2.273373290141802</v>
          </cell>
          <cell r="H9">
            <v>2.8752552623016321</v>
          </cell>
          <cell r="I9">
            <v>4791.4100731918961</v>
          </cell>
          <cell r="J9">
            <v>-4.7106850458440537</v>
          </cell>
          <cell r="K9">
            <v>27.020312776147971</v>
          </cell>
          <cell r="L9">
            <v>1.2647528123822935</v>
          </cell>
          <cell r="M9">
            <v>3.7312702311357443E-2</v>
          </cell>
          <cell r="N9">
            <v>7.3833821806998303E-4</v>
          </cell>
          <cell r="O9">
            <v>0.24628166929408574</v>
          </cell>
          <cell r="P9">
            <v>0.22144717106643194</v>
          </cell>
          <cell r="Q9">
            <v>0.25482876526895903</v>
          </cell>
          <cell r="R9">
            <v>0.23707254184953394</v>
          </cell>
          <cell r="S9">
            <v>0.24203702438391034</v>
          </cell>
          <cell r="T9">
            <v>0.23958389068771524</v>
          </cell>
          <cell r="U9">
            <v>0.22760878589150332</v>
          </cell>
          <cell r="V9">
            <v>0.23715971172266026</v>
          </cell>
          <cell r="W9">
            <v>0.22158297912020825</v>
          </cell>
          <cell r="X9">
            <v>0.25264670133551898</v>
          </cell>
          <cell r="Y9">
            <v>0.22357859451100692</v>
          </cell>
          <cell r="Z9">
            <v>0.24341864263341054</v>
          </cell>
          <cell r="AA9">
            <v>0</v>
          </cell>
          <cell r="AB9">
            <v>0.10456126647016289</v>
          </cell>
          <cell r="AC9">
            <v>8.9835971224625819E-2</v>
          </cell>
          <cell r="AD9">
            <v>8.6171610010681007E-2</v>
          </cell>
          <cell r="AE9">
            <v>8.9977527229770482E-2</v>
          </cell>
          <cell r="AF9">
            <v>8.8280018135497587E-2</v>
          </cell>
          <cell r="AG9">
            <v>7.746326779522511E-2</v>
          </cell>
          <cell r="AH9">
            <v>9.0951723201730422E-2</v>
          </cell>
          <cell r="AI9">
            <v>7.4589612785574605E-2</v>
          </cell>
          <cell r="AJ9">
            <v>9.1827904151633291E-2</v>
          </cell>
          <cell r="AK9">
            <v>8.2475782409402662E-2</v>
          </cell>
          <cell r="AL9">
            <v>9.8953990988895027E-2</v>
          </cell>
          <cell r="AM9">
            <v>0.10528055523531206</v>
          </cell>
        </row>
        <row r="10">
          <cell r="A10" t="str">
            <v>VRF-New-Medium Ret</v>
          </cell>
          <cell r="B10">
            <v>0</v>
          </cell>
          <cell r="C10">
            <v>3.9974786918857497</v>
          </cell>
          <cell r="D10">
            <v>1.859824997051404</v>
          </cell>
          <cell r="E10">
            <v>0.37196499941028083</v>
          </cell>
          <cell r="F10">
            <v>2.2317899964616847</v>
          </cell>
          <cell r="G10">
            <v>2.3617605072779657</v>
          </cell>
          <cell r="H10">
            <v>2.9263992460152544</v>
          </cell>
          <cell r="I10">
            <v>4890.7028344363025</v>
          </cell>
          <cell r="J10">
            <v>-4.485644489106865</v>
          </cell>
          <cell r="K10">
            <v>27.902917253037575</v>
          </cell>
          <cell r="L10">
            <v>1.2390753579786378</v>
          </cell>
          <cell r="M10">
            <v>3.7976406944592575E-2</v>
          </cell>
          <cell r="N10">
            <v>7.5147150689314256E-4</v>
          </cell>
          <cell r="O10">
            <v>0.25066243709877023</v>
          </cell>
          <cell r="P10">
            <v>0.22538619194535847</v>
          </cell>
          <cell r="Q10">
            <v>0.25936156567508556</v>
          </cell>
          <cell r="R10">
            <v>0.24128950108034461</v>
          </cell>
          <cell r="S10">
            <v>0.24634229000518787</v>
          </cell>
          <cell r="T10">
            <v>0.24384552086853273</v>
          </cell>
          <cell r="U10">
            <v>0.23165740731003928</v>
          </cell>
          <cell r="V10">
            <v>0.24137822149913199</v>
          </cell>
          <cell r="W10">
            <v>0.22552441570287476</v>
          </cell>
          <cell r="X10">
            <v>0.25714068799048495</v>
          </cell>
          <cell r="Y10">
            <v>0.22755552836669254</v>
          </cell>
          <cell r="Z10">
            <v>0.24774848397225213</v>
          </cell>
          <cell r="AA10">
            <v>0</v>
          </cell>
          <cell r="AB10">
            <v>0.10642116384329038</v>
          </cell>
          <cell r="AC10">
            <v>9.1433940458679794E-2</v>
          </cell>
          <cell r="AD10">
            <v>8.7704398934414701E-2</v>
          </cell>
          <cell r="AE10">
            <v>9.1578014410010511E-2</v>
          </cell>
          <cell r="AF10">
            <v>8.985031064794255E-2</v>
          </cell>
          <cell r="AG10">
            <v>7.8841155928660478E-2</v>
          </cell>
          <cell r="AH10">
            <v>9.2569539021822744E-2</v>
          </cell>
          <cell r="AI10">
            <v>7.5916385400002284E-2</v>
          </cell>
          <cell r="AJ10">
            <v>9.3461305156394101E-2</v>
          </cell>
          <cell r="AK10">
            <v>8.3942831310284668E-2</v>
          </cell>
          <cell r="AL10">
            <v>0.1007141482068955</v>
          </cell>
          <cell r="AM10">
            <v>0.10715324705259639</v>
          </cell>
        </row>
        <row r="11">
          <cell r="A11" t="str">
            <v>VRF-New-Hospital</v>
          </cell>
          <cell r="B11">
            <v>0</v>
          </cell>
          <cell r="C11">
            <v>4.1849380233644631</v>
          </cell>
          <cell r="D11">
            <v>1.98</v>
          </cell>
          <cell r="E11">
            <v>0.39600000000000002</v>
          </cell>
          <cell r="F11">
            <v>2.3759999999999999</v>
          </cell>
          <cell r="G11">
            <v>2.5143687238445707</v>
          </cell>
          <cell r="H11">
            <v>3.0636309584472365</v>
          </cell>
          <cell r="I11">
            <v>4973.4930084500666</v>
          </cell>
          <cell r="J11">
            <v>-4.2980059682426432</v>
          </cell>
          <cell r="K11">
            <v>28.638831707537967</v>
          </cell>
          <cell r="L11">
            <v>1.2184493584388936</v>
          </cell>
          <cell r="M11">
            <v>3.9757287446156565E-2</v>
          </cell>
          <cell r="N11">
            <v>7.8671130606791596E-4</v>
          </cell>
          <cell r="O11">
            <v>0.26241709960159748</v>
          </cell>
          <cell r="P11">
            <v>0.23595554030795818</v>
          </cell>
          <cell r="Q11">
            <v>0.27152416852057776</v>
          </cell>
          <cell r="R11">
            <v>0.25260462545040502</v>
          </cell>
          <cell r="S11">
            <v>0.25789436183812703</v>
          </cell>
          <cell r="T11">
            <v>0.25528050823166243</v>
          </cell>
          <cell r="U11">
            <v>0.24252084050221129</v>
          </cell>
          <cell r="V11">
            <v>0.25269750635926036</v>
          </cell>
          <cell r="W11">
            <v>0.23610024598449783</v>
          </cell>
          <cell r="X11">
            <v>0.26919914412797935</v>
          </cell>
          <cell r="Y11">
            <v>0.23822660644110316</v>
          </cell>
          <cell r="Z11">
            <v>0.25936649841584991</v>
          </cell>
          <cell r="AA11">
            <v>0</v>
          </cell>
          <cell r="AB11">
            <v>0.11141171958277299</v>
          </cell>
          <cell r="AC11">
            <v>9.5721679474685142E-2</v>
          </cell>
          <cell r="AD11">
            <v>9.181724336942329E-2</v>
          </cell>
          <cell r="AE11">
            <v>9.5872509686319343E-2</v>
          </cell>
          <cell r="AF11">
            <v>9.4063786307339373E-2</v>
          </cell>
          <cell r="AG11">
            <v>8.2538363974671014E-2</v>
          </cell>
          <cell r="AH11">
            <v>9.6910531241630557E-2</v>
          </cell>
          <cell r="AI11">
            <v>7.9476438111290515E-2</v>
          </cell>
          <cell r="AJ11">
            <v>9.784411620659654E-2</v>
          </cell>
          <cell r="AK11">
            <v>8.7879279319825698E-2</v>
          </cell>
          <cell r="AL11">
            <v>0.10543707691984541</v>
          </cell>
          <cell r="AM11">
            <v>0.11217813338883287</v>
          </cell>
        </row>
        <row r="12">
          <cell r="A12" t="str">
            <v>VRF-New-School K-12</v>
          </cell>
          <cell r="B12">
            <v>0</v>
          </cell>
          <cell r="C12">
            <v>3.8084682088936601</v>
          </cell>
          <cell r="D12">
            <v>1.8122943322360696</v>
          </cell>
          <cell r="E12">
            <v>0.36245886644721392</v>
          </cell>
          <cell r="F12">
            <v>2.1747531986832835</v>
          </cell>
          <cell r="G12">
            <v>2.3014021148359367</v>
          </cell>
          <cell r="H12">
            <v>2.7880319956682378</v>
          </cell>
          <cell r="I12">
            <v>5002.2310744192173</v>
          </cell>
          <cell r="J12">
            <v>-4.2328730191313975</v>
          </cell>
          <cell r="K12">
            <v>28.8942818064539</v>
          </cell>
          <cell r="L12">
            <v>1.2114493063577427</v>
          </cell>
          <cell r="M12">
            <v>3.6180790364203658E-2</v>
          </cell>
          <cell r="N12">
            <v>7.1594011237664974E-4</v>
          </cell>
          <cell r="O12">
            <v>0.23881050943241836</v>
          </cell>
          <cell r="P12">
            <v>0.21472938642296457</v>
          </cell>
          <cell r="Q12">
            <v>0.24709832212175795</v>
          </cell>
          <cell r="R12">
            <v>0.22988074855023363</v>
          </cell>
          <cell r="S12">
            <v>0.23469462936605301</v>
          </cell>
          <cell r="T12">
            <v>0.2323159135266917</v>
          </cell>
          <cell r="U12">
            <v>0.22070408352291224</v>
          </cell>
          <cell r="V12">
            <v>0.22996527405255024</v>
          </cell>
          <cell r="W12">
            <v>0.21486107462615203</v>
          </cell>
          <cell r="X12">
            <v>0.2449824529177991</v>
          </cell>
          <cell r="Y12">
            <v>0.21679615135952729</v>
          </cell>
          <cell r="Z12">
            <v>0.23603433507354635</v>
          </cell>
          <cell r="AA12">
            <v>0</v>
          </cell>
          <cell r="AB12">
            <v>0.10138931323719953</v>
          </cell>
          <cell r="AC12">
            <v>8.7110722105310026E-2</v>
          </cell>
          <cell r="AD12">
            <v>8.3557522345235266E-2</v>
          </cell>
          <cell r="AE12">
            <v>8.7247983890966704E-2</v>
          </cell>
          <cell r="AF12">
            <v>8.5601970150961548E-2</v>
          </cell>
          <cell r="AG12">
            <v>7.5113354954516681E-2</v>
          </cell>
          <cell r="AH12">
            <v>8.8192626815540034E-2</v>
          </cell>
          <cell r="AI12">
            <v>7.2326874666500632E-2</v>
          </cell>
          <cell r="AJ12">
            <v>8.9042228085504743E-2</v>
          </cell>
          <cell r="AK12">
            <v>7.997381075693287E-2</v>
          </cell>
          <cell r="AL12">
            <v>9.5952139134686476E-2</v>
          </cell>
          <cell r="AM12">
            <v>0.10208678177769888</v>
          </cell>
        </row>
        <row r="13">
          <cell r="A13" t="str">
            <v>VRF-New-Xlarge Ret</v>
          </cell>
          <cell r="B13">
            <v>0</v>
          </cell>
          <cell r="C13">
            <v>4.0589351681124262</v>
          </cell>
          <cell r="D13">
            <v>1.9381263635476327</v>
          </cell>
          <cell r="E13">
            <v>0.38762527270952657</v>
          </cell>
          <cell r="F13">
            <v>2.3257516362571593</v>
          </cell>
          <cell r="G13">
            <v>2.4611940966478683</v>
          </cell>
          <cell r="H13">
            <v>2.9713891507913743</v>
          </cell>
          <cell r="I13">
            <v>5019.4406882057392</v>
          </cell>
          <cell r="J13">
            <v>-4.1938685537583558</v>
          </cell>
          <cell r="K13">
            <v>29.047256524682727</v>
          </cell>
          <cell r="L13">
            <v>1.2072957410544698</v>
          </cell>
          <cell r="M13">
            <v>3.8560248993657731E-2</v>
          </cell>
          <cell r="N13">
            <v>7.6302448674820647E-4</v>
          </cell>
          <cell r="O13">
            <v>0.25451607367668388</v>
          </cell>
          <cell r="P13">
            <v>0.22885123634327542</v>
          </cell>
          <cell r="Q13">
            <v>0.26334894099928158</v>
          </cell>
          <cell r="R13">
            <v>0.2449990399246644</v>
          </cell>
          <cell r="S13">
            <v>0.25012950946430829</v>
          </cell>
          <cell r="T13">
            <v>0.24759435547437006</v>
          </cell>
          <cell r="U13">
            <v>0.2352188641788355</v>
          </cell>
          <cell r="V13">
            <v>0.24508912431427649</v>
          </cell>
          <cell r="W13">
            <v>0.22899158512651982</v>
          </cell>
          <cell r="X13">
            <v>0.26109391996404774</v>
          </cell>
          <cell r="Y13">
            <v>0.23105392372967556</v>
          </cell>
          <cell r="Z13">
            <v>0.25155732198966091</v>
          </cell>
          <cell r="AA13">
            <v>0</v>
          </cell>
          <cell r="AB13">
            <v>0.10805726255196547</v>
          </cell>
          <cell r="AC13">
            <v>9.2839628448841277E-2</v>
          </cell>
          <cell r="AD13">
            <v>8.9052749663345088E-2</v>
          </cell>
          <cell r="AE13">
            <v>9.2985917365665832E-2</v>
          </cell>
          <cell r="AF13">
            <v>9.1231652214941603E-2</v>
          </cell>
          <cell r="AG13">
            <v>8.0053244847320279E-2</v>
          </cell>
          <cell r="AH13">
            <v>9.3992685488058281E-2</v>
          </cell>
          <cell r="AI13">
            <v>7.7083509453476487E-2</v>
          </cell>
          <cell r="AJ13">
            <v>9.4898161465376343E-2</v>
          </cell>
          <cell r="AK13">
            <v>8.5233352414822897E-2</v>
          </cell>
          <cell r="AL13">
            <v>0.10226250834388156</v>
          </cell>
          <cell r="AM13">
            <v>0.10880060066913128</v>
          </cell>
        </row>
        <row r="14">
          <cell r="A14" t="str">
            <v>VRF-New-Large Ret</v>
          </cell>
          <cell r="B14">
            <v>0</v>
          </cell>
          <cell r="C14">
            <v>4.0977909902096235</v>
          </cell>
          <cell r="D14">
            <v>1.9876323579252317</v>
          </cell>
          <cell r="E14">
            <v>0.39752647158504639</v>
          </cell>
          <cell r="F14">
            <v>2.3851588295102779</v>
          </cell>
          <cell r="G14">
            <v>2.5240609269033536</v>
          </cell>
          <cell r="H14">
            <v>2.9998339924660375</v>
          </cell>
          <cell r="I14">
            <v>5098.8426194575632</v>
          </cell>
          <cell r="J14">
            <v>-4.0139092637660578</v>
          </cell>
          <cell r="K14">
            <v>29.753053192216626</v>
          </cell>
          <cell r="L14">
            <v>1.1884950796914346</v>
          </cell>
          <cell r="M14">
            <v>3.892938279670341E-2</v>
          </cell>
          <cell r="N14">
            <v>7.7032885168258928E-4</v>
          </cell>
          <cell r="O14">
            <v>0.25695253320857075</v>
          </cell>
          <cell r="P14">
            <v>0.23104200869064781</v>
          </cell>
          <cell r="Q14">
            <v>0.26586995677734637</v>
          </cell>
          <cell r="R14">
            <v>0.24734439374654471</v>
          </cell>
          <cell r="S14">
            <v>0.25252397681066013</v>
          </cell>
          <cell r="T14">
            <v>0.2499645540190924</v>
          </cell>
          <cell r="U14">
            <v>0.23747059325601808</v>
          </cell>
          <cell r="V14">
            <v>0.24743534050593399</v>
          </cell>
          <cell r="W14">
            <v>0.23118370102019867</v>
          </cell>
          <cell r="X14">
            <v>0.26359334862811795</v>
          </cell>
          <cell r="Y14">
            <v>0.23326578220571886</v>
          </cell>
          <cell r="Z14">
            <v>0.25396545765717959</v>
          </cell>
          <cell r="AA14">
            <v>0</v>
          </cell>
          <cell r="AB14">
            <v>0.10909168502882949</v>
          </cell>
          <cell r="AC14">
            <v>9.3728373880135177E-2</v>
          </cell>
          <cell r="AD14">
            <v>8.9905243643877003E-2</v>
          </cell>
          <cell r="AE14">
            <v>9.3876063207631866E-2</v>
          </cell>
          <cell r="AF14">
            <v>9.2105004634055423E-2</v>
          </cell>
          <cell r="AG14">
            <v>8.0819587375904542E-2</v>
          </cell>
          <cell r="AH14">
            <v>9.4892469030908075E-2</v>
          </cell>
          <cell r="AI14">
            <v>7.7821422971652926E-2</v>
          </cell>
          <cell r="AJ14">
            <v>9.5806613048495512E-2</v>
          </cell>
          <cell r="AK14">
            <v>8.6049283648264654E-2</v>
          </cell>
          <cell r="AL14">
            <v>0.10324145815875896</v>
          </cell>
          <cell r="AM14">
            <v>0.1098421390550804</v>
          </cell>
        </row>
        <row r="15">
          <cell r="A15" t="str">
            <v>VRF-New-Warehouse</v>
          </cell>
          <cell r="B15">
            <v>0</v>
          </cell>
          <cell r="C15">
            <v>4.0898458077684587</v>
          </cell>
          <cell r="D15">
            <v>1.9867934739976052</v>
          </cell>
          <cell r="E15">
            <v>0.39735869479952107</v>
          </cell>
          <cell r="F15">
            <v>2.3841521687971263</v>
          </cell>
          <cell r="G15">
            <v>2.5229956423020607</v>
          </cell>
          <cell r="H15">
            <v>2.9940176322806877</v>
          </cell>
          <cell r="I15">
            <v>5106.5917837275128</v>
          </cell>
          <cell r="J15">
            <v>-3.9963462891876285</v>
          </cell>
          <cell r="K15">
            <v>29.821934820555839</v>
          </cell>
          <cell r="L15">
            <v>1.1866915590662106</v>
          </cell>
          <cell r="M15">
            <v>3.8853902849243747E-2</v>
          </cell>
          <cell r="N15">
            <v>7.6883526567956141E-4</v>
          </cell>
          <cell r="O15">
            <v>0.25645432947882002</v>
          </cell>
          <cell r="P15">
            <v>0.23059404272190853</v>
          </cell>
          <cell r="Q15">
            <v>0.26535446310837507</v>
          </cell>
          <cell r="R15">
            <v>0.24686481918092856</v>
          </cell>
          <cell r="S15">
            <v>0.25203435958242115</v>
          </cell>
          <cell r="T15">
            <v>0.24947989924039551</v>
          </cell>
          <cell r="U15">
            <v>0.23701016294311572</v>
          </cell>
          <cell r="V15">
            <v>0.24695558960419003</v>
          </cell>
          <cell r="W15">
            <v>0.2307354603250491</v>
          </cell>
          <cell r="X15">
            <v>0.26308226906107035</v>
          </cell>
          <cell r="Y15">
            <v>0.23281350457581207</v>
          </cell>
          <cell r="Z15">
            <v>0.25347304555034911</v>
          </cell>
          <cell r="AA15">
            <v>0</v>
          </cell>
          <cell r="AB15">
            <v>0.10888016781322749</v>
          </cell>
          <cell r="AC15">
            <v>9.3546644496628167E-2</v>
          </cell>
          <cell r="AD15">
            <v>8.9730926904718136E-2</v>
          </cell>
          <cell r="AE15">
            <v>9.3694047470171141E-2</v>
          </cell>
          <cell r="AF15">
            <v>9.1926422791469939E-2</v>
          </cell>
          <cell r="AG15">
            <v>8.066288676134041E-2</v>
          </cell>
          <cell r="AH15">
            <v>9.4708482590275936E-2</v>
          </cell>
          <cell r="AI15">
            <v>7.7670535480119554E-2</v>
          </cell>
          <cell r="AJ15">
            <v>9.5620854179495354E-2</v>
          </cell>
          <cell r="AK15">
            <v>8.5882443206877962E-2</v>
          </cell>
          <cell r="AL15">
            <v>0.10304128391304389</v>
          </cell>
          <cell r="AM15">
            <v>0.10962916678865553</v>
          </cell>
        </row>
        <row r="16">
          <cell r="A16" t="str">
            <v>VRF-New-Small Off</v>
          </cell>
          <cell r="B16">
            <v>0</v>
          </cell>
          <cell r="C16">
            <v>3.2602314947007653</v>
          </cell>
          <cell r="D16">
            <v>1.9018540421587167</v>
          </cell>
          <cell r="E16">
            <v>0.38037080843174337</v>
          </cell>
          <cell r="F16">
            <v>2.2822248505904601</v>
          </cell>
          <cell r="G16">
            <v>2.4151324853137628</v>
          </cell>
          <cell r="H16">
            <v>2.3866891416566403</v>
          </cell>
          <cell r="I16">
            <v>6132.1687504915617</v>
          </cell>
          <cell r="J16">
            <v>-1.6719430931750763</v>
          </cell>
          <cell r="K16">
            <v>38.938196780808177</v>
          </cell>
          <cell r="L16">
            <v>0.98822286403330484</v>
          </cell>
          <cell r="M16">
            <v>3.0972492293117708E-2</v>
          </cell>
          <cell r="N16">
            <v>6.1287908278693788E-4</v>
          </cell>
          <cell r="O16">
            <v>0.20443325279673982</v>
          </cell>
          <cell r="P16">
            <v>0.18381865623010829</v>
          </cell>
          <cell r="Q16">
            <v>0.21152801805928478</v>
          </cell>
          <cell r="R16">
            <v>0.19678894908422367</v>
          </cell>
          <cell r="S16">
            <v>0.20090986200423183</v>
          </cell>
          <cell r="T16">
            <v>0.19887356712895382</v>
          </cell>
          <cell r="U16">
            <v>0.18893328357846292</v>
          </cell>
          <cell r="V16">
            <v>0.19686130696924276</v>
          </cell>
          <cell r="W16">
            <v>0.18393138764966163</v>
          </cell>
          <cell r="X16">
            <v>0.20971673251374576</v>
          </cell>
          <cell r="Y16">
            <v>0.18558790616702253</v>
          </cell>
          <cell r="Z16">
            <v>0.20205671436104036</v>
          </cell>
          <cell r="AA16">
            <v>0</v>
          </cell>
          <cell r="AB16">
            <v>8.6794116193508394E-2</v>
          </cell>
          <cell r="AC16">
            <v>7.4570957181853109E-2</v>
          </cell>
          <cell r="AD16">
            <v>7.1529247725618958E-2</v>
          </cell>
          <cell r="AE16">
            <v>7.4688459855387773E-2</v>
          </cell>
          <cell r="AF16">
            <v>7.3279393127892639E-2</v>
          </cell>
          <cell r="AG16">
            <v>6.4300635337715323E-2</v>
          </cell>
          <cell r="AH16">
            <v>7.549711951722983E-2</v>
          </cell>
          <cell r="AI16">
            <v>6.191527453225075E-2</v>
          </cell>
          <cell r="AJ16">
            <v>7.6224418963187754E-2</v>
          </cell>
          <cell r="AK16">
            <v>6.8461418680644037E-2</v>
          </cell>
          <cell r="AL16">
            <v>8.2139634318147303E-2</v>
          </cell>
          <cell r="AM16">
            <v>8.739118272461105E-2</v>
          </cell>
        </row>
        <row r="17">
          <cell r="A17" t="str">
            <v>VRF-New-Supermarket</v>
          </cell>
          <cell r="B17">
            <v>0</v>
          </cell>
          <cell r="C17">
            <v>2.347546574552124</v>
          </cell>
          <cell r="D17">
            <v>1.5262636850237556</v>
          </cell>
          <cell r="E17">
            <v>0.30525273700475114</v>
          </cell>
          <cell r="F17">
            <v>1.8315164220285067</v>
          </cell>
          <cell r="G17">
            <v>1.9381766030118648</v>
          </cell>
          <cell r="H17">
            <v>1.7185478786165289</v>
          </cell>
          <cell r="I17">
            <v>6834.4049191146232</v>
          </cell>
          <cell r="J17">
            <v>-8.0370692857512693E-2</v>
          </cell>
          <cell r="K17">
            <v>45.180311296436336</v>
          </cell>
          <cell r="L17">
            <v>0.88668281102246316</v>
          </cell>
          <cell r="M17">
            <v>2.2301903501709477E-2</v>
          </cell>
          <cell r="N17">
            <v>4.4130675804761462E-4</v>
          </cell>
          <cell r="O17">
            <v>0.14720322256490048</v>
          </cell>
          <cell r="P17">
            <v>0.13235957553111477</v>
          </cell>
          <cell r="Q17">
            <v>0.15231184504045495</v>
          </cell>
          <cell r="R17">
            <v>0.14169890208203845</v>
          </cell>
          <cell r="S17">
            <v>0.14466618677489448</v>
          </cell>
          <cell r="T17">
            <v>0.14319994210269654</v>
          </cell>
          <cell r="U17">
            <v>0.13604238944517474</v>
          </cell>
          <cell r="V17">
            <v>0.1417510037519335</v>
          </cell>
          <cell r="W17">
            <v>0.1324407483736712</v>
          </cell>
          <cell r="X17">
            <v>0.15100761950160063</v>
          </cell>
          <cell r="Y17">
            <v>0.1336335331122499</v>
          </cell>
          <cell r="Z17">
            <v>0.14549198375468533</v>
          </cell>
          <cell r="AA17">
            <v>0</v>
          </cell>
          <cell r="AB17">
            <v>6.2496552926543263E-2</v>
          </cell>
          <cell r="AC17">
            <v>5.369520396875984E-2</v>
          </cell>
          <cell r="AD17">
            <v>5.1505005319868916E-2</v>
          </cell>
          <cell r="AE17">
            <v>5.3779812377458845E-2</v>
          </cell>
          <cell r="AF17">
            <v>5.2765206581881691E-2</v>
          </cell>
          <cell r="AG17">
            <v>4.6300005528421354E-2</v>
          </cell>
          <cell r="AH17">
            <v>5.4362091955526055E-2</v>
          </cell>
          <cell r="AI17">
            <v>4.4582414125160216E-2</v>
          </cell>
          <cell r="AJ17">
            <v>5.4885787688730085E-2</v>
          </cell>
          <cell r="AK17">
            <v>4.9295999125815386E-2</v>
          </cell>
          <cell r="AL17">
            <v>5.9145069143695592E-2</v>
          </cell>
          <cell r="AM17">
            <v>6.2926473774847461E-2</v>
          </cell>
        </row>
        <row r="18">
          <cell r="A18" t="str">
            <v>VRF-New-Restaurant</v>
          </cell>
          <cell r="B18">
            <v>0</v>
          </cell>
          <cell r="C18">
            <v>3.7573935520667674</v>
          </cell>
          <cell r="D18">
            <v>2.4711102162046097</v>
          </cell>
          <cell r="E18">
            <v>0.49422204324092195</v>
          </cell>
          <cell r="F18">
            <v>2.9653322594455318</v>
          </cell>
          <cell r="G18">
            <v>3.1380213337361949</v>
          </cell>
          <cell r="H18">
            <v>2.7506422185739638</v>
          </cell>
          <cell r="I18">
            <v>6913.385630966045</v>
          </cell>
          <cell r="J18">
            <v>9.8633930881301332E-2</v>
          </cell>
          <cell r="K18">
            <v>45.882363782381468</v>
          </cell>
          <cell r="L18">
            <v>0.87655306514407627</v>
          </cell>
          <cell r="M18">
            <v>3.569557653275765E-2</v>
          </cell>
          <cell r="N18">
            <v>7.0633877306052958E-4</v>
          </cell>
          <cell r="O18">
            <v>0.23560786623129276</v>
          </cell>
          <cell r="P18">
            <v>0.21184969067111578</v>
          </cell>
          <cell r="Q18">
            <v>0.24378453261042685</v>
          </cell>
          <cell r="R18">
            <v>0.22679786070679719</v>
          </cell>
          <cell r="S18">
            <v>0.23154718346483907</v>
          </cell>
          <cell r="T18">
            <v>0.22920036813994191</v>
          </cell>
          <cell r="U18">
            <v>0.21774426222260493</v>
          </cell>
          <cell r="V18">
            <v>0.2268812526533672</v>
          </cell>
          <cell r="W18">
            <v>0.21197961282837166</v>
          </cell>
          <cell r="X18">
            <v>0.24169703893372865</v>
          </cell>
          <cell r="Y18">
            <v>0.2138887386085894</v>
          </cell>
          <cell r="Z18">
            <v>0.23286892262895953</v>
          </cell>
          <cell r="AA18">
            <v>0</v>
          </cell>
          <cell r="AB18">
            <v>0.10002960006763401</v>
          </cell>
          <cell r="AC18">
            <v>8.5942496458294854E-2</v>
          </cell>
          <cell r="AD18">
            <v>8.2436947997490337E-2</v>
          </cell>
          <cell r="AE18">
            <v>8.6077917451744965E-2</v>
          </cell>
          <cell r="AF18">
            <v>8.4453978095006751E-2</v>
          </cell>
          <cell r="AG18">
            <v>7.4106023760715539E-2</v>
          </cell>
          <cell r="AH18">
            <v>8.7009891946243464E-2</v>
          </cell>
          <cell r="AI18">
            <v>7.1356912440131856E-2</v>
          </cell>
          <cell r="AJ18">
            <v>8.784809937203697E-2</v>
          </cell>
          <cell r="AK18">
            <v>7.8901296896895748E-2</v>
          </cell>
          <cell r="AL18">
            <v>9.4665342892915033E-2</v>
          </cell>
          <cell r="AM18">
            <v>0.10071771498762253</v>
          </cell>
        </row>
        <row r="19">
          <cell r="A19" t="str">
            <v>VRF-New-MiniMart</v>
          </cell>
          <cell r="B19">
            <v>0</v>
          </cell>
          <cell r="C19">
            <v>3.9670517690227078</v>
          </cell>
          <cell r="D19">
            <v>2.6278655191822664</v>
          </cell>
          <cell r="E19">
            <v>0.52557310383645328</v>
          </cell>
          <cell r="F19">
            <v>3.1534386230187197</v>
          </cell>
          <cell r="G19">
            <v>3.3370822585360935</v>
          </cell>
          <cell r="H19">
            <v>2.904124874845821</v>
          </cell>
          <cell r="I19">
            <v>6963.3884168971281</v>
          </cell>
          <cell r="J19">
            <v>0.21196197859912538</v>
          </cell>
          <cell r="K19">
            <v>46.32683407575054</v>
          </cell>
          <cell r="L19">
            <v>0.87025870201946964</v>
          </cell>
          <cell r="M19">
            <v>3.7687348442025953E-2</v>
          </cell>
          <cell r="N19">
            <v>7.457516601256229E-4</v>
          </cell>
          <cell r="O19">
            <v>0.24875451282296412</v>
          </cell>
          <cell r="P19">
            <v>0.22367065852909876</v>
          </cell>
          <cell r="Q19">
            <v>0.25738742773447509</v>
          </cell>
          <cell r="R19">
            <v>0.2394529191738704</v>
          </cell>
          <cell r="S19">
            <v>0.24446724865197003</v>
          </cell>
          <cell r="T19">
            <v>0.24198948374467627</v>
          </cell>
          <cell r="U19">
            <v>0.22989414035950309</v>
          </cell>
          <cell r="V19">
            <v>0.23954096429466454</v>
          </cell>
          <cell r="W19">
            <v>0.22380783019254977</v>
          </cell>
          <cell r="X19">
            <v>0.25518345432359452</v>
          </cell>
          <cell r="Y19">
            <v>0.22582348298450544</v>
          </cell>
          <cell r="Z19">
            <v>0.2458627393336226</v>
          </cell>
          <cell r="AA19">
            <v>0</v>
          </cell>
          <cell r="AB19">
            <v>0.105611136125112</v>
          </cell>
          <cell r="AC19">
            <v>9.0737988417947876E-2</v>
          </cell>
          <cell r="AD19">
            <v>8.703683440516688E-2</v>
          </cell>
          <cell r="AE19">
            <v>9.0880965746296574E-2</v>
          </cell>
          <cell r="AF19">
            <v>8.9166412450597657E-2</v>
          </cell>
          <cell r="AG19">
            <v>7.8241054225868717E-2</v>
          </cell>
          <cell r="AH19">
            <v>9.1864943340299376E-2</v>
          </cell>
          <cell r="AI19">
            <v>7.5338545671351426E-2</v>
          </cell>
          <cell r="AJ19">
            <v>9.2749921771550767E-2</v>
          </cell>
          <cell r="AK19">
            <v>8.330389806009178E-2</v>
          </cell>
          <cell r="AL19">
            <v>9.9947559600700189E-2</v>
          </cell>
          <cell r="AM19">
            <v>0.10633764706222952</v>
          </cell>
        </row>
        <row r="20">
          <cell r="A20" t="str">
            <v>VRF-New-Assembly</v>
          </cell>
          <cell r="B20">
            <v>0</v>
          </cell>
          <cell r="C20">
            <v>3.7909390211690437</v>
          </cell>
          <cell r="D20">
            <v>2.6536674378850664</v>
          </cell>
          <cell r="E20">
            <v>0.53073348757701333</v>
          </cell>
          <cell r="F20">
            <v>3.1844009254620795</v>
          </cell>
          <cell r="G20">
            <v>3.3698476814661449</v>
          </cell>
          <cell r="H20">
            <v>2.7751995565999055</v>
          </cell>
          <cell r="I20">
            <v>7358.4280705326391</v>
          </cell>
          <cell r="J20">
            <v>1.1072935463110325</v>
          </cell>
          <cell r="K20">
            <v>49.838306236237564</v>
          </cell>
          <cell r="L20">
            <v>0.82353857471459324</v>
          </cell>
          <cell r="M20">
            <v>3.6014261504953078E-2</v>
          </cell>
          <cell r="N20">
            <v>7.126448640140333E-4</v>
          </cell>
          <cell r="O20">
            <v>0.23771133936696354</v>
          </cell>
          <cell r="P20">
            <v>0.21374105423318548</v>
          </cell>
          <cell r="Q20">
            <v>0.24596100584725283</v>
          </cell>
          <cell r="R20">
            <v>0.22882267938053377</v>
          </cell>
          <cell r="S20">
            <v>0.23361440340893208</v>
          </cell>
          <cell r="T20">
            <v>0.23124663605442206</v>
          </cell>
          <cell r="U20">
            <v>0.21968825167150591</v>
          </cell>
          <cell r="V20">
            <v>0.22890681583840616</v>
          </cell>
          <cell r="W20">
            <v>0.21387213631677102</v>
          </cell>
          <cell r="X20">
            <v>0.24385487532731145</v>
          </cell>
          <cell r="Y20">
            <v>0.2157983064973118</v>
          </cell>
          <cell r="Z20">
            <v>0.23494794287016724</v>
          </cell>
          <cell r="AA20">
            <v>0</v>
          </cell>
          <cell r="AB20">
            <v>0.10092264994699417</v>
          </cell>
          <cell r="AC20">
            <v>8.6709778703171328E-2</v>
          </cell>
          <cell r="AD20">
            <v>8.3172933210009445E-2</v>
          </cell>
          <cell r="AE20">
            <v>8.6846408715769596E-2</v>
          </cell>
          <cell r="AF20">
            <v>8.5207971062070856E-2</v>
          </cell>
          <cell r="AG20">
            <v>7.4767631680117602E-2</v>
          </cell>
          <cell r="AH20">
            <v>8.7786703744483136E-2</v>
          </cell>
          <cell r="AI20">
            <v>7.1993976689145006E-2</v>
          </cell>
          <cell r="AJ20">
            <v>8.8632394565591396E-2</v>
          </cell>
          <cell r="AK20">
            <v>7.9605716325019921E-2</v>
          </cell>
          <cell r="AL20">
            <v>9.5510501455909835E-2</v>
          </cell>
          <cell r="AM20">
            <v>0.1016169082579976</v>
          </cell>
        </row>
        <row r="21">
          <cell r="A21" t="str">
            <v>VRF-New-Lodging</v>
          </cell>
          <cell r="B21">
            <v>0</v>
          </cell>
          <cell r="C21">
            <v>3.5215726814852979</v>
          </cell>
          <cell r="D21">
            <v>2.7848373287035759</v>
          </cell>
          <cell r="E21">
            <v>0.55696746574071521</v>
          </cell>
          <cell r="F21">
            <v>3.341804794444291</v>
          </cell>
          <cell r="G21">
            <v>3.5364181213571375</v>
          </cell>
          <cell r="H21">
            <v>2.5780068973988781</v>
          </cell>
          <cell r="I21">
            <v>8312.8228911024416</v>
          </cell>
          <cell r="J21">
            <v>3.270367058180041</v>
          </cell>
          <cell r="K21">
            <v>58.321836463398</v>
          </cell>
          <cell r="L21">
            <v>0.7289881481575321</v>
          </cell>
          <cell r="M21">
            <v>3.3455257062035192E-2</v>
          </cell>
          <cell r="N21">
            <v>6.6200766372092918E-4</v>
          </cell>
          <cell r="O21">
            <v>0.22082068693783169</v>
          </cell>
          <cell r="P21">
            <v>0.1985536177966101</v>
          </cell>
          <cell r="Q21">
            <v>0.22848417082562919</v>
          </cell>
          <cell r="R21">
            <v>0.21256361342426996</v>
          </cell>
          <cell r="S21">
            <v>0.21701486002607376</v>
          </cell>
          <cell r="T21">
            <v>0.21481533511016418</v>
          </cell>
          <cell r="U21">
            <v>0.20407823528933094</v>
          </cell>
          <cell r="V21">
            <v>0.21264177154021585</v>
          </cell>
          <cell r="W21">
            <v>0.19867538580237576</v>
          </cell>
          <cell r="X21">
            <v>0.22652769205842896</v>
          </cell>
          <cell r="Y21">
            <v>0.20046469136751574</v>
          </cell>
          <cell r="Z21">
            <v>0.21825364443018697</v>
          </cell>
          <cell r="AA21">
            <v>0</v>
          </cell>
          <cell r="AB21">
            <v>9.3751559972821377E-2</v>
          </cell>
          <cell r="AC21">
            <v>8.0548588672512869E-2</v>
          </cell>
          <cell r="AD21">
            <v>7.7263054825146366E-2</v>
          </cell>
          <cell r="AE21">
            <v>8.0675510397486619E-2</v>
          </cell>
          <cell r="AF21">
            <v>7.9153492435877978E-2</v>
          </cell>
          <cell r="AG21">
            <v>6.9454994584128377E-2</v>
          </cell>
          <cell r="AH21">
            <v>8.1548992473342546E-2</v>
          </cell>
          <cell r="AI21">
            <v>6.6878422502770471E-2</v>
          </cell>
          <cell r="AJ21">
            <v>8.2334592472700849E-2</v>
          </cell>
          <cell r="AK21">
            <v>7.3949307634552347E-2</v>
          </cell>
          <cell r="AL21">
            <v>8.8723973359606204E-2</v>
          </cell>
          <cell r="AM21">
            <v>9.4396487545718569E-2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MeasureTable"/>
      <sheetName val="Summary"/>
      <sheetName val="ProData"/>
      <sheetName val="MDataRegion"/>
      <sheetName val="MMap"/>
      <sheetName val="MDataMeas"/>
      <sheetName val="Input Assumptions"/>
      <sheetName val="Units Assumptions"/>
      <sheetName val="Units Notes"/>
      <sheetName val="To Do"/>
      <sheetName val="Log12Aug04"/>
      <sheetName val="Log22Jul04"/>
      <sheetName val="Log16Apr04"/>
      <sheetName val="LogNov2003"/>
    </sheetNames>
    <sheetDataSet>
      <sheetData sheetId="0"/>
      <sheetData sheetId="1"/>
      <sheetData sheetId="2"/>
      <sheetData sheetId="3"/>
      <sheetData sheetId="4"/>
      <sheetData sheetId="5">
        <row r="1">
          <cell r="A1" t="str">
            <v>Data Set Name</v>
          </cell>
        </row>
        <row r="2">
          <cell r="A2" t="str">
            <v>Exit Signs</v>
          </cell>
        </row>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cell r="P3">
            <v>16</v>
          </cell>
          <cell r="Q3">
            <v>17</v>
          </cell>
          <cell r="R3">
            <v>18</v>
          </cell>
          <cell r="S3">
            <v>19</v>
          </cell>
          <cell r="T3">
            <v>20</v>
          </cell>
          <cell r="U3">
            <v>21</v>
          </cell>
          <cell r="V3">
            <v>22</v>
          </cell>
          <cell r="W3">
            <v>23</v>
          </cell>
          <cell r="X3">
            <v>24</v>
          </cell>
          <cell r="Y3">
            <v>25</v>
          </cell>
          <cell r="Z3">
            <v>26</v>
          </cell>
          <cell r="AA3">
            <v>27</v>
          </cell>
          <cell r="AB3">
            <v>28</v>
          </cell>
          <cell r="AC3">
            <v>29</v>
          </cell>
          <cell r="AD3">
            <v>30</v>
          </cell>
          <cell r="AE3">
            <v>31</v>
          </cell>
          <cell r="AF3">
            <v>32</v>
          </cell>
          <cell r="AG3">
            <v>33</v>
          </cell>
          <cell r="AH3">
            <v>34</v>
          </cell>
          <cell r="AI3">
            <v>35</v>
          </cell>
          <cell r="AJ3">
            <v>36</v>
          </cell>
          <cell r="AK3">
            <v>37</v>
          </cell>
          <cell r="AL3">
            <v>38</v>
          </cell>
          <cell r="AM3">
            <v>39</v>
          </cell>
          <cell r="AN3">
            <v>40</v>
          </cell>
          <cell r="AO3">
            <v>41</v>
          </cell>
        </row>
        <row r="4">
          <cell r="A4" t="str">
            <v>Input Data</v>
          </cell>
          <cell r="I4" t="str">
            <v>Periodic O&amp;M</v>
          </cell>
          <cell r="O4" t="str">
            <v>Other Fuels</v>
          </cell>
        </row>
        <row r="5">
          <cell r="A5" t="str">
            <v>Category Name</v>
          </cell>
          <cell r="B5" t="str">
            <v>Measure Name</v>
          </cell>
          <cell r="C5" t="str">
            <v>Savings (kWh/yr.)</v>
          </cell>
          <cell r="D5" t="str">
            <v>Phys Life (yr.)</v>
          </cell>
          <cell r="E5" t="str">
            <v>Capital Cost ($)</v>
          </cell>
          <cell r="F5" t="str">
            <v>Annual O&amp;M ($)</v>
          </cell>
          <cell r="G5" t="str">
            <v>Shape Pointer</v>
          </cell>
          <cell r="H5" t="str">
            <v>Non-E Val ($/yr.)</v>
          </cell>
          <cell r="I5" t="str">
            <v>Cost 1 ($)</v>
          </cell>
          <cell r="J5" t="str">
            <v xml:space="preserve">Period 1 </v>
          </cell>
          <cell r="K5" t="str">
            <v>Cost 2 ($)</v>
          </cell>
          <cell r="L5" t="str">
            <v>Period 2</v>
          </cell>
          <cell r="M5" t="str">
            <v>Cost 3 ($)</v>
          </cell>
          <cell r="N5" t="str">
            <v>Period 3</v>
          </cell>
          <cell r="O5" t="str">
            <v>Savings (mmBtu/yr)</v>
          </cell>
          <cell r="P5" t="str">
            <v>Shape Pointer</v>
          </cell>
        </row>
        <row r="6">
          <cell r="A6" t="str">
            <v>Energy Star Compact Fluorescent (CFL) Exit Sign - Incandescent Exit Sign Base Case Fixture</v>
          </cell>
          <cell r="B6" t="str">
            <v>Energy Star Compact Fluorescent (CFL) Exit Sign - Incandescent Exit Sign Base Case Fixture</v>
          </cell>
          <cell r="C6">
            <v>131.4</v>
          </cell>
          <cell r="D6">
            <v>10</v>
          </cell>
          <cell r="E6">
            <v>60</v>
          </cell>
          <cell r="G6" t="str">
            <v>FLAT</v>
          </cell>
          <cell r="H6">
            <v>13</v>
          </cell>
        </row>
        <row r="7">
          <cell r="A7" t="str">
            <v>Energy Star Light Emitting Diode (LED) Exit Sign - Incandescent Exit Sign Base Case Fixture</v>
          </cell>
          <cell r="B7" t="str">
            <v>Energy Star Light Emitting Diode (LED) Exit Sign - Incandescent Exit Sign Base Case Fixture</v>
          </cell>
          <cell r="C7">
            <v>254.04</v>
          </cell>
          <cell r="D7">
            <v>10</v>
          </cell>
          <cell r="E7">
            <v>45</v>
          </cell>
          <cell r="G7" t="str">
            <v>FLAT</v>
          </cell>
          <cell r="H7">
            <v>28</v>
          </cell>
        </row>
        <row r="8">
          <cell r="A8" t="str">
            <v>Energy Star Cold Cathode (CC) Exit Sign - Incandescent Exit Sign Base Case Fixture</v>
          </cell>
          <cell r="B8" t="str">
            <v>Energy Star Cold Cathode (CC) Exit Sign - Incandescent Exit Sign Base Case Fixture</v>
          </cell>
          <cell r="C8">
            <v>236.51999999999998</v>
          </cell>
          <cell r="D8">
            <v>10</v>
          </cell>
          <cell r="E8">
            <v>55</v>
          </cell>
          <cell r="G8" t="str">
            <v>FLAT</v>
          </cell>
          <cell r="H8">
            <v>28</v>
          </cell>
          <cell r="I8">
            <v>55</v>
          </cell>
          <cell r="J8">
            <v>5.0000099999999996</v>
          </cell>
        </row>
        <row r="9">
          <cell r="A9" t="str">
            <v>Energy Star Electro-luminescence (EL) Exit Sign - Incandescent Exit Sign Base Case Fixture</v>
          </cell>
          <cell r="B9" t="str">
            <v>Energy Star Electro-luminescence (EL) Exit Sign - Incandescent Exit Sign Base Case Fixture</v>
          </cell>
          <cell r="C9">
            <v>262.8</v>
          </cell>
          <cell r="D9">
            <v>10</v>
          </cell>
          <cell r="E9">
            <v>130</v>
          </cell>
          <cell r="G9" t="str">
            <v>FLAT</v>
          </cell>
          <cell r="H9">
            <v>28</v>
          </cell>
        </row>
        <row r="10">
          <cell r="A10" t="str">
            <v>Energy Star Light Emitting Diode (LED) Exit Sign - Compact Fluorescent (CFL) Exit Sign Base Case Fixture</v>
          </cell>
          <cell r="B10" t="str">
            <v>Energy Star Light Emitting Diode (LED) Exit Sign - Compact Fluorescent (CFL) Exit Sign Base Case Fixture</v>
          </cell>
          <cell r="C10">
            <v>122.63999999999999</v>
          </cell>
          <cell r="D10">
            <v>10</v>
          </cell>
          <cell r="E10">
            <v>45</v>
          </cell>
          <cell r="G10" t="str">
            <v>FLAT</v>
          </cell>
          <cell r="H10">
            <v>15</v>
          </cell>
        </row>
        <row r="11">
          <cell r="A11" t="str">
            <v>Energy Star Cold Cathode (CC) Exit Sign - Compact Fluorescent (CFL) Exit Sign Base Case Fixture</v>
          </cell>
          <cell r="B11" t="str">
            <v>Energy Star Cold Cathode (CC) Exit Sign - Compact Fluorescent (CFL) Exit Sign Base Case Fixture</v>
          </cell>
          <cell r="C11">
            <v>105.11999999999999</v>
          </cell>
          <cell r="D11">
            <v>10</v>
          </cell>
          <cell r="E11">
            <v>55</v>
          </cell>
          <cell r="G11" t="str">
            <v>FLAT</v>
          </cell>
          <cell r="H11">
            <v>15</v>
          </cell>
          <cell r="I11">
            <v>55</v>
          </cell>
          <cell r="J11">
            <v>5.0000099999999996</v>
          </cell>
        </row>
        <row r="12">
          <cell r="A12" t="str">
            <v>Energy Star Electro-luminescence (EL) Exit Sign - Compact Fluorescent (CFL) Exit Sign Base Case Fixture</v>
          </cell>
          <cell r="B12" t="str">
            <v>Energy Star Electro-luminescence (EL) Exit Sign - Compact Fluorescent (CFL) Exit Sign Base Case Fixture</v>
          </cell>
          <cell r="C12">
            <v>131.39999999999998</v>
          </cell>
          <cell r="D12">
            <v>10</v>
          </cell>
          <cell r="E12">
            <v>130</v>
          </cell>
          <cell r="G12" t="str">
            <v>FLAT</v>
          </cell>
          <cell r="H12">
            <v>15</v>
          </cell>
        </row>
        <row r="15">
          <cell r="A15" t="str">
            <v>ProCost Results, Version 1.70a: JPH 03/07/01, 09:04 AM 8/12/2004</v>
          </cell>
        </row>
        <row r="16">
          <cell r="A16" t="str">
            <v>Measure Results (2000 $)</v>
          </cell>
          <cell r="C16" t="str">
            <v>Measure Input Data</v>
          </cell>
          <cell r="K16" t="str">
            <v>Savings</v>
          </cell>
          <cell r="N16" t="str">
            <v>PV Capital</v>
          </cell>
          <cell r="R16" t="str">
            <v>PV O&amp;M</v>
          </cell>
          <cell r="T16" t="str">
            <v>Total PV Costs</v>
          </cell>
          <cell r="Y16" t="str">
            <v>Levelized Cost (mills/kwh)</v>
          </cell>
          <cell r="AD16" t="str">
            <v>PV Bulk Power System Benefits</v>
          </cell>
          <cell r="AJ16" t="str">
            <v>PV Regional Benefits</v>
          </cell>
        </row>
        <row r="17">
          <cell r="A17" t="str">
            <v>Category</v>
          </cell>
          <cell r="B17" t="str">
            <v>Measure</v>
          </cell>
          <cell r="C17" t="str">
            <v>Measure Life</v>
          </cell>
          <cell r="D17" t="str">
            <v>Site Savings (kWh)</v>
          </cell>
          <cell r="E17" t="str">
            <v>Capital Cost ($/unit)</v>
          </cell>
          <cell r="F17" t="str">
            <v>Annual O&amp;M Cost ($/unit)</v>
          </cell>
          <cell r="G17" t="str">
            <v>PV Per. Repl. Cost ($/unit)</v>
          </cell>
          <cell r="H17" t="str">
            <v>Load Shape</v>
          </cell>
          <cell r="I17" t="str">
            <v>Div. Load Factor</v>
          </cell>
          <cell r="J17" t="str">
            <v>Bulk Pwr Coin. Factor</v>
          </cell>
          <cell r="K17" t="str">
            <v>Bulk Energy (kWh)</v>
          </cell>
          <cell r="L17" t="str">
            <v>Bulk Demand (kw)</v>
          </cell>
          <cell r="M17" t="str">
            <v>Local Demand (kW)</v>
          </cell>
          <cell r="N17" t="str">
            <v>Spon 1</v>
          </cell>
          <cell r="O17" t="str">
            <v>Spon 2</v>
          </cell>
          <cell r="P17" t="str">
            <v>Spon 3</v>
          </cell>
          <cell r="Q17" t="str">
            <v>Cust</v>
          </cell>
          <cell r="R17" t="str">
            <v>Utility</v>
          </cell>
          <cell r="S17" t="str">
            <v>Cust</v>
          </cell>
          <cell r="T17" t="str">
            <v>Spon 1</v>
          </cell>
          <cell r="U17" t="str">
            <v>Spon 2</v>
          </cell>
          <cell r="V17" t="str">
            <v>Spon 3</v>
          </cell>
          <cell r="W17" t="str">
            <v>Cust</v>
          </cell>
          <cell r="X17" t="str">
            <v>Total</v>
          </cell>
          <cell r="Y17" t="str">
            <v>Spon 1</v>
          </cell>
          <cell r="Z17" t="str">
            <v>Spon 2</v>
          </cell>
          <cell r="AA17" t="str">
            <v>Spon 3</v>
          </cell>
          <cell r="AB17" t="str">
            <v>Cust</v>
          </cell>
          <cell r="AC17" t="str">
            <v>Total</v>
          </cell>
          <cell r="AD17" t="str">
            <v>Energy</v>
          </cell>
          <cell r="AE17" t="str">
            <v>Bulk T&amp;D Def. Cap.</v>
          </cell>
          <cell r="AF17" t="str">
            <v>Act C-E Credit</v>
          </cell>
          <cell r="AG17" t="str">
            <v>Total System Benefit</v>
          </cell>
          <cell r="AH17" t="str">
            <v>Total non-Consumer Cost</v>
          </cell>
          <cell r="AI17" t="str">
            <v>Bulk System B/C Ratio</v>
          </cell>
          <cell r="AJ17" t="str">
            <v>Local T&amp;D Def.Cap.</v>
          </cell>
          <cell r="AK17" t="str">
            <v>Non-E Value</v>
          </cell>
          <cell r="AL17" t="str">
            <v>Exter-nalities</v>
          </cell>
          <cell r="AM17" t="str">
            <v>Total Regional Benefit</v>
          </cell>
          <cell r="AN17" t="str">
            <v>Total Regional Cost</v>
          </cell>
          <cell r="AO17" t="str">
            <v>Total Regional B/C Ratio</v>
          </cell>
        </row>
        <row r="18">
          <cell r="A18" t="str">
            <v>Energy Star Compact Fluorescent (CFL) Exit Sign - Incandescent Exit Sign Base Case Fixture</v>
          </cell>
          <cell r="B18" t="str">
            <v>Energy Star Compact Fluorescent (CFL) Exit Sign - Incandescent Exit Sign Base Case Fixture</v>
          </cell>
          <cell r="C18">
            <v>10</v>
          </cell>
          <cell r="D18">
            <v>131.4</v>
          </cell>
          <cell r="E18">
            <v>60</v>
          </cell>
          <cell r="G18">
            <v>0</v>
          </cell>
          <cell r="H18" t="str">
            <v>FLAT</v>
          </cell>
          <cell r="I18">
            <v>1</v>
          </cell>
          <cell r="J18">
            <v>0.63999998569488525</v>
          </cell>
          <cell r="K18">
            <v>141.41924999999998</v>
          </cell>
          <cell r="L18">
            <v>1.0331999769061804E-2</v>
          </cell>
          <cell r="M18">
            <v>1.6143749999999998E-2</v>
          </cell>
          <cell r="P18">
            <v>59.999977176812088</v>
          </cell>
          <cell r="Q18">
            <v>40.92361829741747</v>
          </cell>
          <cell r="R18">
            <v>0</v>
          </cell>
          <cell r="S18">
            <v>0</v>
          </cell>
          <cell r="T18">
            <v>0</v>
          </cell>
          <cell r="U18">
            <v>0</v>
          </cell>
          <cell r="V18">
            <v>59.999977176812088</v>
          </cell>
          <cell r="W18">
            <v>40.92361829741747</v>
          </cell>
          <cell r="X18">
            <v>100.92359547422956</v>
          </cell>
          <cell r="Y18">
            <v>0</v>
          </cell>
          <cell r="Z18">
            <v>0</v>
          </cell>
          <cell r="AA18">
            <v>31.218545913696289</v>
          </cell>
          <cell r="AB18">
            <v>21.292938232421875</v>
          </cell>
          <cell r="AC18">
            <v>52.511484438364427</v>
          </cell>
          <cell r="AD18">
            <v>68.624893683800565</v>
          </cell>
          <cell r="AE18">
            <v>0.42124573481678962</v>
          </cell>
          <cell r="AF18">
            <v>7.2577724456787109</v>
          </cell>
          <cell r="AG18">
            <v>76.228899426701588</v>
          </cell>
          <cell r="AH18">
            <v>59.999977176812088</v>
          </cell>
          <cell r="AI18">
            <v>1.2704821403859037</v>
          </cell>
          <cell r="AJ18">
            <v>4.387977123260498</v>
          </cell>
          <cell r="AK18">
            <v>176.67423780554768</v>
          </cell>
          <cell r="AL18">
            <v>0</v>
          </cell>
          <cell r="AM18">
            <v>257.29110717773437</v>
          </cell>
          <cell r="AN18">
            <v>100.92359547422956</v>
          </cell>
          <cell r="AO18">
            <v>2.5493652820587158</v>
          </cell>
        </row>
        <row r="19">
          <cell r="A19" t="str">
            <v>Energy Star Light Emitting Diode (LED) Exit Sign - Incandescent Exit Sign Base Case Fixture</v>
          </cell>
          <cell r="B19" t="str">
            <v>Energy Star Light Emitting Diode (LED) Exit Sign - Incandescent Exit Sign Base Case Fixture</v>
          </cell>
          <cell r="C19">
            <v>10</v>
          </cell>
          <cell r="D19">
            <v>254.04</v>
          </cell>
          <cell r="E19">
            <v>45</v>
          </cell>
          <cell r="G19">
            <v>0</v>
          </cell>
          <cell r="H19" t="str">
            <v>FLAT</v>
          </cell>
          <cell r="I19">
            <v>1</v>
          </cell>
          <cell r="J19">
            <v>0.63999998569488525</v>
          </cell>
          <cell r="K19">
            <v>273.41055</v>
          </cell>
          <cell r="L19">
            <v>1.9975199553519486E-2</v>
          </cell>
          <cell r="M19">
            <v>3.1211249999999999E-2</v>
          </cell>
          <cell r="P19">
            <v>44.999982882609061</v>
          </cell>
          <cell r="Q19">
            <v>30.692713723063097</v>
          </cell>
          <cell r="R19">
            <v>0</v>
          </cell>
          <cell r="S19">
            <v>0</v>
          </cell>
          <cell r="T19">
            <v>0</v>
          </cell>
          <cell r="U19">
            <v>0</v>
          </cell>
          <cell r="V19">
            <v>44.999982882609061</v>
          </cell>
          <cell r="W19">
            <v>30.692713723063097</v>
          </cell>
          <cell r="X19">
            <v>75.692696605672154</v>
          </cell>
          <cell r="Y19">
            <v>0</v>
          </cell>
          <cell r="Z19">
            <v>0</v>
          </cell>
          <cell r="AA19">
            <v>12.110642433166504</v>
          </cell>
          <cell r="AB19">
            <v>8.2601919174194336</v>
          </cell>
          <cell r="AC19">
            <v>20.370834480399989</v>
          </cell>
          <cell r="AD19">
            <v>132.67479445534752</v>
          </cell>
          <cell r="AE19">
            <v>0.81440842064579333</v>
          </cell>
          <cell r="AF19">
            <v>14.031693458557129</v>
          </cell>
          <cell r="AG19">
            <v>147.37587228853445</v>
          </cell>
          <cell r="AH19">
            <v>44.999982882609061</v>
          </cell>
          <cell r="AI19">
            <v>3.2750206299631759</v>
          </cell>
          <cell r="AJ19">
            <v>8.4834213256835937</v>
          </cell>
          <cell r="AK19">
            <v>380.52912758117964</v>
          </cell>
          <cell r="AL19">
            <v>0</v>
          </cell>
          <cell r="AM19">
            <v>536.388427734375</v>
          </cell>
          <cell r="AN19">
            <v>75.692696605672154</v>
          </cell>
          <cell r="AO19">
            <v>7.0863962173461914</v>
          </cell>
        </row>
        <row r="20">
          <cell r="A20" t="str">
            <v>Energy Star Cold Cathode (CC) Exit Sign - Incandescent Exit Sign Base Case Fixture</v>
          </cell>
          <cell r="B20" t="str">
            <v>Energy Star Cold Cathode (CC) Exit Sign - Incandescent Exit Sign Base Case Fixture</v>
          </cell>
          <cell r="C20">
            <v>10</v>
          </cell>
          <cell r="D20">
            <v>236.52</v>
          </cell>
          <cell r="E20">
            <v>55</v>
          </cell>
          <cell r="G20">
            <v>72.832244873046875</v>
          </cell>
          <cell r="H20" t="str">
            <v>FLAT</v>
          </cell>
          <cell r="I20">
            <v>1</v>
          </cell>
          <cell r="J20">
            <v>0.63999998569488525</v>
          </cell>
          <cell r="K20">
            <v>254.55464999999998</v>
          </cell>
          <cell r="L20">
            <v>1.8597599584311245E-2</v>
          </cell>
          <cell r="M20">
            <v>2.9058749999999998E-2</v>
          </cell>
          <cell r="P20">
            <v>54.99997907874441</v>
          </cell>
          <cell r="Q20">
            <v>37.513316772632677</v>
          </cell>
          <cell r="R20">
            <v>0</v>
          </cell>
          <cell r="S20">
            <v>0</v>
          </cell>
          <cell r="T20">
            <v>0</v>
          </cell>
          <cell r="U20">
            <v>0</v>
          </cell>
          <cell r="V20">
            <v>54.99997907874441</v>
          </cell>
          <cell r="W20">
            <v>110.34556342162615</v>
          </cell>
          <cell r="X20">
            <v>165.34554250037056</v>
          </cell>
          <cell r="Y20">
            <v>0</v>
          </cell>
          <cell r="Z20">
            <v>0</v>
          </cell>
          <cell r="AA20">
            <v>15.898333549499512</v>
          </cell>
          <cell r="AB20">
            <v>31.896568298339844</v>
          </cell>
          <cell r="AC20">
            <v>47.794901133777785</v>
          </cell>
          <cell r="AD20">
            <v>123.52480863084102</v>
          </cell>
          <cell r="AE20">
            <v>0.7582423226702214</v>
          </cell>
          <cell r="AF20">
            <v>13.063990592956543</v>
          </cell>
          <cell r="AG20">
            <v>137.21201915879772</v>
          </cell>
          <cell r="AH20">
            <v>54.99997907874441</v>
          </cell>
          <cell r="AI20">
            <v>2.4947649336802278</v>
          </cell>
          <cell r="AJ20">
            <v>7.8983569145202637</v>
          </cell>
          <cell r="AK20">
            <v>380.52912758117964</v>
          </cell>
          <cell r="AL20">
            <v>0</v>
          </cell>
          <cell r="AM20">
            <v>525.6395263671875</v>
          </cell>
          <cell r="AN20">
            <v>165.34554250037056</v>
          </cell>
          <cell r="AO20">
            <v>3.1790366172790527</v>
          </cell>
        </row>
        <row r="21">
          <cell r="A21" t="str">
            <v>Energy Star Electro-luminescence (EL) Exit Sign - Incandescent Exit Sign Base Case Fixture</v>
          </cell>
          <cell r="B21" t="str">
            <v>Energy Star Electro-luminescence (EL) Exit Sign - Incandescent Exit Sign Base Case Fixture</v>
          </cell>
          <cell r="C21">
            <v>10</v>
          </cell>
          <cell r="D21">
            <v>262.8</v>
          </cell>
          <cell r="E21">
            <v>130</v>
          </cell>
          <cell r="G21">
            <v>0</v>
          </cell>
          <cell r="H21" t="str">
            <v>FLAT</v>
          </cell>
          <cell r="I21">
            <v>1</v>
          </cell>
          <cell r="J21">
            <v>0.63999998569488525</v>
          </cell>
          <cell r="K21">
            <v>282.83849999999995</v>
          </cell>
          <cell r="L21">
            <v>2.0663999538123607E-2</v>
          </cell>
          <cell r="M21">
            <v>3.2287499999999997E-2</v>
          </cell>
          <cell r="P21">
            <v>129.99995054975949</v>
          </cell>
          <cell r="Q21">
            <v>88.667839644404523</v>
          </cell>
          <cell r="R21">
            <v>0</v>
          </cell>
          <cell r="S21">
            <v>0</v>
          </cell>
          <cell r="T21">
            <v>0</v>
          </cell>
          <cell r="U21">
            <v>0</v>
          </cell>
          <cell r="V21">
            <v>129.99995054975949</v>
          </cell>
          <cell r="W21">
            <v>88.667839644404523</v>
          </cell>
          <cell r="X21">
            <v>218.66779019416401</v>
          </cell>
          <cell r="Y21">
            <v>0</v>
          </cell>
          <cell r="Z21">
            <v>0</v>
          </cell>
          <cell r="AA21">
            <v>33.820091247558594</v>
          </cell>
          <cell r="AB21">
            <v>23.067350387573242</v>
          </cell>
          <cell r="AC21">
            <v>56.887441474894786</v>
          </cell>
          <cell r="AD21">
            <v>137.24978736760113</v>
          </cell>
          <cell r="AE21">
            <v>0.84249146963357924</v>
          </cell>
          <cell r="AF21">
            <v>14.515544891357422</v>
          </cell>
          <cell r="AG21">
            <v>152.45779885340318</v>
          </cell>
          <cell r="AH21">
            <v>129.99995054975949</v>
          </cell>
          <cell r="AI21">
            <v>1.1727527449716038</v>
          </cell>
          <cell r="AJ21">
            <v>8.7759542465209961</v>
          </cell>
          <cell r="AK21">
            <v>380.52912758117964</v>
          </cell>
          <cell r="AL21">
            <v>0</v>
          </cell>
          <cell r="AM21">
            <v>541.76287841796875</v>
          </cell>
          <cell r="AN21">
            <v>218.66779019416401</v>
          </cell>
          <cell r="AO21">
            <v>2.4775614738464355</v>
          </cell>
        </row>
        <row r="22">
          <cell r="A22" t="str">
            <v>Energy Star Light Emitting Diode (LED) Exit Sign - Compact Fluorescent (CFL) Exit Sign Base Case Fixture</v>
          </cell>
          <cell r="B22" t="str">
            <v>Energy Star Light Emitting Diode (LED) Exit Sign - Compact Fluorescent (CFL) Exit Sign Base Case Fixture</v>
          </cell>
          <cell r="C22">
            <v>10</v>
          </cell>
          <cell r="D22">
            <v>122.64</v>
          </cell>
          <cell r="E22">
            <v>45</v>
          </cell>
          <cell r="G22">
            <v>0</v>
          </cell>
          <cell r="H22" t="str">
            <v>FLAT</v>
          </cell>
          <cell r="I22">
            <v>1</v>
          </cell>
          <cell r="J22">
            <v>0.63999998569488525</v>
          </cell>
          <cell r="K22">
            <v>131.99129999999997</v>
          </cell>
          <cell r="L22">
            <v>9.643199784457681E-3</v>
          </cell>
          <cell r="M22">
            <v>1.5067499999999996E-2</v>
          </cell>
          <cell r="P22">
            <v>44.999982882609061</v>
          </cell>
          <cell r="Q22">
            <v>30.692713723063097</v>
          </cell>
          <cell r="R22">
            <v>0</v>
          </cell>
          <cell r="S22">
            <v>0</v>
          </cell>
          <cell r="T22">
            <v>0</v>
          </cell>
          <cell r="U22">
            <v>0</v>
          </cell>
          <cell r="V22">
            <v>44.999982882609061</v>
          </cell>
          <cell r="W22">
            <v>30.692713723063097</v>
          </cell>
          <cell r="X22">
            <v>75.692696605672154</v>
          </cell>
          <cell r="Y22">
            <v>0</v>
          </cell>
          <cell r="Z22">
            <v>0</v>
          </cell>
          <cell r="AA22">
            <v>25.086330413818359</v>
          </cell>
          <cell r="AB22">
            <v>17.110397338867187</v>
          </cell>
          <cell r="AC22">
            <v>42.196728566542845</v>
          </cell>
          <cell r="AD22">
            <v>64.049900771547186</v>
          </cell>
          <cell r="AE22">
            <v>0.39316268582900366</v>
          </cell>
          <cell r="AF22">
            <v>6.773921012878418</v>
          </cell>
          <cell r="AG22">
            <v>71.146972861833092</v>
          </cell>
          <cell r="AH22">
            <v>44.999982882609061</v>
          </cell>
          <cell r="AI22">
            <v>1.5810444427819759</v>
          </cell>
          <cell r="AJ22">
            <v>4.0954442024230957</v>
          </cell>
          <cell r="AK22">
            <v>203.85488977563193</v>
          </cell>
          <cell r="AL22">
            <v>0</v>
          </cell>
          <cell r="AM22">
            <v>279.09732055664062</v>
          </cell>
          <cell r="AN22">
            <v>75.692696605672154</v>
          </cell>
          <cell r="AO22">
            <v>3.6872425079345703</v>
          </cell>
        </row>
        <row r="23">
          <cell r="A23" t="str">
            <v>Energy Star Cold Cathode (CC) Exit Sign - Compact Fluorescent (CFL) Exit Sign Base Case Fixture</v>
          </cell>
          <cell r="B23" t="str">
            <v>Energy Star Cold Cathode (CC) Exit Sign - Compact Fluorescent (CFL) Exit Sign Base Case Fixture</v>
          </cell>
          <cell r="C23">
            <v>10</v>
          </cell>
          <cell r="D23">
            <v>105.12</v>
          </cell>
          <cell r="E23">
            <v>55</v>
          </cell>
          <cell r="G23">
            <v>72.832244873046875</v>
          </cell>
          <cell r="H23" t="str">
            <v>FLAT</v>
          </cell>
          <cell r="I23">
            <v>1</v>
          </cell>
          <cell r="J23">
            <v>0.63999998569488525</v>
          </cell>
          <cell r="K23">
            <v>113.13539999999998</v>
          </cell>
          <cell r="L23">
            <v>8.2655998152494411E-3</v>
          </cell>
          <cell r="M23">
            <v>1.2914999999999998E-2</v>
          </cell>
          <cell r="P23">
            <v>54.99997907874441</v>
          </cell>
          <cell r="Q23">
            <v>37.513316772632677</v>
          </cell>
          <cell r="R23">
            <v>0</v>
          </cell>
          <cell r="S23">
            <v>0</v>
          </cell>
          <cell r="T23">
            <v>0</v>
          </cell>
          <cell r="U23">
            <v>0</v>
          </cell>
          <cell r="V23">
            <v>54.99997907874441</v>
          </cell>
          <cell r="W23">
            <v>110.34556342162615</v>
          </cell>
          <cell r="X23">
            <v>165.34554250037056</v>
          </cell>
          <cell r="Y23">
            <v>0</v>
          </cell>
          <cell r="Z23">
            <v>0</v>
          </cell>
          <cell r="AA23">
            <v>35.771251678466797</v>
          </cell>
          <cell r="AB23">
            <v>71.767280578613281</v>
          </cell>
          <cell r="AC23">
            <v>107.53852755100003</v>
          </cell>
          <cell r="AD23">
            <v>54.899914947040479</v>
          </cell>
          <cell r="AE23">
            <v>0.33699658785343162</v>
          </cell>
          <cell r="AF23">
            <v>5.8062176704406738</v>
          </cell>
          <cell r="AG23">
            <v>60.983119255258998</v>
          </cell>
          <cell r="AH23">
            <v>54.99997907874441</v>
          </cell>
          <cell r="AI23">
            <v>1.1087844082258362</v>
          </cell>
          <cell r="AJ23">
            <v>3.5103809833526611</v>
          </cell>
          <cell r="AK23">
            <v>203.85488977563193</v>
          </cell>
          <cell r="AL23">
            <v>0</v>
          </cell>
          <cell r="AM23">
            <v>268.348388671875</v>
          </cell>
          <cell r="AN23">
            <v>165.34554250037056</v>
          </cell>
          <cell r="AO23">
            <v>1.6229550838470459</v>
          </cell>
        </row>
        <row r="24">
          <cell r="A24" t="str">
            <v>Energy Star Electro-luminescence (EL) Exit Sign - Compact Fluorescent (CFL) Exit Sign Base Case Fixture</v>
          </cell>
          <cell r="B24" t="str">
            <v>Energy Star Electro-luminescence (EL) Exit Sign - Compact Fluorescent (CFL) Exit Sign Base Case Fixture</v>
          </cell>
          <cell r="C24">
            <v>10</v>
          </cell>
          <cell r="D24">
            <v>131.4</v>
          </cell>
          <cell r="E24">
            <v>130</v>
          </cell>
          <cell r="G24">
            <v>0</v>
          </cell>
          <cell r="H24" t="str">
            <v>FLAT</v>
          </cell>
          <cell r="I24">
            <v>1</v>
          </cell>
          <cell r="J24">
            <v>0.63999998569488525</v>
          </cell>
          <cell r="K24">
            <v>141.41924999999995</v>
          </cell>
          <cell r="L24">
            <v>1.03319997690618E-2</v>
          </cell>
          <cell r="M24">
            <v>1.6143749999999995E-2</v>
          </cell>
          <cell r="P24">
            <v>129.99995054975949</v>
          </cell>
          <cell r="Q24">
            <v>88.667839644404523</v>
          </cell>
          <cell r="R24">
            <v>0</v>
          </cell>
          <cell r="S24">
            <v>0</v>
          </cell>
          <cell r="T24">
            <v>0</v>
          </cell>
          <cell r="U24">
            <v>0</v>
          </cell>
          <cell r="V24">
            <v>129.99995054975949</v>
          </cell>
          <cell r="W24">
            <v>88.667839644404523</v>
          </cell>
          <cell r="X24">
            <v>218.66779019416401</v>
          </cell>
          <cell r="Y24">
            <v>0</v>
          </cell>
          <cell r="Z24">
            <v>0</v>
          </cell>
          <cell r="AA24">
            <v>67.640182495117188</v>
          </cell>
          <cell r="AB24">
            <v>46.134700775146484</v>
          </cell>
          <cell r="AC24">
            <v>113.7748829497896</v>
          </cell>
          <cell r="AD24">
            <v>68.624893683800522</v>
          </cell>
          <cell r="AE24">
            <v>0.42124573481678945</v>
          </cell>
          <cell r="AF24">
            <v>7.2577724456787109</v>
          </cell>
          <cell r="AG24">
            <v>76.228899426701545</v>
          </cell>
          <cell r="AH24">
            <v>129.99995054975949</v>
          </cell>
          <cell r="AI24">
            <v>0.58637637248580154</v>
          </cell>
          <cell r="AJ24">
            <v>4.387977123260498</v>
          </cell>
          <cell r="AK24">
            <v>203.85488977563193</v>
          </cell>
          <cell r="AL24">
            <v>0</v>
          </cell>
          <cell r="AM24">
            <v>284.47177124023438</v>
          </cell>
          <cell r="AN24">
            <v>218.66779019416401</v>
          </cell>
          <cell r="AO24">
            <v>1.3009313344955444</v>
          </cell>
        </row>
        <row r="27">
          <cell r="A27" t="str">
            <v>Category Totals (2000 $)</v>
          </cell>
          <cell r="C27" t="str">
            <v>Savings Weighted Measure Data</v>
          </cell>
          <cell r="K27" t="str">
            <v>Savings</v>
          </cell>
          <cell r="N27" t="str">
            <v>PV Costs</v>
          </cell>
          <cell r="R27" t="str">
            <v>Lvl Cst</v>
          </cell>
          <cell r="S27" t="str">
            <v>PV Bulk Power System Benefits</v>
          </cell>
          <cell r="Y27" t="str">
            <v>PV Regional Benefits</v>
          </cell>
        </row>
        <row r="28">
          <cell r="B28" t="str">
            <v>Category</v>
          </cell>
          <cell r="C28" t="str">
            <v>Weighted Measure Life</v>
          </cell>
          <cell r="D28" t="str">
            <v>Site Savings (kWh)</v>
          </cell>
          <cell r="E28" t="str">
            <v>Capital Cost ($/unit)</v>
          </cell>
          <cell r="F28" t="str">
            <v>Annual O&amp;M Cost ($/unit)</v>
          </cell>
          <cell r="G28" t="str">
            <v>Per. Repl. Cost ($/unit)</v>
          </cell>
          <cell r="H28" t="str">
            <v>Load Shape</v>
          </cell>
          <cell r="I28" t="str">
            <v>Weighted Load Factor</v>
          </cell>
          <cell r="J28" t="str">
            <v>Weighted Coinc. Factor</v>
          </cell>
          <cell r="K28" t="str">
            <v>Bulk Energy (kWh)</v>
          </cell>
          <cell r="L28" t="str">
            <v>Bulk Demand (kw)</v>
          </cell>
          <cell r="M28" t="str">
            <v>Local Demand (kW)</v>
          </cell>
          <cell r="N28" t="str">
            <v>PV Capital</v>
          </cell>
          <cell r="O28" t="str">
            <v>PV Annual O&amp;M</v>
          </cell>
          <cell r="P28" t="str">
            <v>PV Period. Repl.</v>
          </cell>
          <cell r="Q28" t="str">
            <v>PV Total Costs</v>
          </cell>
          <cell r="R28" t="str">
            <v>Levelized Cost mills/kWh</v>
          </cell>
          <cell r="S28" t="str">
            <v>Energy</v>
          </cell>
          <cell r="T28" t="str">
            <v>Bulk T&amp;D Def. Cap.</v>
          </cell>
          <cell r="U28" t="str">
            <v>Act C-E Credit</v>
          </cell>
          <cell r="V28" t="str">
            <v>Total System Benefit</v>
          </cell>
          <cell r="W28" t="str">
            <v>Total non-Consumer Cost</v>
          </cell>
          <cell r="X28" t="str">
            <v>Bulk System B/C Ratio</v>
          </cell>
          <cell r="Y28" t="str">
            <v>Local T&amp;D Def.Cap.</v>
          </cell>
          <cell r="Z28" t="str">
            <v>Non-E Value</v>
          </cell>
          <cell r="AA28" t="str">
            <v>Exter-nalities</v>
          </cell>
          <cell r="AB28" t="str">
            <v>Total Regional Benefit</v>
          </cell>
          <cell r="AC28" t="str">
            <v>Total Regional Cost</v>
          </cell>
          <cell r="AD28" t="str">
            <v>Total Regional B/C Ratio</v>
          </cell>
        </row>
        <row r="29">
          <cell r="B29" t="str">
            <v>Energy Star Light Emitting Diode (LED) Exit Sign - Incandescent Exit Sign Base Case Fixture</v>
          </cell>
          <cell r="C29">
            <v>10</v>
          </cell>
          <cell r="D29">
            <v>254.04</v>
          </cell>
          <cell r="E29">
            <v>45</v>
          </cell>
          <cell r="F29">
            <v>0</v>
          </cell>
          <cell r="G29">
            <v>0</v>
          </cell>
          <cell r="I29">
            <v>1</v>
          </cell>
          <cell r="J29">
            <v>0.63999998569488525</v>
          </cell>
          <cell r="K29">
            <v>273.41055</v>
          </cell>
          <cell r="L29">
            <v>1.9975199553519486E-2</v>
          </cell>
          <cell r="M29">
            <v>3.1211249530315399E-2</v>
          </cell>
          <cell r="N29">
            <v>75.692696605672154</v>
          </cell>
          <cell r="O29">
            <v>0</v>
          </cell>
          <cell r="P29">
            <v>0</v>
          </cell>
          <cell r="Q29">
            <v>75.692695617675781</v>
          </cell>
          <cell r="R29">
            <v>20.370834132374391</v>
          </cell>
          <cell r="S29">
            <v>132.67479445534752</v>
          </cell>
          <cell r="T29">
            <v>0.81440842151641846</v>
          </cell>
          <cell r="U29">
            <v>14.031693458557129</v>
          </cell>
          <cell r="V29">
            <v>147.37587228853445</v>
          </cell>
          <cell r="W29">
            <v>44.999982882609061</v>
          </cell>
          <cell r="X29">
            <v>3.2750206299631759</v>
          </cell>
          <cell r="Y29">
            <v>8.4834213256835937</v>
          </cell>
          <cell r="Z29">
            <v>380.52912758117964</v>
          </cell>
          <cell r="AA29">
            <v>0</v>
          </cell>
          <cell r="AB29">
            <v>536.388427734375</v>
          </cell>
          <cell r="AC29">
            <v>75.692695617675781</v>
          </cell>
          <cell r="AD29">
            <v>7.0863962173461914</v>
          </cell>
        </row>
        <row r="30">
          <cell r="B30" t="str">
            <v>Energy Star Light Emitting Diode (LED) Exit Sign - Compact Fluorescent (CFL) Exit Sign Base Case Fixture</v>
          </cell>
          <cell r="C30">
            <v>10</v>
          </cell>
          <cell r="D30">
            <v>122.64</v>
          </cell>
          <cell r="E30">
            <v>45</v>
          </cell>
          <cell r="F30">
            <v>0</v>
          </cell>
          <cell r="G30">
            <v>0</v>
          </cell>
          <cell r="I30">
            <v>1</v>
          </cell>
          <cell r="J30">
            <v>0.63999998569488525</v>
          </cell>
          <cell r="K30">
            <v>131.99129999999997</v>
          </cell>
          <cell r="L30">
            <v>9.643199784457681E-3</v>
          </cell>
          <cell r="M30">
            <v>1.5067500062286854E-2</v>
          </cell>
          <cell r="N30">
            <v>75.692696605672154</v>
          </cell>
          <cell r="O30">
            <v>0</v>
          </cell>
          <cell r="P30">
            <v>0</v>
          </cell>
          <cell r="Q30">
            <v>75.692695617675781</v>
          </cell>
          <cell r="R30">
            <v>42.19672784563268</v>
          </cell>
          <cell r="S30">
            <v>64.049900771547186</v>
          </cell>
          <cell r="T30">
            <v>0.39316269755363464</v>
          </cell>
          <cell r="U30">
            <v>6.773921012878418</v>
          </cell>
          <cell r="V30">
            <v>71.146972861833092</v>
          </cell>
          <cell r="W30">
            <v>44.999982882609061</v>
          </cell>
          <cell r="X30">
            <v>1.5810444427819759</v>
          </cell>
          <cell r="Y30">
            <v>4.0954442024230957</v>
          </cell>
          <cell r="Z30">
            <v>203.85488977563193</v>
          </cell>
          <cell r="AA30">
            <v>0</v>
          </cell>
          <cell r="AB30">
            <v>279.09732055664062</v>
          </cell>
          <cell r="AC30">
            <v>75.692695617675781</v>
          </cell>
          <cell r="AD30">
            <v>3.6872425079345703</v>
          </cell>
        </row>
        <row r="31">
          <cell r="B31" t="str">
            <v>Energy Star Cold Cathode (CC) Exit Sign - Incandescent Exit Sign Base Case Fixture</v>
          </cell>
          <cell r="C31">
            <v>10</v>
          </cell>
          <cell r="D31">
            <v>236.52</v>
          </cell>
          <cell r="E31">
            <v>55</v>
          </cell>
          <cell r="F31">
            <v>0</v>
          </cell>
          <cell r="G31">
            <v>72.832244873046875</v>
          </cell>
          <cell r="I31">
            <v>1</v>
          </cell>
          <cell r="J31">
            <v>0.63999998569488525</v>
          </cell>
          <cell r="K31">
            <v>254.55464999999998</v>
          </cell>
          <cell r="L31">
            <v>1.8597599584311245E-2</v>
          </cell>
          <cell r="M31">
            <v>2.9058750718832016E-2</v>
          </cell>
          <cell r="N31">
            <v>92.51329585137708</v>
          </cell>
          <cell r="O31">
            <v>0</v>
          </cell>
          <cell r="P31">
            <v>72.832244873046875</v>
          </cell>
          <cell r="Q31">
            <v>165.34553527832031</v>
          </cell>
          <cell r="R31">
            <v>47.794897881737597</v>
          </cell>
          <cell r="S31">
            <v>123.52480863084102</v>
          </cell>
          <cell r="T31">
            <v>0.75824230909347534</v>
          </cell>
          <cell r="U31">
            <v>13.063990592956543</v>
          </cell>
          <cell r="V31">
            <v>137.21201915879772</v>
          </cell>
          <cell r="W31">
            <v>54.99997907874441</v>
          </cell>
          <cell r="X31">
            <v>2.4947649336802278</v>
          </cell>
          <cell r="Y31">
            <v>7.8983569145202637</v>
          </cell>
          <cell r="Z31">
            <v>380.52912758117964</v>
          </cell>
          <cell r="AA31">
            <v>0</v>
          </cell>
          <cell r="AB31">
            <v>525.6395263671875</v>
          </cell>
          <cell r="AC31">
            <v>165.34553527832031</v>
          </cell>
          <cell r="AD31">
            <v>3.1790366172790527</v>
          </cell>
        </row>
        <row r="32">
          <cell r="B32" t="str">
            <v>Energy Star Compact Fluorescent (CFL) Exit Sign - Incandescent Exit Sign Base Case Fixture</v>
          </cell>
          <cell r="C32">
            <v>10</v>
          </cell>
          <cell r="D32">
            <v>131.4</v>
          </cell>
          <cell r="E32">
            <v>60</v>
          </cell>
          <cell r="F32">
            <v>0</v>
          </cell>
          <cell r="G32">
            <v>0</v>
          </cell>
          <cell r="I32">
            <v>1</v>
          </cell>
          <cell r="J32">
            <v>0.63999998569488525</v>
          </cell>
          <cell r="K32">
            <v>141.41924999999998</v>
          </cell>
          <cell r="L32">
            <v>1.0331999769061804E-2</v>
          </cell>
          <cell r="M32">
            <v>1.614375039935112E-2</v>
          </cell>
          <cell r="N32">
            <v>100.92359547422956</v>
          </cell>
          <cell r="O32">
            <v>0</v>
          </cell>
          <cell r="P32">
            <v>0</v>
          </cell>
          <cell r="Q32">
            <v>100.92359924316406</v>
          </cell>
          <cell r="R32">
            <v>52.511487606148108</v>
          </cell>
          <cell r="S32">
            <v>68.624893683800565</v>
          </cell>
          <cell r="T32">
            <v>0.42124572396278381</v>
          </cell>
          <cell r="U32">
            <v>7.2577724456787109</v>
          </cell>
          <cell r="V32">
            <v>76.228899426701588</v>
          </cell>
          <cell r="W32">
            <v>59.999977176812088</v>
          </cell>
          <cell r="X32">
            <v>1.2704821403859037</v>
          </cell>
          <cell r="Y32">
            <v>4.387977123260498</v>
          </cell>
          <cell r="Z32">
            <v>176.67423780554768</v>
          </cell>
          <cell r="AA32">
            <v>0</v>
          </cell>
          <cell r="AB32">
            <v>257.29110717773437</v>
          </cell>
          <cell r="AC32">
            <v>100.92359924316406</v>
          </cell>
          <cell r="AD32">
            <v>2.5493650436401367</v>
          </cell>
        </row>
        <row r="33">
          <cell r="B33" t="str">
            <v>Energy Star Electro-luminescence (EL) Exit Sign - Incandescent Exit Sign Base Case Fixture</v>
          </cell>
          <cell r="C33">
            <v>10</v>
          </cell>
          <cell r="D33">
            <v>262.8</v>
          </cell>
          <cell r="E33">
            <v>130</v>
          </cell>
          <cell r="F33">
            <v>0</v>
          </cell>
          <cell r="G33">
            <v>0</v>
          </cell>
          <cell r="I33">
            <v>1</v>
          </cell>
          <cell r="J33">
            <v>0.63999998569488525</v>
          </cell>
          <cell r="K33">
            <v>282.83849999999995</v>
          </cell>
          <cell r="L33">
            <v>2.0663999538123607E-2</v>
          </cell>
          <cell r="M33">
            <v>3.228750079870224E-2</v>
          </cell>
          <cell r="N33">
            <v>218.66779019416401</v>
          </cell>
          <cell r="O33">
            <v>0</v>
          </cell>
          <cell r="P33">
            <v>0</v>
          </cell>
          <cell r="Q33">
            <v>218.66778564453125</v>
          </cell>
          <cell r="R33">
            <v>56.887439148028967</v>
          </cell>
          <cell r="S33">
            <v>137.24978736760113</v>
          </cell>
          <cell r="T33">
            <v>0.84249144792556763</v>
          </cell>
          <cell r="U33">
            <v>14.515544891357422</v>
          </cell>
          <cell r="V33">
            <v>152.45779885340318</v>
          </cell>
          <cell r="W33">
            <v>129.99995054975949</v>
          </cell>
          <cell r="X33">
            <v>1.1727527449716038</v>
          </cell>
          <cell r="Y33">
            <v>8.7759542465209961</v>
          </cell>
          <cell r="Z33">
            <v>380.52912758117964</v>
          </cell>
          <cell r="AA33">
            <v>0</v>
          </cell>
          <cell r="AB33">
            <v>541.76287841796875</v>
          </cell>
          <cell r="AC33">
            <v>218.66778564453125</v>
          </cell>
          <cell r="AD33">
            <v>2.4775614738464355</v>
          </cell>
        </row>
        <row r="34">
          <cell r="B34" t="str">
            <v>Energy Star Cold Cathode (CC) Exit Sign - Compact Fluorescent (CFL) Exit Sign Base Case Fixture</v>
          </cell>
          <cell r="C34">
            <v>10</v>
          </cell>
          <cell r="D34">
            <v>105.12</v>
          </cell>
          <cell r="E34">
            <v>55</v>
          </cell>
          <cell r="F34">
            <v>0</v>
          </cell>
          <cell r="G34">
            <v>72.832244873046875</v>
          </cell>
          <cell r="I34">
            <v>1</v>
          </cell>
          <cell r="J34">
            <v>0.64000004529953003</v>
          </cell>
          <cell r="K34">
            <v>113.13539999999998</v>
          </cell>
          <cell r="L34">
            <v>8.2655998152494411E-3</v>
          </cell>
          <cell r="M34">
            <v>1.2915000319480896E-2</v>
          </cell>
          <cell r="N34">
            <v>92.51329585137708</v>
          </cell>
          <cell r="O34">
            <v>0</v>
          </cell>
          <cell r="P34">
            <v>72.832244873046875</v>
          </cell>
          <cell r="Q34">
            <v>165.34553527832031</v>
          </cell>
          <cell r="R34">
            <v>107.53852023390961</v>
          </cell>
          <cell r="S34">
            <v>54.899914947040479</v>
          </cell>
          <cell r="T34">
            <v>0.33699658513069153</v>
          </cell>
          <cell r="U34">
            <v>5.8062176704406738</v>
          </cell>
          <cell r="V34">
            <v>60.983119255258998</v>
          </cell>
          <cell r="W34">
            <v>54.99997907874441</v>
          </cell>
          <cell r="X34">
            <v>1.1087844082258362</v>
          </cell>
          <cell r="Y34">
            <v>3.5103809833526611</v>
          </cell>
          <cell r="Z34">
            <v>203.85488977563193</v>
          </cell>
          <cell r="AA34">
            <v>0</v>
          </cell>
          <cell r="AB34">
            <v>268.348388671875</v>
          </cell>
          <cell r="AC34">
            <v>165.34553527832031</v>
          </cell>
          <cell r="AD34">
            <v>1.6229552030563354</v>
          </cell>
        </row>
        <row r="35">
          <cell r="B35" t="str">
            <v>Energy Star Electro-luminescence (EL) Exit Sign - Compact Fluorescent (CFL) Exit Sign Base Case Fixture</v>
          </cell>
          <cell r="C35">
            <v>10</v>
          </cell>
          <cell r="D35">
            <v>131.4</v>
          </cell>
          <cell r="E35">
            <v>130</v>
          </cell>
          <cell r="F35">
            <v>0</v>
          </cell>
          <cell r="G35">
            <v>0</v>
          </cell>
          <cell r="I35">
            <v>1</v>
          </cell>
          <cell r="J35">
            <v>0.63999998569488525</v>
          </cell>
          <cell r="K35">
            <v>141.41924999999995</v>
          </cell>
          <cell r="L35">
            <v>1.03319997690618E-2</v>
          </cell>
          <cell r="M35">
            <v>1.614375039935112E-2</v>
          </cell>
          <cell r="N35">
            <v>218.66779019416401</v>
          </cell>
          <cell r="O35">
            <v>0</v>
          </cell>
          <cell r="P35">
            <v>0</v>
          </cell>
          <cell r="Q35">
            <v>218.66778564453125</v>
          </cell>
          <cell r="R35">
            <v>113.77487829605796</v>
          </cell>
          <cell r="S35">
            <v>68.624893683800522</v>
          </cell>
          <cell r="T35">
            <v>0.42124572396278381</v>
          </cell>
          <cell r="U35">
            <v>7.2577724456787109</v>
          </cell>
          <cell r="V35">
            <v>76.228899426701545</v>
          </cell>
          <cell r="W35">
            <v>129.99995054975949</v>
          </cell>
          <cell r="X35">
            <v>0.58637637248580154</v>
          </cell>
          <cell r="Y35">
            <v>4.387977123260498</v>
          </cell>
          <cell r="Z35">
            <v>203.85488977563193</v>
          </cell>
          <cell r="AA35">
            <v>0</v>
          </cell>
          <cell r="AB35">
            <v>284.47177124023438</v>
          </cell>
          <cell r="AC35">
            <v>218.66778564453125</v>
          </cell>
          <cell r="AD35">
            <v>1.3009313344955444</v>
          </cell>
        </row>
        <row r="38">
          <cell r="A38" t="str">
            <v>Totals for Measures/Categories with Benefits Exceeding Costs</v>
          </cell>
        </row>
        <row r="39">
          <cell r="B39" t="str">
            <v>Totals Basis</v>
          </cell>
          <cell r="C39" t="str">
            <v>Busbar Savings</v>
          </cell>
          <cell r="D39" t="str">
            <v>PV Cost</v>
          </cell>
          <cell r="E39" t="str">
            <v>First Cost</v>
          </cell>
          <cell r="F39" t="str">
            <v>Admin Cost</v>
          </cell>
          <cell r="G39" t="str">
            <v>Program Cost</v>
          </cell>
          <cell r="H39" t="str">
            <v>Program $/KWa</v>
          </cell>
          <cell r="I39" t="str">
            <v>Levelized Cost</v>
          </cell>
          <cell r="J39" t="str">
            <v>PV Benefits</v>
          </cell>
          <cell r="K39" t="str">
            <v>B/C Ratio</v>
          </cell>
        </row>
        <row r="40">
          <cell r="B40" t="str">
            <v>Measures with B/C&gt;1.00</v>
          </cell>
          <cell r="C40">
            <v>273.41055</v>
          </cell>
          <cell r="D40">
            <v>75.692696605672154</v>
          </cell>
          <cell r="E40">
            <v>45</v>
          </cell>
          <cell r="F40">
            <v>9</v>
          </cell>
          <cell r="G40">
            <v>84.692696605672154</v>
          </cell>
          <cell r="H40">
            <v>2713.531005859375</v>
          </cell>
          <cell r="I40">
            <v>22.79296393997933</v>
          </cell>
          <cell r="J40">
            <v>132.67479445534752</v>
          </cell>
          <cell r="K40">
            <v>1.566543512873126</v>
          </cell>
        </row>
        <row r="41">
          <cell r="B41" t="str">
            <v>Categories with B/C&gt;1.00</v>
          </cell>
          <cell r="C41">
            <v>0</v>
          </cell>
          <cell r="D41">
            <v>0</v>
          </cell>
          <cell r="E41">
            <v>0</v>
          </cell>
          <cell r="F41">
            <v>0</v>
          </cell>
          <cell r="G41">
            <v>0</v>
          </cell>
          <cell r="H41">
            <v>0</v>
          </cell>
          <cell r="I41">
            <v>0</v>
          </cell>
          <cell r="J41">
            <v>649.64899353997839</v>
          </cell>
          <cell r="K41">
            <v>0</v>
          </cell>
        </row>
        <row r="42">
          <cell r="B42" t="str">
            <v>% of Measures with B/C &gt;1.00</v>
          </cell>
          <cell r="C42">
            <v>382.57586249700029</v>
          </cell>
          <cell r="D42">
            <v>493.904296875</v>
          </cell>
          <cell r="E42">
            <v>255.91877159788274</v>
          </cell>
          <cell r="F42">
            <v>51.183754319576551</v>
          </cell>
          <cell r="G42">
            <v>545.08805119457656</v>
          </cell>
          <cell r="H42">
            <v>12481.109375</v>
          </cell>
          <cell r="I42">
            <v>104.8381157943454</v>
          </cell>
          <cell r="J42">
            <v>185.64819068015788</v>
          </cell>
          <cell r="K42">
            <v>0.34058385663252827</v>
          </cell>
        </row>
        <row r="43">
          <cell r="B43" t="str">
            <v>Block 1:     x &lt;=10 m/kWh</v>
          </cell>
          <cell r="C43">
            <v>0</v>
          </cell>
          <cell r="D43">
            <v>0</v>
          </cell>
          <cell r="E43">
            <v>0</v>
          </cell>
          <cell r="F43">
            <v>0</v>
          </cell>
          <cell r="G43">
            <v>0</v>
          </cell>
          <cell r="H43">
            <v>0</v>
          </cell>
          <cell r="I43">
            <v>0</v>
          </cell>
          <cell r="J43">
            <v>0</v>
          </cell>
          <cell r="K43">
            <v>0</v>
          </cell>
        </row>
        <row r="44">
          <cell r="B44" t="str">
            <v>Block 2: 10&lt; x &lt;=20 m/kWh</v>
          </cell>
          <cell r="C44">
            <v>0</v>
          </cell>
          <cell r="D44">
            <v>0</v>
          </cell>
          <cell r="E44">
            <v>0</v>
          </cell>
          <cell r="F44">
            <v>0</v>
          </cell>
          <cell r="G44">
            <v>0</v>
          </cell>
          <cell r="H44">
            <v>0</v>
          </cell>
          <cell r="I44">
            <v>0</v>
          </cell>
          <cell r="J44">
            <v>0</v>
          </cell>
          <cell r="K44">
            <v>0</v>
          </cell>
        </row>
        <row r="45">
          <cell r="B45" t="str">
            <v>Block 3: 20&lt; x &lt;=30 m/kWh</v>
          </cell>
          <cell r="C45">
            <v>273.41055</v>
          </cell>
          <cell r="D45">
            <v>75.692696605672154</v>
          </cell>
          <cell r="E45">
            <v>45</v>
          </cell>
          <cell r="F45">
            <v>9</v>
          </cell>
          <cell r="G45">
            <v>84.692696605672154</v>
          </cell>
          <cell r="H45">
            <v>2713.531005859375</v>
          </cell>
          <cell r="I45">
            <v>22.79296393997933</v>
          </cell>
          <cell r="J45">
            <v>132.67479445534752</v>
          </cell>
          <cell r="K45">
            <v>1.566543512873126</v>
          </cell>
        </row>
        <row r="46">
          <cell r="B46" t="str">
            <v>Block 4: 30&lt; x &lt;=40 m/kWh</v>
          </cell>
          <cell r="C46">
            <v>0</v>
          </cell>
          <cell r="D46">
            <v>0</v>
          </cell>
          <cell r="E46">
            <v>0</v>
          </cell>
          <cell r="F46">
            <v>0</v>
          </cell>
          <cell r="G46">
            <v>0</v>
          </cell>
          <cell r="H46">
            <v>0</v>
          </cell>
          <cell r="I46">
            <v>0</v>
          </cell>
          <cell r="J46">
            <v>0</v>
          </cell>
          <cell r="K46">
            <v>0</v>
          </cell>
        </row>
        <row r="47">
          <cell r="B47" t="str">
            <v>Block 5: 40&lt; x &lt;=50 m/kWh</v>
          </cell>
          <cell r="C47">
            <v>131.99129999999997</v>
          </cell>
          <cell r="D47">
            <v>75.692696605672154</v>
          </cell>
          <cell r="E47">
            <v>45</v>
          </cell>
          <cell r="F47">
            <v>9</v>
          </cell>
          <cell r="G47">
            <v>84.692696605672154</v>
          </cell>
          <cell r="H47">
            <v>5620.8857421875</v>
          </cell>
          <cell r="I47">
            <v>47.213996732814344</v>
          </cell>
          <cell r="J47">
            <v>64.049900771547186</v>
          </cell>
          <cell r="K47">
            <v>0.75626238552495861</v>
          </cell>
        </row>
        <row r="48">
          <cell r="B48" t="str">
            <v>Block 6: 50&lt; x &lt;=60 m/kWh</v>
          </cell>
          <cell r="C48">
            <v>395.97389999999996</v>
          </cell>
          <cell r="D48">
            <v>266.26913797460008</v>
          </cell>
          <cell r="E48">
            <v>115</v>
          </cell>
          <cell r="F48">
            <v>23</v>
          </cell>
          <cell r="G48">
            <v>289.26913797460008</v>
          </cell>
          <cell r="H48">
            <v>6399.40576171875</v>
          </cell>
          <cell r="I48">
            <v>53.753364349805864</v>
          </cell>
          <cell r="J48">
            <v>192.14970231464159</v>
          </cell>
          <cell r="K48">
            <v>0.66425925579213951</v>
          </cell>
        </row>
        <row r="49">
          <cell r="B49" t="str">
            <v xml:space="preserve">Block 7: 60m/kWh &lt; x </v>
          </cell>
          <cell r="C49">
            <v>537.39314999999988</v>
          </cell>
          <cell r="D49">
            <v>602.68112288869861</v>
          </cell>
          <cell r="E49">
            <v>315</v>
          </cell>
          <cell r="F49">
            <v>63</v>
          </cell>
          <cell r="G49">
            <v>665.68112288869861</v>
          </cell>
          <cell r="H49">
            <v>10851.2109375</v>
          </cell>
          <cell r="I49">
            <v>91.147387708777103</v>
          </cell>
          <cell r="J49">
            <v>260.77459599844212</v>
          </cell>
          <cell r="K49">
            <v>0.39174101087142205</v>
          </cell>
        </row>
      </sheetData>
      <sheetData sheetId="6"/>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ummary"/>
      <sheetName val="ProData"/>
      <sheetName val="MData-Reg-Btype"/>
      <sheetName val="MData-Reg-Meas"/>
      <sheetName val="MMap"/>
      <sheetName val="MData-Btype"/>
      <sheetName val="MData-Meas"/>
      <sheetName val="Savings pre87"/>
      <sheetName val="Costs pre87"/>
      <sheetName val="Savings V87_94"/>
      <sheetName val="Costs V87_94"/>
      <sheetName val="Savings V95_01"/>
      <sheetName val="Costs V95_01"/>
      <sheetName val="Proxy Measures"/>
      <sheetName val="Common INP"/>
      <sheetName val="Notes and Sources"/>
      <sheetName val="To Do"/>
      <sheetName val="Nov 2"/>
      <sheetName val="Nov 11 MData-Meas"/>
      <sheetName val="Nov 11"/>
      <sheetName val="Jan 08"/>
      <sheetName val="8Apr04"/>
      <sheetName val="13Apr04"/>
      <sheetName val="Chart1"/>
      <sheetName val="Sheet1"/>
      <sheetName val="Chart2"/>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3">
          <cell r="C13" t="str">
            <v>None</v>
          </cell>
          <cell r="Q13">
            <v>0</v>
          </cell>
          <cell r="R13">
            <v>1</v>
          </cell>
          <cell r="S13">
            <v>0</v>
          </cell>
          <cell r="T13">
            <v>0</v>
          </cell>
          <cell r="U13">
            <v>0</v>
          </cell>
        </row>
        <row r="14">
          <cell r="D14" t="str">
            <v>T12 4' Fluorescent, 2-F40T12ES 34W, 1-MAG EE</v>
          </cell>
          <cell r="E14" t="str">
            <v>T8 High Performance, 2-F32T8HP 32W, 1-ELEC HP RLO</v>
          </cell>
          <cell r="F14">
            <v>72</v>
          </cell>
          <cell r="G14">
            <v>48</v>
          </cell>
          <cell r="H14">
            <v>24</v>
          </cell>
          <cell r="I14">
            <v>5.7000733672338058</v>
          </cell>
          <cell r="J14">
            <v>9.4361371970210399</v>
          </cell>
          <cell r="K14">
            <v>20000</v>
          </cell>
          <cell r="L14">
            <v>30000</v>
          </cell>
          <cell r="M14">
            <v>11.372553191489361</v>
          </cell>
          <cell r="N14">
            <v>13.028936170212766</v>
          </cell>
          <cell r="O14">
            <v>45000</v>
          </cell>
          <cell r="P14">
            <v>60000</v>
          </cell>
          <cell r="Q14">
            <v>18.680319148936171</v>
          </cell>
          <cell r="R14">
            <v>1.1994911426017318</v>
          </cell>
          <cell r="S14">
            <v>0</v>
          </cell>
          <cell r="T14">
            <v>0</v>
          </cell>
          <cell r="U14">
            <v>0</v>
          </cell>
          <cell r="W14">
            <v>0.66666666666666663</v>
          </cell>
        </row>
        <row r="15">
          <cell r="C15" t="str">
            <v>T12-2 to T8HP-1</v>
          </cell>
          <cell r="D15" t="str">
            <v>T12 4' Fluorescent, 2-F40T12ES 34W, 1-MAG EE</v>
          </cell>
          <cell r="E15" t="str">
            <v>T8 High Performance, 1-F32T8HP 32W, 1-ELEC HP HLO</v>
          </cell>
          <cell r="F15">
            <v>72</v>
          </cell>
          <cell r="G15">
            <v>37</v>
          </cell>
          <cell r="H15">
            <v>35</v>
          </cell>
          <cell r="I15">
            <v>5.7000733672338058</v>
          </cell>
          <cell r="J15">
            <v>4.71806859851052</v>
          </cell>
          <cell r="K15">
            <v>20000</v>
          </cell>
          <cell r="L15">
            <v>30000</v>
          </cell>
          <cell r="M15">
            <v>11.372553191489361</v>
          </cell>
          <cell r="N15">
            <v>13.028936170212766</v>
          </cell>
          <cell r="O15">
            <v>45000</v>
          </cell>
          <cell r="P15">
            <v>60000</v>
          </cell>
          <cell r="Q15">
            <v>20.487897407210074</v>
          </cell>
          <cell r="R15">
            <v>0.89572390518960487</v>
          </cell>
          <cell r="S15">
            <v>0.25</v>
          </cell>
          <cell r="T15">
            <v>4.7982697476356044</v>
          </cell>
          <cell r="U15">
            <v>0</v>
          </cell>
          <cell r="W15">
            <v>0.51388888888888884</v>
          </cell>
          <cell r="X15">
            <v>35</v>
          </cell>
          <cell r="Y15">
            <v>0.16285923906382302</v>
          </cell>
          <cell r="Z15">
            <v>0.13480195995744343</v>
          </cell>
          <cell r="AA15">
            <v>20000</v>
          </cell>
          <cell r="AB15">
            <v>30000</v>
          </cell>
          <cell r="AC15">
            <v>0.32493009118541033</v>
          </cell>
          <cell r="AD15">
            <v>0.37225531914893617</v>
          </cell>
          <cell r="AE15">
            <v>45000</v>
          </cell>
          <cell r="AF15">
            <v>60000</v>
          </cell>
          <cell r="AG15">
            <v>0.58536849734885921</v>
          </cell>
          <cell r="AH15">
            <v>-0.32493009118541033</v>
          </cell>
          <cell r="AI15">
            <v>45000</v>
          </cell>
        </row>
        <row r="16">
          <cell r="D16" t="str">
            <v>T12 4' Fluorescent, 1-F40T12ES 34W, 1-MAG EE</v>
          </cell>
          <cell r="E16" t="str">
            <v>T8 High Performance, 1-F32T8HP 32W, 1-ELEC HP RLO</v>
          </cell>
          <cell r="F16">
            <v>43</v>
          </cell>
          <cell r="G16">
            <v>25</v>
          </cell>
          <cell r="H16">
            <v>18</v>
          </cell>
          <cell r="I16">
            <v>2.8500366836169029</v>
          </cell>
          <cell r="J16">
            <v>4.71806859851052</v>
          </cell>
          <cell r="K16">
            <v>20000</v>
          </cell>
          <cell r="L16">
            <v>30000</v>
          </cell>
          <cell r="M16">
            <v>11.372553191489361</v>
          </cell>
          <cell r="N16">
            <v>13.028936170212766</v>
          </cell>
          <cell r="O16">
            <v>45000</v>
          </cell>
          <cell r="P16">
            <v>60000</v>
          </cell>
          <cell r="R16">
            <v>1.1994911426017318</v>
          </cell>
          <cell r="W16">
            <v>0.58139534883720934</v>
          </cell>
        </row>
        <row r="17">
          <cell r="C17" t="str">
            <v>T12-3 to T8HP-2</v>
          </cell>
          <cell r="D17" t="str">
            <v>T12 4' Fluorescent, 3-F40T12ES 34W, 2-MAG EE</v>
          </cell>
          <cell r="E17" t="str">
            <v>T8 High Performance, 2-F32T8HP 32W, 1-ELEC HP</v>
          </cell>
          <cell r="F17">
            <v>106</v>
          </cell>
          <cell r="G17">
            <v>53</v>
          </cell>
          <cell r="H17">
            <v>53</v>
          </cell>
          <cell r="I17">
            <v>8.5501100508507086</v>
          </cell>
          <cell r="J17">
            <v>9.4361371970210399</v>
          </cell>
          <cell r="K17">
            <v>20000</v>
          </cell>
          <cell r="L17">
            <v>30000</v>
          </cell>
          <cell r="M17">
            <v>24.765531914893618</v>
          </cell>
          <cell r="N17">
            <v>13.028936170212766</v>
          </cell>
          <cell r="O17">
            <v>45000</v>
          </cell>
          <cell r="P17">
            <v>60000</v>
          </cell>
          <cell r="Q17">
            <v>26.478588896571775</v>
          </cell>
          <cell r="R17">
            <v>0.903512808712993</v>
          </cell>
          <cell r="S17">
            <v>0.25</v>
          </cell>
          <cell r="T17">
            <v>4.7982697476356044</v>
          </cell>
          <cell r="U17">
            <v>3</v>
          </cell>
          <cell r="W17">
            <v>0.5</v>
          </cell>
          <cell r="X17">
            <v>53</v>
          </cell>
          <cell r="Y17">
            <v>0.16132283114812657</v>
          </cell>
          <cell r="Z17">
            <v>0.17804032447209509</v>
          </cell>
          <cell r="AA17">
            <v>20000</v>
          </cell>
          <cell r="AB17">
            <v>30000</v>
          </cell>
          <cell r="AC17">
            <v>0.46727418707346446</v>
          </cell>
          <cell r="AD17">
            <v>0.24582898434363709</v>
          </cell>
          <cell r="AE17">
            <v>45000</v>
          </cell>
          <cell r="AF17">
            <v>60000</v>
          </cell>
          <cell r="AG17">
            <v>0.49959601691644862</v>
          </cell>
          <cell r="AH17">
            <v>-0.46727418707346446</v>
          </cell>
          <cell r="AI17">
            <v>45000</v>
          </cell>
        </row>
        <row r="18">
          <cell r="C18" t="str">
            <v>T12-3 to T8HP-3</v>
          </cell>
          <cell r="D18" t="str">
            <v>T12 4' Fluorescent, 3-F40T12ES 34W, 2-MAG EE</v>
          </cell>
          <cell r="E18" t="str">
            <v>T8 High Performance, 3-F32T8HP 32W, 1-ELEC HP RLO</v>
          </cell>
          <cell r="F18">
            <v>106</v>
          </cell>
          <cell r="G18">
            <v>72</v>
          </cell>
          <cell r="H18">
            <v>34</v>
          </cell>
          <cell r="I18">
            <v>8.5501100508507086</v>
          </cell>
          <cell r="J18">
            <v>14.15420579553156</v>
          </cell>
          <cell r="K18">
            <v>20000</v>
          </cell>
          <cell r="L18">
            <v>30000</v>
          </cell>
          <cell r="M18">
            <v>24.765531914893618</v>
          </cell>
          <cell r="N18">
            <v>15.145425531914892</v>
          </cell>
          <cell r="O18">
            <v>45000</v>
          </cell>
          <cell r="P18">
            <v>60000</v>
          </cell>
          <cell r="Q18">
            <v>31.585769747635606</v>
          </cell>
          <cell r="R18">
            <v>1.1994911426017318</v>
          </cell>
          <cell r="S18">
            <v>0.25</v>
          </cell>
          <cell r="T18">
            <v>4.7982697476356044</v>
          </cell>
          <cell r="U18">
            <v>3</v>
          </cell>
          <cell r="W18">
            <v>0.67924528301886788</v>
          </cell>
          <cell r="X18">
            <v>34</v>
          </cell>
          <cell r="Y18">
            <v>0.25147382502502086</v>
          </cell>
          <cell r="Z18">
            <v>0.41630017045681056</v>
          </cell>
          <cell r="AA18">
            <v>20000</v>
          </cell>
          <cell r="AB18">
            <v>30000</v>
          </cell>
          <cell r="AC18">
            <v>0.72839799749687106</v>
          </cell>
          <cell r="AD18">
            <v>0.44545369211514391</v>
          </cell>
          <cell r="AE18">
            <v>45000</v>
          </cell>
          <cell r="AF18">
            <v>60000</v>
          </cell>
          <cell r="AG18">
            <v>0.92899322787163552</v>
          </cell>
          <cell r="AH18">
            <v>-0.72839799749687106</v>
          </cell>
          <cell r="AI18">
            <v>45000</v>
          </cell>
        </row>
        <row r="19">
          <cell r="C19" t="str">
            <v>T12-4 to T8HP-3</v>
          </cell>
          <cell r="D19" t="str">
            <v>T12 4' Fluorescent, 4-F40T12ES 34W, 2-MAG EE</v>
          </cell>
          <cell r="E19" t="str">
            <v>T8 High Performance, 3-F32T8HP 32W, 1-ELEC HP</v>
          </cell>
          <cell r="F19">
            <v>144</v>
          </cell>
          <cell r="G19">
            <v>80</v>
          </cell>
          <cell r="H19">
            <v>64</v>
          </cell>
          <cell r="I19">
            <v>11.400146734467612</v>
          </cell>
          <cell r="J19">
            <v>14.15420579553156</v>
          </cell>
          <cell r="K19">
            <v>20000</v>
          </cell>
          <cell r="L19">
            <v>30000</v>
          </cell>
          <cell r="M19">
            <v>24.765531914893618</v>
          </cell>
          <cell r="N19">
            <v>15.145425531914892</v>
          </cell>
          <cell r="O19">
            <v>45000</v>
          </cell>
          <cell r="P19">
            <v>60000</v>
          </cell>
          <cell r="Q19">
            <v>31.585769747635606</v>
          </cell>
          <cell r="R19">
            <v>1.0164519098021172</v>
          </cell>
          <cell r="S19">
            <v>0.25</v>
          </cell>
          <cell r="T19">
            <v>4.7982697476356044</v>
          </cell>
          <cell r="U19">
            <v>3</v>
          </cell>
          <cell r="W19">
            <v>0.55555555555555558</v>
          </cell>
          <cell r="X19">
            <v>64</v>
          </cell>
          <cell r="Y19">
            <v>0.17812729272605643</v>
          </cell>
          <cell r="Z19">
            <v>0.22115946555518062</v>
          </cell>
          <cell r="AA19">
            <v>20000</v>
          </cell>
          <cell r="AB19">
            <v>30000</v>
          </cell>
          <cell r="AC19">
            <v>0.38696143617021278</v>
          </cell>
          <cell r="AD19">
            <v>0.23664727393617019</v>
          </cell>
          <cell r="AE19">
            <v>45000</v>
          </cell>
          <cell r="AF19">
            <v>60000</v>
          </cell>
          <cell r="AG19">
            <v>0.49352765230680634</v>
          </cell>
          <cell r="AH19">
            <v>-0.38696143617021278</v>
          </cell>
          <cell r="AI19">
            <v>45000</v>
          </cell>
        </row>
        <row r="20">
          <cell r="C20" t="str">
            <v>T12-4 to T8HP-2</v>
          </cell>
          <cell r="D20" t="str">
            <v>T12 4' Fluorescent, 4-F40T12ES 34W, 2-MAG EE</v>
          </cell>
          <cell r="E20" t="str">
            <v>T8 High Performance, 2-F32T8HP 32W, 1-ELEC HP HLO</v>
          </cell>
          <cell r="F20">
            <v>144</v>
          </cell>
          <cell r="G20">
            <v>73</v>
          </cell>
          <cell r="H20">
            <v>71</v>
          </cell>
          <cell r="I20">
            <v>11.400146734467612</v>
          </cell>
          <cell r="J20">
            <v>9.4361371970210399</v>
          </cell>
          <cell r="K20">
            <v>20000</v>
          </cell>
          <cell r="L20">
            <v>30000</v>
          </cell>
          <cell r="M20">
            <v>24.765531914893618</v>
          </cell>
          <cell r="N20">
            <v>13.028936170212766</v>
          </cell>
          <cell r="O20">
            <v>45000</v>
          </cell>
          <cell r="P20">
            <v>60000</v>
          </cell>
          <cell r="Q20">
            <v>29.357550745153137</v>
          </cell>
          <cell r="R20">
            <v>0.89572390518960487</v>
          </cell>
          <cell r="S20">
            <v>0.4</v>
          </cell>
          <cell r="T20">
            <v>7.6772315962169673</v>
          </cell>
          <cell r="U20">
            <v>3</v>
          </cell>
          <cell r="W20">
            <v>0.50694444444444442</v>
          </cell>
          <cell r="X20">
            <v>71</v>
          </cell>
          <cell r="Y20">
            <v>0.16056544696433256</v>
          </cell>
          <cell r="Z20">
            <v>0.13290334080311325</v>
          </cell>
          <cell r="AA20">
            <v>20000</v>
          </cell>
          <cell r="AB20">
            <v>30000</v>
          </cell>
          <cell r="AC20">
            <v>0.34881030866047347</v>
          </cell>
          <cell r="AD20">
            <v>0.18350614324243333</v>
          </cell>
          <cell r="AE20">
            <v>45000</v>
          </cell>
          <cell r="AF20">
            <v>60000</v>
          </cell>
          <cell r="AG20">
            <v>0.41348663021342447</v>
          </cell>
          <cell r="AH20">
            <v>-0.34881030866047347</v>
          </cell>
          <cell r="AI20">
            <v>45000</v>
          </cell>
        </row>
        <row r="21">
          <cell r="D21" t="str">
            <v>T12 8' Fluorescent, 1-F96T12ES 60W, 1-MAG</v>
          </cell>
          <cell r="E21" t="str">
            <v>T8 High Performance, 2-F32T8HP 32W, 1-ELEC HP RLO</v>
          </cell>
          <cell r="F21">
            <v>83</v>
          </cell>
          <cell r="G21">
            <v>48</v>
          </cell>
          <cell r="H21">
            <v>35</v>
          </cell>
          <cell r="I21">
            <v>7.7271643431913706</v>
          </cell>
          <cell r="J21">
            <v>9.4361371970210399</v>
          </cell>
          <cell r="K21">
            <v>12000</v>
          </cell>
          <cell r="L21">
            <v>30000</v>
          </cell>
          <cell r="M21">
            <v>19.65446808510638</v>
          </cell>
          <cell r="N21">
            <v>13.028936170212766</v>
          </cell>
          <cell r="O21">
            <v>45000</v>
          </cell>
          <cell r="P21">
            <v>60000</v>
          </cell>
          <cell r="Q21">
            <v>31.27685864420738</v>
          </cell>
          <cell r="R21">
            <v>1.0649619010719358</v>
          </cell>
          <cell r="S21">
            <v>0.5</v>
          </cell>
          <cell r="T21">
            <v>9.5965394952712089</v>
          </cell>
          <cell r="U21">
            <v>3</v>
          </cell>
          <cell r="W21">
            <v>0.57831325301204817</v>
          </cell>
          <cell r="X21">
            <v>35</v>
          </cell>
          <cell r="Y21">
            <v>0.22077612409118202</v>
          </cell>
          <cell r="Z21">
            <v>0.26960391991488686</v>
          </cell>
          <cell r="AA21">
            <v>12000</v>
          </cell>
          <cell r="AB21">
            <v>30000</v>
          </cell>
          <cell r="AC21">
            <v>0.56155623100303942</v>
          </cell>
          <cell r="AD21">
            <v>0.37225531914893617</v>
          </cell>
          <cell r="AE21">
            <v>45000</v>
          </cell>
          <cell r="AF21">
            <v>60000</v>
          </cell>
          <cell r="AG21">
            <v>0.89362453269163944</v>
          </cell>
          <cell r="AH21">
            <v>-0.56155623100303942</v>
          </cell>
          <cell r="AI21">
            <v>45000</v>
          </cell>
        </row>
        <row r="22">
          <cell r="D22" t="str">
            <v>T12 8' Fluorescent, 1-F96T12HOES 95W, 1-MAG</v>
          </cell>
          <cell r="E22" t="str">
            <v>T8 High Performance, 2-F32T8HP 32W, 1-ELEC HP</v>
          </cell>
          <cell r="F22">
            <v>125</v>
          </cell>
          <cell r="G22">
            <v>53</v>
          </cell>
          <cell r="H22">
            <v>72</v>
          </cell>
          <cell r="I22">
            <v>8.7486005134041367</v>
          </cell>
          <cell r="J22">
            <v>9.4361371970210399</v>
          </cell>
          <cell r="K22">
            <v>12000</v>
          </cell>
          <cell r="L22">
            <v>30000</v>
          </cell>
          <cell r="M22">
            <v>19.65446808510638</v>
          </cell>
          <cell r="N22">
            <v>13.028936170212766</v>
          </cell>
          <cell r="O22">
            <v>45000</v>
          </cell>
          <cell r="P22">
            <v>60000</v>
          </cell>
          <cell r="R22">
            <v>0.89448051948051943</v>
          </cell>
          <cell r="W22">
            <v>0.42399999999999999</v>
          </cell>
        </row>
        <row r="23">
          <cell r="D23" t="str">
            <v>T12 8' Fluorescent, 1-F96T12VHOES 185W, 1-MAG</v>
          </cell>
          <cell r="E23" t="str">
            <v>T8 Fluorescent, 1-F96T8 59W, 1-ELEC</v>
          </cell>
          <cell r="F23">
            <v>200</v>
          </cell>
          <cell r="G23">
            <v>68</v>
          </cell>
          <cell r="H23">
            <v>132</v>
          </cell>
          <cell r="I23">
            <v>13.303653704893499</v>
          </cell>
          <cell r="J23">
            <v>6.4296643431913711</v>
          </cell>
          <cell r="K23">
            <v>12000</v>
          </cell>
          <cell r="L23">
            <v>12000</v>
          </cell>
          <cell r="M23">
            <v>19.65446808510638</v>
          </cell>
          <cell r="N23">
            <v>19.65446808510638</v>
          </cell>
          <cell r="O23">
            <v>45000</v>
          </cell>
          <cell r="P23">
            <v>60000</v>
          </cell>
          <cell r="R23">
            <v>0.53924731182795704</v>
          </cell>
          <cell r="W23">
            <v>0.34</v>
          </cell>
        </row>
        <row r="24">
          <cell r="D24" t="str">
            <v>T12 8' Fluorescent, 2-F96T12ES 60W, 1-MAG EE</v>
          </cell>
          <cell r="E24" t="str">
            <v>T8 Fluorescent, 4-F32T8 32W, 1-ELEC</v>
          </cell>
          <cell r="F24">
            <v>123</v>
          </cell>
          <cell r="G24">
            <v>114</v>
          </cell>
          <cell r="H24">
            <v>9</v>
          </cell>
          <cell r="I24">
            <v>15.454328686382741</v>
          </cell>
          <cell r="J24">
            <v>16.11163609616974</v>
          </cell>
          <cell r="K24">
            <v>12000</v>
          </cell>
          <cell r="L24">
            <v>24000</v>
          </cell>
          <cell r="M24">
            <v>21.494893617021276</v>
          </cell>
          <cell r="N24">
            <v>14.133191489361703</v>
          </cell>
          <cell r="O24">
            <v>45000</v>
          </cell>
          <cell r="P24">
            <v>60000</v>
          </cell>
          <cell r="R24">
            <v>1.1166856936850327</v>
          </cell>
          <cell r="W24">
            <v>0.92682926829268297</v>
          </cell>
        </row>
        <row r="25">
          <cell r="C25" t="str">
            <v>F96T12 to T8HP</v>
          </cell>
          <cell r="D25" t="str">
            <v>T12 8' Fluorescent, 2-F96T12ES 60W, 1-MAG EE</v>
          </cell>
          <cell r="E25" t="str">
            <v>T8 High Performance, 4-F32T8HP 32W, 1-ELEC HP RLO</v>
          </cell>
          <cell r="F25">
            <v>123</v>
          </cell>
          <cell r="G25">
            <v>96</v>
          </cell>
          <cell r="H25">
            <v>27</v>
          </cell>
          <cell r="I25">
            <v>15.454328686382741</v>
          </cell>
          <cell r="J25">
            <v>18.87227439404208</v>
          </cell>
          <cell r="K25">
            <v>12000</v>
          </cell>
          <cell r="L25">
            <v>30000</v>
          </cell>
          <cell r="M25">
            <v>21.494893617021276</v>
          </cell>
          <cell r="N25">
            <v>16.203670212765957</v>
          </cell>
          <cell r="O25">
            <v>45000</v>
          </cell>
          <cell r="P25">
            <v>60000</v>
          </cell>
          <cell r="Q25">
            <v>54.410811508498767</v>
          </cell>
          <cell r="R25">
            <v>1.0900198281559814</v>
          </cell>
          <cell r="S25">
            <v>0.4</v>
          </cell>
          <cell r="T25">
            <v>12.778045551051953</v>
          </cell>
          <cell r="U25">
            <v>13.796329787234043</v>
          </cell>
          <cell r="W25">
            <v>0.78048780487804881</v>
          </cell>
          <cell r="X25">
            <v>27</v>
          </cell>
          <cell r="Y25">
            <v>0.57238254394010157</v>
          </cell>
          <cell r="Z25">
            <v>0.69897312570526227</v>
          </cell>
          <cell r="AA25">
            <v>12000</v>
          </cell>
          <cell r="AB25">
            <v>30000</v>
          </cell>
          <cell r="AC25">
            <v>0.79610717100078798</v>
          </cell>
          <cell r="AD25">
            <v>0.60013593380614649</v>
          </cell>
          <cell r="AE25">
            <v>45000</v>
          </cell>
          <cell r="AF25">
            <v>60000</v>
          </cell>
          <cell r="AG25">
            <v>2.0152152410555098</v>
          </cell>
          <cell r="AH25">
            <v>-0.79610717100078798</v>
          </cell>
          <cell r="AI25">
            <v>45000</v>
          </cell>
        </row>
        <row r="26">
          <cell r="D26" t="str">
            <v>T12 8' Fluorescent, 2-F96T12ES 60W, 1-MAG EE</v>
          </cell>
          <cell r="E26" t="str">
            <v>T8 Fluorescent, 1-F96T8 59W, 1-ELEC</v>
          </cell>
          <cell r="F26">
            <v>123</v>
          </cell>
          <cell r="G26">
            <v>68</v>
          </cell>
          <cell r="H26">
            <v>55</v>
          </cell>
          <cell r="I26">
            <v>15.454328686382741</v>
          </cell>
          <cell r="J26">
            <v>6.4296643431913711</v>
          </cell>
          <cell r="K26">
            <v>12000</v>
          </cell>
          <cell r="L26">
            <v>12000</v>
          </cell>
          <cell r="M26">
            <v>21.494893617021276</v>
          </cell>
          <cell r="N26">
            <v>19.65446808510638</v>
          </cell>
          <cell r="O26">
            <v>45000</v>
          </cell>
          <cell r="P26">
            <v>60000</v>
          </cell>
          <cell r="R26">
            <v>0.54239019407558731</v>
          </cell>
          <cell r="W26">
            <v>0.55284552845528456</v>
          </cell>
          <cell r="X26">
            <v>55</v>
          </cell>
          <cell r="Y26">
            <v>0.28098779429786802</v>
          </cell>
          <cell r="Z26">
            <v>0.11690298805802493</v>
          </cell>
          <cell r="AA26">
            <v>12000</v>
          </cell>
          <cell r="AB26">
            <v>12000</v>
          </cell>
          <cell r="AC26">
            <v>0.39081624758220501</v>
          </cell>
          <cell r="AD26">
            <v>0.35735396518375234</v>
          </cell>
          <cell r="AE26">
            <v>45000</v>
          </cell>
          <cell r="AF26">
            <v>60000</v>
          </cell>
          <cell r="AG26">
            <v>0</v>
          </cell>
          <cell r="AH26">
            <v>-0.39081624758220501</v>
          </cell>
          <cell r="AI26">
            <v>45000</v>
          </cell>
        </row>
        <row r="27">
          <cell r="C27" t="str">
            <v>F96T12HO to T8HP-4</v>
          </cell>
          <cell r="D27" t="str">
            <v>T12 8' Fluorescent, 2-F96T12HOES 95W, 1-MAG</v>
          </cell>
          <cell r="E27" t="str">
            <v>T8 Fluorescent, 4-F32T8 32W, 2-ELEC HLO</v>
          </cell>
          <cell r="F27">
            <v>227</v>
          </cell>
          <cell r="G27">
            <v>172</v>
          </cell>
          <cell r="H27">
            <v>55</v>
          </cell>
          <cell r="I27">
            <v>17.497201026808273</v>
          </cell>
          <cell r="J27">
            <v>16.11163609616974</v>
          </cell>
          <cell r="K27">
            <v>12000</v>
          </cell>
          <cell r="L27">
            <v>24000</v>
          </cell>
          <cell r="M27">
            <v>38.058723404255318</v>
          </cell>
          <cell r="N27">
            <v>28.266382978723406</v>
          </cell>
          <cell r="O27">
            <v>45000</v>
          </cell>
          <cell r="P27">
            <v>60000</v>
          </cell>
          <cell r="Q27">
            <v>84.514684598389408</v>
          </cell>
          <cell r="R27">
            <v>1.1864264767490575</v>
          </cell>
          <cell r="S27">
            <v>0.5</v>
          </cell>
          <cell r="T27">
            <v>15.972556938814941</v>
          </cell>
          <cell r="U27">
            <v>31.733617021276594</v>
          </cell>
          <cell r="W27">
            <v>0.75770925110132159</v>
          </cell>
          <cell r="X27">
            <v>55</v>
          </cell>
          <cell r="Y27">
            <v>0.31813092776015045</v>
          </cell>
          <cell r="Z27">
            <v>0.29293883811217708</v>
          </cell>
          <cell r="AA27">
            <v>12000</v>
          </cell>
          <cell r="AB27">
            <v>24000</v>
          </cell>
          <cell r="AC27">
            <v>0.69197678916827854</v>
          </cell>
          <cell r="AD27">
            <v>0.51393423597678922</v>
          </cell>
          <cell r="AE27">
            <v>45000</v>
          </cell>
          <cell r="AF27">
            <v>60000</v>
          </cell>
          <cell r="AG27">
            <v>1.5366306290616256</v>
          </cell>
          <cell r="AH27">
            <v>-0.69197678916827854</v>
          </cell>
          <cell r="AI27">
            <v>45000</v>
          </cell>
        </row>
        <row r="28">
          <cell r="D28" t="str">
            <v>T12 8' Fluorescent, 2-F96T12VHOES 185W, 1-MAG</v>
          </cell>
          <cell r="E28" t="str">
            <v>T8 Fluorescent, 2-F96T8HO 86W, 1-ELEC</v>
          </cell>
          <cell r="F28">
            <v>325</v>
          </cell>
          <cell r="G28">
            <v>155</v>
          </cell>
          <cell r="H28">
            <v>170</v>
          </cell>
          <cell r="I28">
            <v>26.607307409786998</v>
          </cell>
          <cell r="J28">
            <v>26.66252017574444</v>
          </cell>
          <cell r="K28">
            <v>10000</v>
          </cell>
          <cell r="L28">
            <v>10000</v>
          </cell>
          <cell r="M28">
            <v>58.303404255319151</v>
          </cell>
          <cell r="N28">
            <v>19.65446808510638</v>
          </cell>
          <cell r="O28">
            <v>45000</v>
          </cell>
          <cell r="P28">
            <v>45000</v>
          </cell>
          <cell r="R28">
            <v>0.75827956989247314</v>
          </cell>
          <cell r="W28">
            <v>0.47692307692307695</v>
          </cell>
        </row>
        <row r="29">
          <cell r="C29" t="str">
            <v>F96T12VHO to T8HP-4</v>
          </cell>
          <cell r="D29" t="str">
            <v>T12 8' Fluorescent, 2-F96T12VHOES 185W, 1-MAG</v>
          </cell>
          <cell r="E29" t="str">
            <v>T8 High Performance, 1-F32T8HP 32W, 1-ELEC HP RLO</v>
          </cell>
          <cell r="F29">
            <v>325</v>
          </cell>
          <cell r="G29">
            <v>25</v>
          </cell>
          <cell r="H29">
            <v>300</v>
          </cell>
          <cell r="I29">
            <v>26.607307409786998</v>
          </cell>
          <cell r="J29">
            <v>4.71806859851052</v>
          </cell>
          <cell r="K29">
            <v>10000</v>
          </cell>
          <cell r="L29">
            <v>30000</v>
          </cell>
          <cell r="M29">
            <v>58.303404255319151</v>
          </cell>
          <cell r="N29">
            <v>13.028936170212766</v>
          </cell>
          <cell r="O29">
            <v>45000</v>
          </cell>
          <cell r="P29">
            <v>60000</v>
          </cell>
          <cell r="Q29">
            <v>91.662184598389416</v>
          </cell>
          <cell r="R29">
            <v>0.13546296296296295</v>
          </cell>
          <cell r="S29">
            <v>0.5</v>
          </cell>
          <cell r="T29">
            <v>15.972556938814941</v>
          </cell>
          <cell r="U29">
            <v>60</v>
          </cell>
          <cell r="W29">
            <v>7.6923076923076927E-2</v>
          </cell>
          <cell r="X29">
            <v>300</v>
          </cell>
          <cell r="Y29">
            <v>8.8691024699289994E-2</v>
          </cell>
          <cell r="Z29">
            <v>1.57268953283684E-2</v>
          </cell>
          <cell r="AA29">
            <v>10000</v>
          </cell>
          <cell r="AB29">
            <v>30000</v>
          </cell>
          <cell r="AC29">
            <v>0.19434468085106385</v>
          </cell>
          <cell r="AD29">
            <v>4.3429787234042554E-2</v>
          </cell>
          <cell r="AE29">
            <v>45000</v>
          </cell>
          <cell r="AF29">
            <v>60000</v>
          </cell>
          <cell r="AG29">
            <v>0.30554061532796473</v>
          </cell>
          <cell r="AH29">
            <v>-0.19434468085106385</v>
          </cell>
          <cell r="AI29">
            <v>45000</v>
          </cell>
        </row>
        <row r="30">
          <cell r="C30" t="str">
            <v>T8-2 to T8HP-2</v>
          </cell>
          <cell r="D30" t="str">
            <v>T8 Fluorescent, 2-F32T8 32W, 1-ELEC</v>
          </cell>
          <cell r="E30" t="str">
            <v>T8 High Performance, 2-F32T8HP 32W, 1-ELEC HP RLO</v>
          </cell>
          <cell r="F30">
            <v>61</v>
          </cell>
          <cell r="G30">
            <v>48</v>
          </cell>
          <cell r="H30">
            <v>13</v>
          </cell>
          <cell r="I30">
            <v>8.0558180480848698</v>
          </cell>
          <cell r="J30">
            <v>9.4361371970210399</v>
          </cell>
          <cell r="K30">
            <v>24000</v>
          </cell>
          <cell r="L30">
            <v>30000</v>
          </cell>
          <cell r="M30">
            <v>11.372553191489361</v>
          </cell>
          <cell r="N30">
            <v>13.028936170212766</v>
          </cell>
          <cell r="O30">
            <v>60000</v>
          </cell>
          <cell r="P30">
            <v>60000</v>
          </cell>
          <cell r="Q30">
            <v>26.478588896571775</v>
          </cell>
          <cell r="R30">
            <v>0.97612052730696786</v>
          </cell>
          <cell r="S30">
            <v>0.25</v>
          </cell>
          <cell r="T30">
            <v>4.7982697476356044</v>
          </cell>
          <cell r="U30">
            <v>3</v>
          </cell>
          <cell r="W30">
            <v>0.78688524590163933</v>
          </cell>
          <cell r="X30">
            <v>13</v>
          </cell>
          <cell r="Y30">
            <v>0.61967831139114382</v>
          </cell>
          <cell r="Z30">
            <v>0.72585670746315689</v>
          </cell>
          <cell r="AA30">
            <v>24000</v>
          </cell>
          <cell r="AB30">
            <v>30000</v>
          </cell>
          <cell r="AC30">
            <v>0.87481178396072012</v>
          </cell>
          <cell r="AD30">
            <v>1.0022258592471358</v>
          </cell>
          <cell r="AE30">
            <v>60000</v>
          </cell>
          <cell r="AF30">
            <v>60000</v>
          </cell>
          <cell r="AG30">
            <v>2.036814530505521</v>
          </cell>
          <cell r="AH30">
            <v>0</v>
          </cell>
          <cell r="AI30">
            <v>60000</v>
          </cell>
        </row>
        <row r="31">
          <cell r="D31" t="str">
            <v>T8 Fluorescent, 3-F32T8 32W, 1-ELEC</v>
          </cell>
          <cell r="E31" t="str">
            <v>T8 High Performance, 3-F32T8HP 32W, 1-ELEC HP RLO</v>
          </cell>
          <cell r="F31">
            <v>90</v>
          </cell>
          <cell r="G31">
            <v>72</v>
          </cell>
          <cell r="H31">
            <v>18</v>
          </cell>
          <cell r="I31">
            <v>12.083727072127305</v>
          </cell>
          <cell r="J31">
            <v>14.15420579553156</v>
          </cell>
          <cell r="K31">
            <v>24000</v>
          </cell>
          <cell r="L31">
            <v>30000</v>
          </cell>
          <cell r="M31">
            <v>13.212978723404255</v>
          </cell>
          <cell r="N31">
            <v>15.145425531914892</v>
          </cell>
          <cell r="O31">
            <v>60000</v>
          </cell>
          <cell r="P31">
            <v>60000</v>
          </cell>
          <cell r="R31">
            <v>0.97612052730696786</v>
          </cell>
          <cell r="W31">
            <v>0.8</v>
          </cell>
        </row>
        <row r="32">
          <cell r="C32" t="str">
            <v>T8-3 to T8HP-2</v>
          </cell>
          <cell r="D32" t="str">
            <v>T8 Fluorescent, 3-F32T8 32W, 1-ELEC</v>
          </cell>
          <cell r="E32" t="str">
            <v>T8 High Performance, 2-F32T8HP 32W, 1-ELEC HP HLO</v>
          </cell>
          <cell r="F32">
            <v>90</v>
          </cell>
          <cell r="G32">
            <v>73</v>
          </cell>
          <cell r="H32">
            <v>17</v>
          </cell>
          <cell r="I32">
            <v>12.083727072127305</v>
          </cell>
          <cell r="J32">
            <v>9.4361371970210399</v>
          </cell>
          <cell r="K32">
            <v>24000</v>
          </cell>
          <cell r="L32">
            <v>30000</v>
          </cell>
          <cell r="M32">
            <v>13.212978723404255</v>
          </cell>
          <cell r="N32">
            <v>13.028936170212766</v>
          </cell>
          <cell r="O32">
            <v>60000</v>
          </cell>
          <cell r="P32">
            <v>60000</v>
          </cell>
          <cell r="Q32">
            <v>26.478588896571775</v>
          </cell>
          <cell r="R32">
            <v>0.97189489731862599</v>
          </cell>
          <cell r="S32">
            <v>0.25</v>
          </cell>
          <cell r="T32">
            <v>4.7982697476356044</v>
          </cell>
          <cell r="U32">
            <v>3</v>
          </cell>
          <cell r="W32">
            <v>0.81111111111111112</v>
          </cell>
          <cell r="X32">
            <v>17</v>
          </cell>
          <cell r="Y32">
            <v>0.71080747483101792</v>
          </cell>
          <cell r="Z32">
            <v>0.55506689394241415</v>
          </cell>
          <cell r="AA32">
            <v>24000</v>
          </cell>
          <cell r="AB32">
            <v>30000</v>
          </cell>
          <cell r="AC32">
            <v>0.77723404255319151</v>
          </cell>
          <cell r="AD32">
            <v>0.76640801001251568</v>
          </cell>
          <cell r="AE32">
            <v>60000</v>
          </cell>
          <cell r="AF32">
            <v>60000</v>
          </cell>
          <cell r="AG32">
            <v>1.5575640527395163</v>
          </cell>
          <cell r="AH32">
            <v>0</v>
          </cell>
          <cell r="AI32">
            <v>60000</v>
          </cell>
        </row>
        <row r="33">
          <cell r="D33" t="str">
            <v>T8 Fluorescent, 4-F32T8 32W, 1-ELEC</v>
          </cell>
          <cell r="E33" t="str">
            <v>T8 High Performance, 4-F32T8HP 32W, 1-ELEC HP RLO</v>
          </cell>
          <cell r="F33">
            <v>114</v>
          </cell>
          <cell r="G33">
            <v>96</v>
          </cell>
          <cell r="H33">
            <v>18</v>
          </cell>
          <cell r="I33">
            <v>16.11163609616974</v>
          </cell>
          <cell r="J33">
            <v>18.87227439404208</v>
          </cell>
          <cell r="K33">
            <v>24000</v>
          </cell>
          <cell r="L33">
            <v>30000</v>
          </cell>
          <cell r="M33">
            <v>14.133191489361703</v>
          </cell>
          <cell r="N33">
            <v>16.203670212765957</v>
          </cell>
          <cell r="O33">
            <v>60000</v>
          </cell>
          <cell r="P33">
            <v>60000</v>
          </cell>
          <cell r="R33">
            <v>0.97612052730696786</v>
          </cell>
          <cell r="W33">
            <v>0.84210526315789469</v>
          </cell>
        </row>
        <row r="34">
          <cell r="C34" t="str">
            <v>T8-4 to T8HP-3</v>
          </cell>
          <cell r="D34" t="str">
            <v>T8 Fluorescent, 4-F32T8 32W, 1-ELEC</v>
          </cell>
          <cell r="E34" t="str">
            <v>T8 Fluorescent, 3-F32T8 32W, 1-ELEC</v>
          </cell>
          <cell r="F34">
            <v>114</v>
          </cell>
          <cell r="G34">
            <v>90</v>
          </cell>
          <cell r="H34">
            <v>24</v>
          </cell>
          <cell r="I34">
            <v>16.11163609616974</v>
          </cell>
          <cell r="J34">
            <v>12.083727072127305</v>
          </cell>
          <cell r="K34">
            <v>24000</v>
          </cell>
          <cell r="L34">
            <v>24000</v>
          </cell>
          <cell r="M34">
            <v>14.133191489361703</v>
          </cell>
          <cell r="N34">
            <v>13.212978723404255</v>
          </cell>
          <cell r="O34">
            <v>60000</v>
          </cell>
          <cell r="P34">
            <v>60000</v>
          </cell>
          <cell r="Q34">
            <v>27.582844215720712</v>
          </cell>
          <cell r="R34">
            <v>0.75</v>
          </cell>
          <cell r="S34">
            <v>0.25</v>
          </cell>
          <cell r="T34">
            <v>4.7982697476356044</v>
          </cell>
          <cell r="U34">
            <v>3</v>
          </cell>
          <cell r="W34">
            <v>0.78947368421052633</v>
          </cell>
          <cell r="X34">
            <v>24</v>
          </cell>
          <cell r="Y34">
            <v>0.67131817067373911</v>
          </cell>
          <cell r="Z34">
            <v>0.50348862800530436</v>
          </cell>
          <cell r="AA34">
            <v>24000</v>
          </cell>
          <cell r="AB34">
            <v>24000</v>
          </cell>
          <cell r="AC34">
            <v>0.58888297872340434</v>
          </cell>
          <cell r="AD34">
            <v>0.55054078014184393</v>
          </cell>
          <cell r="AE34">
            <v>60000</v>
          </cell>
          <cell r="AF34">
            <v>60000</v>
          </cell>
          <cell r="AG34">
            <v>1.1492851756550297</v>
          </cell>
          <cell r="AH34">
            <v>0</v>
          </cell>
          <cell r="AI34">
            <v>60000</v>
          </cell>
        </row>
        <row r="35">
          <cell r="D35" t="str">
            <v>T8 Fluorescent, 2-F96T8HO 86W, 1-ELEC</v>
          </cell>
          <cell r="E35" t="str">
            <v>T8 High Performance, 4-F32T8HP 32W, 2-ELEC HP HLO</v>
          </cell>
          <cell r="F35">
            <v>155</v>
          </cell>
          <cell r="G35">
            <v>146</v>
          </cell>
          <cell r="H35">
            <v>9</v>
          </cell>
          <cell r="I35">
            <v>26.66252017574444</v>
          </cell>
          <cell r="J35">
            <v>18.87227439404208</v>
          </cell>
          <cell r="K35">
            <v>10000</v>
          </cell>
          <cell r="L35">
            <v>30000</v>
          </cell>
          <cell r="M35">
            <v>19.65446808510638</v>
          </cell>
          <cell r="N35">
            <v>32.407340425531913</v>
          </cell>
          <cell r="O35">
            <v>45000</v>
          </cell>
          <cell r="P35">
            <v>60000</v>
          </cell>
          <cell r="R35">
            <v>1.0672307304468391</v>
          </cell>
          <cell r="W35">
            <v>0.9419354838709677</v>
          </cell>
        </row>
        <row r="36">
          <cell r="C36" t="str">
            <v>MH to MHPS</v>
          </cell>
          <cell r="D36" t="str">
            <v>Metal Halide, 1-STD 1000W, 1-MAG</v>
          </cell>
          <cell r="E36" t="str">
            <v>MH Pulse Start, 1-PS 750W, 1-MAG</v>
          </cell>
          <cell r="F36">
            <v>1080</v>
          </cell>
          <cell r="G36">
            <v>818</v>
          </cell>
          <cell r="H36">
            <v>262</v>
          </cell>
          <cell r="I36">
            <v>49.086806064302074</v>
          </cell>
          <cell r="J36">
            <v>70.251699681323345</v>
          </cell>
          <cell r="K36">
            <v>12000</v>
          </cell>
          <cell r="L36">
            <v>20000</v>
          </cell>
          <cell r="M36">
            <v>47.410638297872339</v>
          </cell>
          <cell r="N36">
            <v>65.814893617021283</v>
          </cell>
          <cell r="O36">
            <v>45000</v>
          </cell>
          <cell r="P36">
            <v>30000</v>
          </cell>
          <cell r="Q36">
            <v>126.98936170212767</v>
          </cell>
          <cell r="R36">
            <v>0.76635514018691586</v>
          </cell>
          <cell r="S36">
            <v>0</v>
          </cell>
          <cell r="U36">
            <v>0</v>
          </cell>
          <cell r="W36">
            <v>0.75740740740740742</v>
          </cell>
          <cell r="X36">
            <v>262</v>
          </cell>
          <cell r="Y36">
            <v>0.18735422161947357</v>
          </cell>
          <cell r="Z36">
            <v>0.26813625832566162</v>
          </cell>
          <cell r="AA36">
            <v>12000</v>
          </cell>
          <cell r="AB36">
            <v>20000</v>
          </cell>
          <cell r="AC36">
            <v>0.18095663472470358</v>
          </cell>
          <cell r="AD36">
            <v>0.25120188403443239</v>
          </cell>
          <cell r="AE36">
            <v>45000</v>
          </cell>
          <cell r="AF36">
            <v>30000</v>
          </cell>
          <cell r="AG36">
            <v>0.48469222023712849</v>
          </cell>
          <cell r="AH36">
            <v>0.25120188403443239</v>
          </cell>
          <cell r="AI36">
            <v>30000</v>
          </cell>
        </row>
        <row r="37">
          <cell r="D37" t="str">
            <v>Metal Halide, 1-STD 100W, 1-MAG</v>
          </cell>
          <cell r="E37" t="str">
            <v>Hard-Wired CFL, 2-PL 42W, 1-ELEC</v>
          </cell>
          <cell r="F37">
            <v>125</v>
          </cell>
          <cell r="G37">
            <v>93</v>
          </cell>
          <cell r="H37">
            <v>32</v>
          </cell>
          <cell r="I37">
            <v>26.081486915365904</v>
          </cell>
          <cell r="J37">
            <v>13.57709464382955</v>
          </cell>
          <cell r="K37">
            <v>10000</v>
          </cell>
          <cell r="L37">
            <v>10000</v>
          </cell>
          <cell r="M37">
            <v>47.410638297872339</v>
          </cell>
          <cell r="N37">
            <v>9.5321276595744688</v>
          </cell>
          <cell r="O37">
            <v>45000</v>
          </cell>
          <cell r="P37">
            <v>30000</v>
          </cell>
          <cell r="R37">
            <v>1</v>
          </cell>
          <cell r="W37">
            <v>0.74399999999999999</v>
          </cell>
        </row>
        <row r="38">
          <cell r="C38" t="str">
            <v>Med MH to T8HP</v>
          </cell>
          <cell r="D38" t="str">
            <v>Metal Halide, 1-STD 150W, 1-MAG</v>
          </cell>
          <cell r="E38" t="str">
            <v>T8 High Performance, 4-F32T8HP 32W, 1-ELEC HP</v>
          </cell>
          <cell r="F38">
            <v>195</v>
          </cell>
          <cell r="G38">
            <v>107</v>
          </cell>
          <cell r="H38">
            <v>88</v>
          </cell>
          <cell r="I38">
            <v>26.081486915365904</v>
          </cell>
          <cell r="J38">
            <v>18.87227439404208</v>
          </cell>
          <cell r="K38">
            <v>10000</v>
          </cell>
          <cell r="L38">
            <v>30000</v>
          </cell>
          <cell r="M38">
            <v>42.809574468085103</v>
          </cell>
          <cell r="N38">
            <v>15.145425531914892</v>
          </cell>
          <cell r="O38">
            <v>45000</v>
          </cell>
          <cell r="P38">
            <v>60000</v>
          </cell>
          <cell r="Q38">
            <v>194.69586230580654</v>
          </cell>
          <cell r="R38">
            <v>1.1861805555555556</v>
          </cell>
          <cell r="S38">
            <v>1.5</v>
          </cell>
          <cell r="T38">
            <v>47.917670816444826</v>
          </cell>
          <cell r="U38">
            <v>120</v>
          </cell>
          <cell r="W38">
            <v>0.54871794871794877</v>
          </cell>
          <cell r="X38">
            <v>88</v>
          </cell>
          <cell r="Y38">
            <v>0.29638053312915802</v>
          </cell>
          <cell r="Z38">
            <v>0.21445766356866</v>
          </cell>
          <cell r="AA38">
            <v>10000</v>
          </cell>
          <cell r="AB38">
            <v>30000</v>
          </cell>
          <cell r="AC38">
            <v>0.48647243713733074</v>
          </cell>
          <cell r="AD38">
            <v>0.17210710831721468</v>
          </cell>
          <cell r="AE38">
            <v>45000</v>
          </cell>
          <cell r="AF38">
            <v>60000</v>
          </cell>
          <cell r="AG38">
            <v>2.2124529807478015</v>
          </cell>
          <cell r="AH38">
            <v>-0.48647243713733074</v>
          </cell>
          <cell r="AI38">
            <v>45000</v>
          </cell>
        </row>
        <row r="39">
          <cell r="D39" t="str">
            <v>Metal Halide, 1-STD 175W, 1-MAG</v>
          </cell>
          <cell r="E39" t="str">
            <v>T5HO Fluorescent, 2-F54T5HO 54W, 1-ELEC</v>
          </cell>
          <cell r="F39">
            <v>210</v>
          </cell>
          <cell r="G39">
            <v>118</v>
          </cell>
          <cell r="H39">
            <v>92</v>
          </cell>
          <cell r="I39">
            <v>26.081486915365904</v>
          </cell>
          <cell r="J39">
            <v>18.583052090638063</v>
          </cell>
          <cell r="K39">
            <v>10000</v>
          </cell>
          <cell r="L39">
            <v>20000</v>
          </cell>
          <cell r="M39">
            <v>45.570212765957443</v>
          </cell>
          <cell r="N39">
            <v>35.298085106382977</v>
          </cell>
          <cell r="O39">
            <v>45000</v>
          </cell>
          <cell r="P39">
            <v>60000</v>
          </cell>
          <cell r="R39">
            <v>0.92812499999999998</v>
          </cell>
          <cell r="U39">
            <v>100</v>
          </cell>
          <cell r="W39">
            <v>0.56190476190476191</v>
          </cell>
        </row>
        <row r="40">
          <cell r="D40" t="str">
            <v>Metal Halide, 1-STD 250W, 1-MAG</v>
          </cell>
          <cell r="E40" t="str">
            <v>T5HO Fluorescent, 3-F54T5HO 54W, 1-ELEC</v>
          </cell>
          <cell r="F40">
            <v>300</v>
          </cell>
          <cell r="G40">
            <v>179</v>
          </cell>
          <cell r="H40">
            <v>121</v>
          </cell>
          <cell r="I40">
            <v>26.081486915365904</v>
          </cell>
          <cell r="J40">
            <v>27.874578135957094</v>
          </cell>
          <cell r="K40">
            <v>10000</v>
          </cell>
          <cell r="L40">
            <v>20000</v>
          </cell>
          <cell r="M40">
            <v>57.532978723404256</v>
          </cell>
          <cell r="N40">
            <v>35.298085106382977</v>
          </cell>
          <cell r="O40">
            <v>45000</v>
          </cell>
          <cell r="P40">
            <v>60000</v>
          </cell>
          <cell r="R40">
            <v>1.0186737804878048</v>
          </cell>
          <cell r="U40">
            <v>120</v>
          </cell>
          <cell r="W40">
            <v>0.59666666666666668</v>
          </cell>
        </row>
        <row r="41">
          <cell r="C41" t="str">
            <v>Large MH to T5HO</v>
          </cell>
          <cell r="D41" t="str">
            <v>Metal Halide, 1-STD 400W, 1-MAG</v>
          </cell>
          <cell r="E41" t="str">
            <v>T5HO Fluorescent, 4-F54T5HO 54W, 1-ELEC</v>
          </cell>
          <cell r="F41">
            <v>460</v>
          </cell>
          <cell r="G41">
            <v>234</v>
          </cell>
          <cell r="H41">
            <v>226</v>
          </cell>
          <cell r="I41">
            <v>26.081486915365904</v>
          </cell>
          <cell r="J41">
            <v>37.166104181276125</v>
          </cell>
          <cell r="K41">
            <v>12000</v>
          </cell>
          <cell r="L41">
            <v>20000</v>
          </cell>
          <cell r="M41">
            <v>47.410638297872339</v>
          </cell>
          <cell r="N41">
            <v>37.138510638297873</v>
          </cell>
          <cell r="O41">
            <v>45000</v>
          </cell>
          <cell r="P41">
            <v>60000</v>
          </cell>
          <cell r="Q41">
            <v>294.98277719942354</v>
          </cell>
          <cell r="R41">
            <v>0.78125</v>
          </cell>
          <cell r="S41">
            <v>1.5</v>
          </cell>
          <cell r="T41">
            <v>47.917670816444826</v>
          </cell>
          <cell r="U41">
            <v>180</v>
          </cell>
          <cell r="W41">
            <v>0.50869565217391299</v>
          </cell>
          <cell r="X41">
            <v>226</v>
          </cell>
          <cell r="Y41">
            <v>0.11540480936002612</v>
          </cell>
          <cell r="Z41">
            <v>0.16445178841272623</v>
          </cell>
          <cell r="AA41">
            <v>12000</v>
          </cell>
          <cell r="AB41">
            <v>20000</v>
          </cell>
          <cell r="AC41">
            <v>0.20978158538881567</v>
          </cell>
          <cell r="AD41">
            <v>0.1643296930898136</v>
          </cell>
          <cell r="AE41">
            <v>45000</v>
          </cell>
          <cell r="AF41">
            <v>60000</v>
          </cell>
          <cell r="AG41">
            <v>1.3052335274310776</v>
          </cell>
          <cell r="AH41">
            <v>-0.20978158538881567</v>
          </cell>
          <cell r="AI41">
            <v>45000</v>
          </cell>
        </row>
        <row r="42">
          <cell r="D42" t="str">
            <v>Metal Halide, 1-STD 50W, 1-MAG</v>
          </cell>
          <cell r="E42" t="str">
            <v>Hard-Wired CFL, 1-PL 32W, 1-ELEC</v>
          </cell>
          <cell r="F42">
            <v>62</v>
          </cell>
          <cell r="G42">
            <v>36</v>
          </cell>
          <cell r="H42">
            <v>26</v>
          </cell>
          <cell r="I42">
            <v>30.682550745153137</v>
          </cell>
          <cell r="J42">
            <v>6.512483492127541</v>
          </cell>
          <cell r="K42">
            <v>10000</v>
          </cell>
          <cell r="L42">
            <v>10000</v>
          </cell>
          <cell r="M42">
            <v>24.405319148936169</v>
          </cell>
          <cell r="N42">
            <v>9.5321276595744688</v>
          </cell>
          <cell r="O42">
            <v>45000</v>
          </cell>
          <cell r="P42">
            <v>30000</v>
          </cell>
          <cell r="R42">
            <v>1.0169491525423728</v>
          </cell>
          <cell r="U42">
            <v>0</v>
          </cell>
          <cell r="W42">
            <v>0.58064516129032262</v>
          </cell>
        </row>
        <row r="43">
          <cell r="C43" t="str">
            <v>Small MH to CF-R</v>
          </cell>
          <cell r="D43" t="str">
            <v>Metal Halide, 1-STD 70W, 1-MAG</v>
          </cell>
          <cell r="E43" t="str">
            <v>Hard-Wired CFL, 2-PL 26W, 1-ELEC</v>
          </cell>
          <cell r="F43">
            <v>95</v>
          </cell>
          <cell r="G43">
            <v>52</v>
          </cell>
          <cell r="H43">
            <v>43</v>
          </cell>
          <cell r="I43">
            <v>30.682550745153137</v>
          </cell>
          <cell r="J43">
            <v>9.5281584736167844</v>
          </cell>
          <cell r="K43">
            <v>10000</v>
          </cell>
          <cell r="L43">
            <v>10000</v>
          </cell>
          <cell r="M43">
            <v>24.405319148936169</v>
          </cell>
          <cell r="N43">
            <v>9.5321276595744688</v>
          </cell>
          <cell r="O43">
            <v>45000</v>
          </cell>
          <cell r="P43">
            <v>30000</v>
          </cell>
          <cell r="Q43">
            <v>31.248088853708559</v>
          </cell>
          <cell r="R43">
            <v>1.0372881355932204</v>
          </cell>
          <cell r="S43">
            <v>0.5</v>
          </cell>
          <cell r="T43">
            <v>15.972556938814941</v>
          </cell>
          <cell r="U43">
            <v>0</v>
          </cell>
          <cell r="W43">
            <v>0.54736842105263162</v>
          </cell>
          <cell r="X43">
            <v>43</v>
          </cell>
          <cell r="Y43">
            <v>0.71354769174774735</v>
          </cell>
          <cell r="Z43">
            <v>0.22158508078178568</v>
          </cell>
          <cell r="AA43">
            <v>10000</v>
          </cell>
          <cell r="AB43">
            <v>10000</v>
          </cell>
          <cell r="AC43">
            <v>0.56756556160316673</v>
          </cell>
          <cell r="AD43">
            <v>0.22167738743196438</v>
          </cell>
          <cell r="AE43">
            <v>45000</v>
          </cell>
          <cell r="AF43">
            <v>30000</v>
          </cell>
          <cell r="AG43">
            <v>0.72669974078391997</v>
          </cell>
          <cell r="AH43">
            <v>0.22167738743196438</v>
          </cell>
          <cell r="AI43">
            <v>30000</v>
          </cell>
        </row>
        <row r="44">
          <cell r="D44" t="str">
            <v>Incandescent, 1-PAR 150W, 1-None</v>
          </cell>
          <cell r="E44" t="str">
            <v>Ceramic Metal Halide, 1-PAR 39W, 1-ELEC</v>
          </cell>
          <cell r="F44">
            <v>150</v>
          </cell>
          <cell r="G44">
            <v>45</v>
          </cell>
          <cell r="H44">
            <v>105</v>
          </cell>
          <cell r="I44">
            <v>5.7303026410637115</v>
          </cell>
          <cell r="J44">
            <v>50.92723159621697</v>
          </cell>
          <cell r="K44">
            <v>1750</v>
          </cell>
          <cell r="L44">
            <v>9000</v>
          </cell>
          <cell r="M44">
            <v>0</v>
          </cell>
          <cell r="N44">
            <v>47.410638297872339</v>
          </cell>
          <cell r="O44">
            <v>0</v>
          </cell>
          <cell r="P44">
            <v>30000</v>
          </cell>
          <cell r="R44">
            <v>1.0217113665389528</v>
          </cell>
          <cell r="U44">
            <v>60</v>
          </cell>
          <cell r="W44">
            <v>0.3</v>
          </cell>
        </row>
        <row r="45">
          <cell r="C45" t="str">
            <v>INC to CMH</v>
          </cell>
          <cell r="D45" t="str">
            <v>Incandescent, 1-R 150W, 1-None</v>
          </cell>
          <cell r="E45" t="str">
            <v>Ceramic Metal Halide, 1-PAR 39W, 1-ELEC</v>
          </cell>
          <cell r="F45">
            <v>150</v>
          </cell>
          <cell r="G45">
            <v>45</v>
          </cell>
          <cell r="H45">
            <v>105</v>
          </cell>
          <cell r="I45">
            <v>8.1688664708509453</v>
          </cell>
          <cell r="J45">
            <v>50.92723159621697</v>
          </cell>
          <cell r="K45">
            <v>2000</v>
          </cell>
          <cell r="L45">
            <v>9000</v>
          </cell>
          <cell r="M45">
            <v>0</v>
          </cell>
          <cell r="N45">
            <v>47.410638297872339</v>
          </cell>
          <cell r="O45">
            <v>0</v>
          </cell>
          <cell r="P45">
            <v>30000</v>
          </cell>
          <cell r="Q45">
            <v>165.23319523668727</v>
          </cell>
          <cell r="R45">
            <v>0.93567251461988299</v>
          </cell>
          <cell r="S45">
            <v>0.5</v>
          </cell>
          <cell r="T45">
            <v>15.972556938814941</v>
          </cell>
          <cell r="U45">
            <v>60</v>
          </cell>
          <cell r="W45">
            <v>0.3</v>
          </cell>
          <cell r="X45">
            <v>105</v>
          </cell>
          <cell r="Y45">
            <v>7.7798728293818523E-2</v>
          </cell>
          <cell r="Z45">
            <v>0.4850212532973045</v>
          </cell>
          <cell r="AA45">
            <v>2000</v>
          </cell>
          <cell r="AB45">
            <v>9000</v>
          </cell>
          <cell r="AC45">
            <v>0</v>
          </cell>
          <cell r="AD45">
            <v>0.45152988855116516</v>
          </cell>
          <cell r="AE45">
            <v>0</v>
          </cell>
          <cell r="AF45">
            <v>30000</v>
          </cell>
          <cell r="AG45">
            <v>1.5736494784446406</v>
          </cell>
          <cell r="AH45">
            <v>0.45152988855116516</v>
          </cell>
          <cell r="AI45">
            <v>30000</v>
          </cell>
        </row>
        <row r="46">
          <cell r="C46" t="str">
            <v>INC to CFL</v>
          </cell>
          <cell r="D46" t="str">
            <v>Incandescent, 1-PAR 100W, 1-None</v>
          </cell>
          <cell r="E46" t="str">
            <v>Hard-Wired CFL, 1-PL 26W, 1-MAG</v>
          </cell>
          <cell r="F46">
            <v>100</v>
          </cell>
          <cell r="G46">
            <v>27</v>
          </cell>
          <cell r="H46">
            <v>73</v>
          </cell>
          <cell r="I46">
            <v>5.408228172978605</v>
          </cell>
          <cell r="J46">
            <v>4.7640792368083922</v>
          </cell>
          <cell r="K46">
            <v>2000</v>
          </cell>
          <cell r="L46">
            <v>10000</v>
          </cell>
          <cell r="M46">
            <v>0</v>
          </cell>
          <cell r="N46">
            <v>9.5321276595744688</v>
          </cell>
          <cell r="O46">
            <v>0</v>
          </cell>
          <cell r="P46">
            <v>30000</v>
          </cell>
          <cell r="Q46">
            <v>60.211386726048985</v>
          </cell>
          <cell r="R46">
            <v>1.0910357142857143</v>
          </cell>
          <cell r="S46">
            <v>0.5</v>
          </cell>
          <cell r="T46">
            <v>15.972556938814941</v>
          </cell>
          <cell r="U46">
            <v>32</v>
          </cell>
          <cell r="W46">
            <v>0.27</v>
          </cell>
          <cell r="X46">
            <v>73</v>
          </cell>
          <cell r="Y46">
            <v>7.4085317438063084E-2</v>
          </cell>
          <cell r="Z46">
            <v>6.5261359408334135E-2</v>
          </cell>
          <cell r="AA46">
            <v>2000</v>
          </cell>
          <cell r="AB46">
            <v>10000</v>
          </cell>
          <cell r="AC46">
            <v>0</v>
          </cell>
          <cell r="AD46">
            <v>0.13057709122704753</v>
          </cell>
          <cell r="AE46">
            <v>0</v>
          </cell>
          <cell r="AF46">
            <v>30000</v>
          </cell>
          <cell r="AG46">
            <v>0.82481351679519155</v>
          </cell>
          <cell r="AH46">
            <v>0.13057709122704753</v>
          </cell>
          <cell r="AI46">
            <v>30000</v>
          </cell>
        </row>
        <row r="47">
          <cell r="C47" t="str">
            <v>MR to MR/IR</v>
          </cell>
          <cell r="D47" t="str">
            <v>Incandescent, 1-MR 65W, 1-None</v>
          </cell>
          <cell r="E47" t="str">
            <v>Incandescent, 1-MR/IR 37W, 1-None</v>
          </cell>
          <cell r="F47">
            <v>65</v>
          </cell>
          <cell r="G47">
            <v>37</v>
          </cell>
          <cell r="H47">
            <v>28</v>
          </cell>
          <cell r="I47">
            <v>7.69</v>
          </cell>
          <cell r="J47">
            <v>13.69</v>
          </cell>
          <cell r="K47">
            <v>4000</v>
          </cell>
          <cell r="L47">
            <v>4000</v>
          </cell>
          <cell r="M47">
            <v>0</v>
          </cell>
          <cell r="N47">
            <v>0</v>
          </cell>
          <cell r="O47">
            <v>0</v>
          </cell>
          <cell r="P47">
            <v>0</v>
          </cell>
          <cell r="Q47">
            <v>5.9999999999999991</v>
          </cell>
          <cell r="R47">
            <v>0.88</v>
          </cell>
          <cell r="S47">
            <v>0</v>
          </cell>
          <cell r="T47">
            <v>0</v>
          </cell>
          <cell r="U47">
            <v>0</v>
          </cell>
          <cell r="W47">
            <v>0.56923076923076921</v>
          </cell>
          <cell r="X47">
            <v>28</v>
          </cell>
          <cell r="Y47">
            <v>0.27464285714285713</v>
          </cell>
          <cell r="Z47">
            <v>0.48892857142857143</v>
          </cell>
          <cell r="AA47">
            <v>4000</v>
          </cell>
          <cell r="AB47">
            <v>4000</v>
          </cell>
          <cell r="AC47">
            <v>0</v>
          </cell>
          <cell r="AD47">
            <v>0</v>
          </cell>
          <cell r="AE47">
            <v>0</v>
          </cell>
          <cell r="AF47">
            <v>0</v>
          </cell>
          <cell r="AG47">
            <v>0.21428571428571425</v>
          </cell>
          <cell r="AH47">
            <v>0</v>
          </cell>
          <cell r="AI47">
            <v>0</v>
          </cell>
        </row>
      </sheetData>
      <sheetData sheetId="14"/>
      <sheetData sheetId="15"/>
      <sheetData sheetId="16"/>
      <sheetData sheetId="17"/>
      <sheetData sheetId="18"/>
      <sheetData sheetId="19"/>
      <sheetData sheetId="20"/>
      <sheetData sheetId="21"/>
      <sheetData sheetId="22"/>
      <sheetData sheetId="23" refreshError="1"/>
      <sheetData sheetId="24"/>
      <sheetData sheetId="25" refreshError="1"/>
      <sheetData sheetId="26"/>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CODE"/>
      <sheetName val="CHAR"/>
      <sheetName val="Floor"/>
      <sheetName val="Floor(OLD)"/>
      <sheetName val="Vars"/>
      <sheetName val="Labels"/>
      <sheetName val="Lookup"/>
      <sheetName val="Tally"/>
      <sheetName val="Bundles"/>
      <sheetName val="AcqTable"/>
      <sheetName val="EUI"/>
      <sheetName val="To Do"/>
      <sheetName val="Notes"/>
      <sheetName val="AllSectorTechTallyCurve"/>
      <sheetName val="AllSectorLostOpRetro"/>
      <sheetName val="AllSectorEndUsePie"/>
      <sheetName val="AchBldg-TallyChartRetro"/>
      <sheetName val="AchBldg-TallyNewNR"/>
      <sheetName val="Equipmen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4">
          <cell r="C4" t="str">
            <v>PRE2002</v>
          </cell>
          <cell r="D4" t="str">
            <v>Com_Master.xls!PRE2002</v>
          </cell>
        </row>
        <row r="5">
          <cell r="C5" t="str">
            <v>PRE1987</v>
          </cell>
          <cell r="D5" t="str">
            <v>Com_Master.xls!PRE1987</v>
          </cell>
        </row>
        <row r="6">
          <cell r="C6" t="str">
            <v>POST2002</v>
          </cell>
          <cell r="D6" t="str">
            <v>Com_Master.xls!POST2002</v>
          </cell>
        </row>
        <row r="7">
          <cell r="C7" t="str">
            <v>V1987_2001</v>
          </cell>
          <cell r="D7" t="str">
            <v>Com_Master.xls!V1987_2001</v>
          </cell>
        </row>
      </sheetData>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WasteWater"/>
      <sheetName val="WWPivot"/>
      <sheetName val="WWPivotRslts"/>
      <sheetName val="WaterSupply"/>
      <sheetName val="Sheet3"/>
      <sheetName val="Sheet4"/>
      <sheetName val="qs"/>
      <sheetName val="All Installs - 01.2007"/>
      <sheetName val="WWOnly-NW"/>
      <sheetName val="WWOnly-All"/>
      <sheetName val="FWOnly-NW"/>
      <sheetName val="kWhperMGD"/>
      <sheetName val="WWoutliers"/>
    </sheetNames>
    <sheetDataSet>
      <sheetData sheetId="0"/>
      <sheetData sheetId="1"/>
      <sheetData sheetId="2">
        <row r="11">
          <cell r="G11">
            <v>2.1148698331940725</v>
          </cell>
          <cell r="Q11">
            <v>0.4932635732650299</v>
          </cell>
          <cell r="R11">
            <v>1292944.4253694445</v>
          </cell>
        </row>
        <row r="12">
          <cell r="G12">
            <v>0.86509305004896886</v>
          </cell>
          <cell r="Q12">
            <v>0.56794031371034892</v>
          </cell>
          <cell r="R12">
            <v>289329.95982824598</v>
          </cell>
        </row>
        <row r="13">
          <cell r="G13">
            <v>0.59014857162061585</v>
          </cell>
          <cell r="Q13">
            <v>0.20400127430145978</v>
          </cell>
          <cell r="R13">
            <v>64543.689476496394</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7PSourceSummary"/>
      <sheetName val="Summary"/>
      <sheetName val="MeasureTable"/>
      <sheetName val="forRPM"/>
      <sheetName val="SC-Retro"/>
      <sheetName val="Measure InputOutput_Out"/>
      <sheetName val="Measure InputOutput"/>
      <sheetName val="LookupTable"/>
      <sheetName val="SavingsData&amp;Analysis"/>
      <sheetName val="CostData&amp;Analysis"/>
      <sheetName val="Savings and Cost"/>
      <sheetName val="Data"/>
      <sheetName val="Accomplishments"/>
      <sheetName val="To Do 7P"/>
      <sheetName val="Load Shape"/>
      <sheetName val="ValidationLi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5">
          <cell r="J5">
            <v>1.5421166326127718</v>
          </cell>
        </row>
      </sheetData>
      <sheetData sheetId="11" refreshError="1"/>
      <sheetData sheetId="12" refreshError="1"/>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Pivot Table"/>
      <sheetName val="Pivot Results"/>
      <sheetName val="All"/>
      <sheetName val="WA Flow"/>
      <sheetName val="OR Flow"/>
      <sheetName val="MT Flow"/>
      <sheetName val="ID Flow"/>
      <sheetName val="OR SUM_FAC"/>
      <sheetName val="WA SUM_FAC"/>
    </sheetNames>
    <sheetDataSet>
      <sheetData sheetId="0"/>
      <sheetData sheetId="1">
        <row r="13">
          <cell r="B13">
            <v>625</v>
          </cell>
          <cell r="C13">
            <v>113.41100000000013</v>
          </cell>
          <cell r="D13">
            <v>199.8479999999999</v>
          </cell>
        </row>
        <row r="14">
          <cell r="B14">
            <v>146</v>
          </cell>
          <cell r="C14">
            <v>409.30100000000004</v>
          </cell>
          <cell r="D14">
            <v>683.94499999999994</v>
          </cell>
        </row>
        <row r="15">
          <cell r="B15">
            <v>28</v>
          </cell>
          <cell r="C15">
            <v>966.42599999999993</v>
          </cell>
          <cell r="D15">
            <v>1277.53</v>
          </cell>
        </row>
      </sheetData>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Note on Sources"/>
      <sheetName val="Summary Stats"/>
      <sheetName val="Data"/>
      <sheetName val="Pivot Table"/>
      <sheetName val="Fresh Water"/>
      <sheetName val="WW pivot"/>
      <sheetName val="Wasewater"/>
      <sheetName val="WWPivot Results"/>
    </sheetNames>
    <sheetDataSet>
      <sheetData sheetId="0"/>
      <sheetData sheetId="1"/>
      <sheetData sheetId="2"/>
      <sheetData sheetId="3"/>
      <sheetData sheetId="4">
        <row r="24">
          <cell r="P24">
            <v>0.24388773987827983</v>
          </cell>
        </row>
      </sheetData>
      <sheetData sheetId="5"/>
      <sheetData sheetId="6">
        <row r="139">
          <cell r="P139">
            <v>0.41007545922891386</v>
          </cell>
        </row>
      </sheetData>
      <sheetData sheetId="7">
        <row r="2">
          <cell r="B2">
            <v>2000000</v>
          </cell>
          <cell r="C2">
            <v>1346000</v>
          </cell>
          <cell r="D2">
            <v>502224.69999999995</v>
          </cell>
          <cell r="E2">
            <v>2.6800752730799582</v>
          </cell>
        </row>
        <row r="3">
          <cell r="B3">
            <v>2256000</v>
          </cell>
          <cell r="C3">
            <v>0</v>
          </cell>
          <cell r="D3">
            <v>2496219</v>
          </cell>
          <cell r="E3">
            <v>0</v>
          </cell>
        </row>
        <row r="4">
          <cell r="B4">
            <v>4380000</v>
          </cell>
          <cell r="C4">
            <v>2006151</v>
          </cell>
          <cell r="D4">
            <v>1429759</v>
          </cell>
          <cell r="E4">
            <v>1.4031392703245791</v>
          </cell>
        </row>
        <row r="5">
          <cell r="B5">
            <v>4884730</v>
          </cell>
          <cell r="C5">
            <v>42631</v>
          </cell>
          <cell r="D5">
            <v>125167</v>
          </cell>
          <cell r="E5">
            <v>0.34059296779502585</v>
          </cell>
        </row>
        <row r="6">
          <cell r="B6">
            <v>6500000</v>
          </cell>
          <cell r="C6">
            <v>366700</v>
          </cell>
          <cell r="D6">
            <v>917526</v>
          </cell>
          <cell r="E6">
            <v>0.39966169896002945</v>
          </cell>
        </row>
        <row r="7">
          <cell r="B7">
            <v>18396000</v>
          </cell>
          <cell r="C7">
            <v>507131.73</v>
          </cell>
          <cell r="D7">
            <v>1409832</v>
          </cell>
          <cell r="E7">
            <v>0.35971075277054287</v>
          </cell>
        </row>
        <row r="8">
          <cell r="B8">
            <v>21900000</v>
          </cell>
          <cell r="C8">
            <v>836895</v>
          </cell>
          <cell r="D8">
            <v>2865127</v>
          </cell>
          <cell r="E8">
            <v>0.29209699953963647</v>
          </cell>
        </row>
        <row r="9">
          <cell r="B9">
            <v>26280000</v>
          </cell>
          <cell r="C9">
            <v>0</v>
          </cell>
          <cell r="D9">
            <v>132224</v>
          </cell>
          <cell r="E9">
            <v>0</v>
          </cell>
        </row>
        <row r="10">
          <cell r="B10">
            <v>51684000</v>
          </cell>
          <cell r="C10">
            <v>0</v>
          </cell>
          <cell r="D10">
            <v>580353</v>
          </cell>
          <cell r="E10">
            <v>0</v>
          </cell>
        </row>
        <row r="11">
          <cell r="B11">
            <v>0</v>
          </cell>
          <cell r="C11">
            <v>113009.28106382978</v>
          </cell>
          <cell r="D11">
            <v>27896414.453376003</v>
          </cell>
        </row>
        <row r="12">
          <cell r="D12">
            <v>38636871.459381446</v>
          </cell>
        </row>
      </sheetData>
    </sheetDataSet>
  </externalBook>
</externalLink>
</file>

<file path=xl/tables/table1.xml><?xml version="1.0" encoding="utf-8"?>
<table xmlns="http://schemas.openxmlformats.org/spreadsheetml/2006/main" id="1" name="Table1" displayName="Table1" ref="A23:B30" totalsRowShown="0">
  <tableColumns count="2">
    <tableColumn id="1" name="Year"/>
    <tableColumn id="2" name="Achievement (aMW)" dataDxfId="3"/>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oleObject" Target="../embeddings/Microsoft_Office_Word_97_-_2003_Document1.doc"/></Relationships>
</file>

<file path=xl/worksheets/_rels/sheet1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1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5"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Sheet15"/>
  <dimension ref="B2:D27"/>
  <sheetViews>
    <sheetView tabSelected="1" workbookViewId="0">
      <selection activeCell="C28" sqref="C28"/>
    </sheetView>
  </sheetViews>
  <sheetFormatPr defaultRowHeight="12.75"/>
  <cols>
    <col min="1" max="1" width="9.140625" style="240"/>
    <col min="2" max="2" width="31" style="240" customWidth="1"/>
    <col min="3" max="3" width="60.85546875" style="241" customWidth="1"/>
    <col min="4" max="4" width="52.140625" style="240" customWidth="1"/>
    <col min="5" max="5" width="28.85546875" style="240" customWidth="1"/>
    <col min="6" max="257" width="9.140625" style="240"/>
    <col min="258" max="258" width="26.7109375" style="240" customWidth="1"/>
    <col min="259" max="259" width="73.7109375" style="240" customWidth="1"/>
    <col min="260" max="260" width="58.42578125" style="240" customWidth="1"/>
    <col min="261" max="261" width="28.85546875" style="240" customWidth="1"/>
    <col min="262" max="513" width="9.140625" style="240"/>
    <col min="514" max="514" width="26.7109375" style="240" customWidth="1"/>
    <col min="515" max="515" width="73.7109375" style="240" customWidth="1"/>
    <col min="516" max="516" width="58.42578125" style="240" customWidth="1"/>
    <col min="517" max="517" width="28.85546875" style="240" customWidth="1"/>
    <col min="518" max="769" width="9.140625" style="240"/>
    <col min="770" max="770" width="26.7109375" style="240" customWidth="1"/>
    <col min="771" max="771" width="73.7109375" style="240" customWidth="1"/>
    <col min="772" max="772" width="58.42578125" style="240" customWidth="1"/>
    <col min="773" max="773" width="28.85546875" style="240" customWidth="1"/>
    <col min="774" max="1025" width="9.140625" style="240"/>
    <col min="1026" max="1026" width="26.7109375" style="240" customWidth="1"/>
    <col min="1027" max="1027" width="73.7109375" style="240" customWidth="1"/>
    <col min="1028" max="1028" width="58.42578125" style="240" customWidth="1"/>
    <col min="1029" max="1029" width="28.85546875" style="240" customWidth="1"/>
    <col min="1030" max="1281" width="9.140625" style="240"/>
    <col min="1282" max="1282" width="26.7109375" style="240" customWidth="1"/>
    <col min="1283" max="1283" width="73.7109375" style="240" customWidth="1"/>
    <col min="1284" max="1284" width="58.42578125" style="240" customWidth="1"/>
    <col min="1285" max="1285" width="28.85546875" style="240" customWidth="1"/>
    <col min="1286" max="1537" width="9.140625" style="240"/>
    <col min="1538" max="1538" width="26.7109375" style="240" customWidth="1"/>
    <col min="1539" max="1539" width="73.7109375" style="240" customWidth="1"/>
    <col min="1540" max="1540" width="58.42578125" style="240" customWidth="1"/>
    <col min="1541" max="1541" width="28.85546875" style="240" customWidth="1"/>
    <col min="1542" max="1793" width="9.140625" style="240"/>
    <col min="1794" max="1794" width="26.7109375" style="240" customWidth="1"/>
    <col min="1795" max="1795" width="73.7109375" style="240" customWidth="1"/>
    <col min="1796" max="1796" width="58.42578125" style="240" customWidth="1"/>
    <col min="1797" max="1797" width="28.85546875" style="240" customWidth="1"/>
    <col min="1798" max="2049" width="9.140625" style="240"/>
    <col min="2050" max="2050" width="26.7109375" style="240" customWidth="1"/>
    <col min="2051" max="2051" width="73.7109375" style="240" customWidth="1"/>
    <col min="2052" max="2052" width="58.42578125" style="240" customWidth="1"/>
    <col min="2053" max="2053" width="28.85546875" style="240" customWidth="1"/>
    <col min="2054" max="2305" width="9.140625" style="240"/>
    <col min="2306" max="2306" width="26.7109375" style="240" customWidth="1"/>
    <col min="2307" max="2307" width="73.7109375" style="240" customWidth="1"/>
    <col min="2308" max="2308" width="58.42578125" style="240" customWidth="1"/>
    <col min="2309" max="2309" width="28.85546875" style="240" customWidth="1"/>
    <col min="2310" max="2561" width="9.140625" style="240"/>
    <col min="2562" max="2562" width="26.7109375" style="240" customWidth="1"/>
    <col min="2563" max="2563" width="73.7109375" style="240" customWidth="1"/>
    <col min="2564" max="2564" width="58.42578125" style="240" customWidth="1"/>
    <col min="2565" max="2565" width="28.85546875" style="240" customWidth="1"/>
    <col min="2566" max="2817" width="9.140625" style="240"/>
    <col min="2818" max="2818" width="26.7109375" style="240" customWidth="1"/>
    <col min="2819" max="2819" width="73.7109375" style="240" customWidth="1"/>
    <col min="2820" max="2820" width="58.42578125" style="240" customWidth="1"/>
    <col min="2821" max="2821" width="28.85546875" style="240" customWidth="1"/>
    <col min="2822" max="3073" width="9.140625" style="240"/>
    <col min="3074" max="3074" width="26.7109375" style="240" customWidth="1"/>
    <col min="3075" max="3075" width="73.7109375" style="240" customWidth="1"/>
    <col min="3076" max="3076" width="58.42578125" style="240" customWidth="1"/>
    <col min="3077" max="3077" width="28.85546875" style="240" customWidth="1"/>
    <col min="3078" max="3329" width="9.140625" style="240"/>
    <col min="3330" max="3330" width="26.7109375" style="240" customWidth="1"/>
    <col min="3331" max="3331" width="73.7109375" style="240" customWidth="1"/>
    <col min="3332" max="3332" width="58.42578125" style="240" customWidth="1"/>
    <col min="3333" max="3333" width="28.85546875" style="240" customWidth="1"/>
    <col min="3334" max="3585" width="9.140625" style="240"/>
    <col min="3586" max="3586" width="26.7109375" style="240" customWidth="1"/>
    <col min="3587" max="3587" width="73.7109375" style="240" customWidth="1"/>
    <col min="3588" max="3588" width="58.42578125" style="240" customWidth="1"/>
    <col min="3589" max="3589" width="28.85546875" style="240" customWidth="1"/>
    <col min="3590" max="3841" width="9.140625" style="240"/>
    <col min="3842" max="3842" width="26.7109375" style="240" customWidth="1"/>
    <col min="3843" max="3843" width="73.7109375" style="240" customWidth="1"/>
    <col min="3844" max="3844" width="58.42578125" style="240" customWidth="1"/>
    <col min="3845" max="3845" width="28.85546875" style="240" customWidth="1"/>
    <col min="3846" max="4097" width="9.140625" style="240"/>
    <col min="4098" max="4098" width="26.7109375" style="240" customWidth="1"/>
    <col min="4099" max="4099" width="73.7109375" style="240" customWidth="1"/>
    <col min="4100" max="4100" width="58.42578125" style="240" customWidth="1"/>
    <col min="4101" max="4101" width="28.85546875" style="240" customWidth="1"/>
    <col min="4102" max="4353" width="9.140625" style="240"/>
    <col min="4354" max="4354" width="26.7109375" style="240" customWidth="1"/>
    <col min="4355" max="4355" width="73.7109375" style="240" customWidth="1"/>
    <col min="4356" max="4356" width="58.42578125" style="240" customWidth="1"/>
    <col min="4357" max="4357" width="28.85546875" style="240" customWidth="1"/>
    <col min="4358" max="4609" width="9.140625" style="240"/>
    <col min="4610" max="4610" width="26.7109375" style="240" customWidth="1"/>
    <col min="4611" max="4611" width="73.7109375" style="240" customWidth="1"/>
    <col min="4612" max="4612" width="58.42578125" style="240" customWidth="1"/>
    <col min="4613" max="4613" width="28.85546875" style="240" customWidth="1"/>
    <col min="4614" max="4865" width="9.140625" style="240"/>
    <col min="4866" max="4866" width="26.7109375" style="240" customWidth="1"/>
    <col min="4867" max="4867" width="73.7109375" style="240" customWidth="1"/>
    <col min="4868" max="4868" width="58.42578125" style="240" customWidth="1"/>
    <col min="4869" max="4869" width="28.85546875" style="240" customWidth="1"/>
    <col min="4870" max="5121" width="9.140625" style="240"/>
    <col min="5122" max="5122" width="26.7109375" style="240" customWidth="1"/>
    <col min="5123" max="5123" width="73.7109375" style="240" customWidth="1"/>
    <col min="5124" max="5124" width="58.42578125" style="240" customWidth="1"/>
    <col min="5125" max="5125" width="28.85546875" style="240" customWidth="1"/>
    <col min="5126" max="5377" width="9.140625" style="240"/>
    <col min="5378" max="5378" width="26.7109375" style="240" customWidth="1"/>
    <col min="5379" max="5379" width="73.7109375" style="240" customWidth="1"/>
    <col min="5380" max="5380" width="58.42578125" style="240" customWidth="1"/>
    <col min="5381" max="5381" width="28.85546875" style="240" customWidth="1"/>
    <col min="5382" max="5633" width="9.140625" style="240"/>
    <col min="5634" max="5634" width="26.7109375" style="240" customWidth="1"/>
    <col min="5635" max="5635" width="73.7109375" style="240" customWidth="1"/>
    <col min="5636" max="5636" width="58.42578125" style="240" customWidth="1"/>
    <col min="5637" max="5637" width="28.85546875" style="240" customWidth="1"/>
    <col min="5638" max="5889" width="9.140625" style="240"/>
    <col min="5890" max="5890" width="26.7109375" style="240" customWidth="1"/>
    <col min="5891" max="5891" width="73.7109375" style="240" customWidth="1"/>
    <col min="5892" max="5892" width="58.42578125" style="240" customWidth="1"/>
    <col min="5893" max="5893" width="28.85546875" style="240" customWidth="1"/>
    <col min="5894" max="6145" width="9.140625" style="240"/>
    <col min="6146" max="6146" width="26.7109375" style="240" customWidth="1"/>
    <col min="6147" max="6147" width="73.7109375" style="240" customWidth="1"/>
    <col min="6148" max="6148" width="58.42578125" style="240" customWidth="1"/>
    <col min="6149" max="6149" width="28.85546875" style="240" customWidth="1"/>
    <col min="6150" max="6401" width="9.140625" style="240"/>
    <col min="6402" max="6402" width="26.7109375" style="240" customWidth="1"/>
    <col min="6403" max="6403" width="73.7109375" style="240" customWidth="1"/>
    <col min="6404" max="6404" width="58.42578125" style="240" customWidth="1"/>
    <col min="6405" max="6405" width="28.85546875" style="240" customWidth="1"/>
    <col min="6406" max="6657" width="9.140625" style="240"/>
    <col min="6658" max="6658" width="26.7109375" style="240" customWidth="1"/>
    <col min="6659" max="6659" width="73.7109375" style="240" customWidth="1"/>
    <col min="6660" max="6660" width="58.42578125" style="240" customWidth="1"/>
    <col min="6661" max="6661" width="28.85546875" style="240" customWidth="1"/>
    <col min="6662" max="6913" width="9.140625" style="240"/>
    <col min="6914" max="6914" width="26.7109375" style="240" customWidth="1"/>
    <col min="6915" max="6915" width="73.7109375" style="240" customWidth="1"/>
    <col min="6916" max="6916" width="58.42578125" style="240" customWidth="1"/>
    <col min="6917" max="6917" width="28.85546875" style="240" customWidth="1"/>
    <col min="6918" max="7169" width="9.140625" style="240"/>
    <col min="7170" max="7170" width="26.7109375" style="240" customWidth="1"/>
    <col min="7171" max="7171" width="73.7109375" style="240" customWidth="1"/>
    <col min="7172" max="7172" width="58.42578125" style="240" customWidth="1"/>
    <col min="7173" max="7173" width="28.85546875" style="240" customWidth="1"/>
    <col min="7174" max="7425" width="9.140625" style="240"/>
    <col min="7426" max="7426" width="26.7109375" style="240" customWidth="1"/>
    <col min="7427" max="7427" width="73.7109375" style="240" customWidth="1"/>
    <col min="7428" max="7428" width="58.42578125" style="240" customWidth="1"/>
    <col min="7429" max="7429" width="28.85546875" style="240" customWidth="1"/>
    <col min="7430" max="7681" width="9.140625" style="240"/>
    <col min="7682" max="7682" width="26.7109375" style="240" customWidth="1"/>
    <col min="7683" max="7683" width="73.7109375" style="240" customWidth="1"/>
    <col min="7684" max="7684" width="58.42578125" style="240" customWidth="1"/>
    <col min="7685" max="7685" width="28.85546875" style="240" customWidth="1"/>
    <col min="7686" max="7937" width="9.140625" style="240"/>
    <col min="7938" max="7938" width="26.7109375" style="240" customWidth="1"/>
    <col min="7939" max="7939" width="73.7109375" style="240" customWidth="1"/>
    <col min="7940" max="7940" width="58.42578125" style="240" customWidth="1"/>
    <col min="7941" max="7941" width="28.85546875" style="240" customWidth="1"/>
    <col min="7942" max="8193" width="9.140625" style="240"/>
    <col min="8194" max="8194" width="26.7109375" style="240" customWidth="1"/>
    <col min="8195" max="8195" width="73.7109375" style="240" customWidth="1"/>
    <col min="8196" max="8196" width="58.42578125" style="240" customWidth="1"/>
    <col min="8197" max="8197" width="28.85546875" style="240" customWidth="1"/>
    <col min="8198" max="8449" width="9.140625" style="240"/>
    <col min="8450" max="8450" width="26.7109375" style="240" customWidth="1"/>
    <col min="8451" max="8451" width="73.7109375" style="240" customWidth="1"/>
    <col min="8452" max="8452" width="58.42578125" style="240" customWidth="1"/>
    <col min="8453" max="8453" width="28.85546875" style="240" customWidth="1"/>
    <col min="8454" max="8705" width="9.140625" style="240"/>
    <col min="8706" max="8706" width="26.7109375" style="240" customWidth="1"/>
    <col min="8707" max="8707" width="73.7109375" style="240" customWidth="1"/>
    <col min="8708" max="8708" width="58.42578125" style="240" customWidth="1"/>
    <col min="8709" max="8709" width="28.85546875" style="240" customWidth="1"/>
    <col min="8710" max="8961" width="9.140625" style="240"/>
    <col min="8962" max="8962" width="26.7109375" style="240" customWidth="1"/>
    <col min="8963" max="8963" width="73.7109375" style="240" customWidth="1"/>
    <col min="8964" max="8964" width="58.42578125" style="240" customWidth="1"/>
    <col min="8965" max="8965" width="28.85546875" style="240" customWidth="1"/>
    <col min="8966" max="9217" width="9.140625" style="240"/>
    <col min="9218" max="9218" width="26.7109375" style="240" customWidth="1"/>
    <col min="9219" max="9219" width="73.7109375" style="240" customWidth="1"/>
    <col min="9220" max="9220" width="58.42578125" style="240" customWidth="1"/>
    <col min="9221" max="9221" width="28.85546875" style="240" customWidth="1"/>
    <col min="9222" max="9473" width="9.140625" style="240"/>
    <col min="9474" max="9474" width="26.7109375" style="240" customWidth="1"/>
    <col min="9475" max="9475" width="73.7109375" style="240" customWidth="1"/>
    <col min="9476" max="9476" width="58.42578125" style="240" customWidth="1"/>
    <col min="9477" max="9477" width="28.85546875" style="240" customWidth="1"/>
    <col min="9478" max="9729" width="9.140625" style="240"/>
    <col min="9730" max="9730" width="26.7109375" style="240" customWidth="1"/>
    <col min="9731" max="9731" width="73.7109375" style="240" customWidth="1"/>
    <col min="9732" max="9732" width="58.42578125" style="240" customWidth="1"/>
    <col min="9733" max="9733" width="28.85546875" style="240" customWidth="1"/>
    <col min="9734" max="9985" width="9.140625" style="240"/>
    <col min="9986" max="9986" width="26.7109375" style="240" customWidth="1"/>
    <col min="9987" max="9987" width="73.7109375" style="240" customWidth="1"/>
    <col min="9988" max="9988" width="58.42578125" style="240" customWidth="1"/>
    <col min="9989" max="9989" width="28.85546875" style="240" customWidth="1"/>
    <col min="9990" max="10241" width="9.140625" style="240"/>
    <col min="10242" max="10242" width="26.7109375" style="240" customWidth="1"/>
    <col min="10243" max="10243" width="73.7109375" style="240" customWidth="1"/>
    <col min="10244" max="10244" width="58.42578125" style="240" customWidth="1"/>
    <col min="10245" max="10245" width="28.85546875" style="240" customWidth="1"/>
    <col min="10246" max="10497" width="9.140625" style="240"/>
    <col min="10498" max="10498" width="26.7109375" style="240" customWidth="1"/>
    <col min="10499" max="10499" width="73.7109375" style="240" customWidth="1"/>
    <col min="10500" max="10500" width="58.42578125" style="240" customWidth="1"/>
    <col min="10501" max="10501" width="28.85546875" style="240" customWidth="1"/>
    <col min="10502" max="10753" width="9.140625" style="240"/>
    <col min="10754" max="10754" width="26.7109375" style="240" customWidth="1"/>
    <col min="10755" max="10755" width="73.7109375" style="240" customWidth="1"/>
    <col min="10756" max="10756" width="58.42578125" style="240" customWidth="1"/>
    <col min="10757" max="10757" width="28.85546875" style="240" customWidth="1"/>
    <col min="10758" max="11009" width="9.140625" style="240"/>
    <col min="11010" max="11010" width="26.7109375" style="240" customWidth="1"/>
    <col min="11011" max="11011" width="73.7109375" style="240" customWidth="1"/>
    <col min="11012" max="11012" width="58.42578125" style="240" customWidth="1"/>
    <col min="11013" max="11013" width="28.85546875" style="240" customWidth="1"/>
    <col min="11014" max="11265" width="9.140625" style="240"/>
    <col min="11266" max="11266" width="26.7109375" style="240" customWidth="1"/>
    <col min="11267" max="11267" width="73.7109375" style="240" customWidth="1"/>
    <col min="11268" max="11268" width="58.42578125" style="240" customWidth="1"/>
    <col min="11269" max="11269" width="28.85546875" style="240" customWidth="1"/>
    <col min="11270" max="11521" width="9.140625" style="240"/>
    <col min="11522" max="11522" width="26.7109375" style="240" customWidth="1"/>
    <col min="11523" max="11523" width="73.7109375" style="240" customWidth="1"/>
    <col min="11524" max="11524" width="58.42578125" style="240" customWidth="1"/>
    <col min="11525" max="11525" width="28.85546875" style="240" customWidth="1"/>
    <col min="11526" max="11777" width="9.140625" style="240"/>
    <col min="11778" max="11778" width="26.7109375" style="240" customWidth="1"/>
    <col min="11779" max="11779" width="73.7109375" style="240" customWidth="1"/>
    <col min="11780" max="11780" width="58.42578125" style="240" customWidth="1"/>
    <col min="11781" max="11781" width="28.85546875" style="240" customWidth="1"/>
    <col min="11782" max="12033" width="9.140625" style="240"/>
    <col min="12034" max="12034" width="26.7109375" style="240" customWidth="1"/>
    <col min="12035" max="12035" width="73.7109375" style="240" customWidth="1"/>
    <col min="12036" max="12036" width="58.42578125" style="240" customWidth="1"/>
    <col min="12037" max="12037" width="28.85546875" style="240" customWidth="1"/>
    <col min="12038" max="12289" width="9.140625" style="240"/>
    <col min="12290" max="12290" width="26.7109375" style="240" customWidth="1"/>
    <col min="12291" max="12291" width="73.7109375" style="240" customWidth="1"/>
    <col min="12292" max="12292" width="58.42578125" style="240" customWidth="1"/>
    <col min="12293" max="12293" width="28.85546875" style="240" customWidth="1"/>
    <col min="12294" max="12545" width="9.140625" style="240"/>
    <col min="12546" max="12546" width="26.7109375" style="240" customWidth="1"/>
    <col min="12547" max="12547" width="73.7109375" style="240" customWidth="1"/>
    <col min="12548" max="12548" width="58.42578125" style="240" customWidth="1"/>
    <col min="12549" max="12549" width="28.85546875" style="240" customWidth="1"/>
    <col min="12550" max="12801" width="9.140625" style="240"/>
    <col min="12802" max="12802" width="26.7109375" style="240" customWidth="1"/>
    <col min="12803" max="12803" width="73.7109375" style="240" customWidth="1"/>
    <col min="12804" max="12804" width="58.42578125" style="240" customWidth="1"/>
    <col min="12805" max="12805" width="28.85546875" style="240" customWidth="1"/>
    <col min="12806" max="13057" width="9.140625" style="240"/>
    <col min="13058" max="13058" width="26.7109375" style="240" customWidth="1"/>
    <col min="13059" max="13059" width="73.7109375" style="240" customWidth="1"/>
    <col min="13060" max="13060" width="58.42578125" style="240" customWidth="1"/>
    <col min="13061" max="13061" width="28.85546875" style="240" customWidth="1"/>
    <col min="13062" max="13313" width="9.140625" style="240"/>
    <col min="13314" max="13314" width="26.7109375" style="240" customWidth="1"/>
    <col min="13315" max="13315" width="73.7109375" style="240" customWidth="1"/>
    <col min="13316" max="13316" width="58.42578125" style="240" customWidth="1"/>
    <col min="13317" max="13317" width="28.85546875" style="240" customWidth="1"/>
    <col min="13318" max="13569" width="9.140625" style="240"/>
    <col min="13570" max="13570" width="26.7109375" style="240" customWidth="1"/>
    <col min="13571" max="13571" width="73.7109375" style="240" customWidth="1"/>
    <col min="13572" max="13572" width="58.42578125" style="240" customWidth="1"/>
    <col min="13573" max="13573" width="28.85546875" style="240" customWidth="1"/>
    <col min="13574" max="13825" width="9.140625" style="240"/>
    <col min="13826" max="13826" width="26.7109375" style="240" customWidth="1"/>
    <col min="13827" max="13827" width="73.7109375" style="240" customWidth="1"/>
    <col min="13828" max="13828" width="58.42578125" style="240" customWidth="1"/>
    <col min="13829" max="13829" width="28.85546875" style="240" customWidth="1"/>
    <col min="13830" max="14081" width="9.140625" style="240"/>
    <col min="14082" max="14082" width="26.7109375" style="240" customWidth="1"/>
    <col min="14083" max="14083" width="73.7109375" style="240" customWidth="1"/>
    <col min="14084" max="14084" width="58.42578125" style="240" customWidth="1"/>
    <col min="14085" max="14085" width="28.85546875" style="240" customWidth="1"/>
    <col min="14086" max="14337" width="9.140625" style="240"/>
    <col min="14338" max="14338" width="26.7109375" style="240" customWidth="1"/>
    <col min="14339" max="14339" width="73.7109375" style="240" customWidth="1"/>
    <col min="14340" max="14340" width="58.42578125" style="240" customWidth="1"/>
    <col min="14341" max="14341" width="28.85546875" style="240" customWidth="1"/>
    <col min="14342" max="14593" width="9.140625" style="240"/>
    <col min="14594" max="14594" width="26.7109375" style="240" customWidth="1"/>
    <col min="14595" max="14595" width="73.7109375" style="240" customWidth="1"/>
    <col min="14596" max="14596" width="58.42578125" style="240" customWidth="1"/>
    <col min="14597" max="14597" width="28.85546875" style="240" customWidth="1"/>
    <col min="14598" max="14849" width="9.140625" style="240"/>
    <col min="14850" max="14850" width="26.7109375" style="240" customWidth="1"/>
    <col min="14851" max="14851" width="73.7109375" style="240" customWidth="1"/>
    <col min="14852" max="14852" width="58.42578125" style="240" customWidth="1"/>
    <col min="14853" max="14853" width="28.85546875" style="240" customWidth="1"/>
    <col min="14854" max="15105" width="9.140625" style="240"/>
    <col min="15106" max="15106" width="26.7109375" style="240" customWidth="1"/>
    <col min="15107" max="15107" width="73.7109375" style="240" customWidth="1"/>
    <col min="15108" max="15108" width="58.42578125" style="240" customWidth="1"/>
    <col min="15109" max="15109" width="28.85546875" style="240" customWidth="1"/>
    <col min="15110" max="15361" width="9.140625" style="240"/>
    <col min="15362" max="15362" width="26.7109375" style="240" customWidth="1"/>
    <col min="15363" max="15363" width="73.7109375" style="240" customWidth="1"/>
    <col min="15364" max="15364" width="58.42578125" style="240" customWidth="1"/>
    <col min="15365" max="15365" width="28.85546875" style="240" customWidth="1"/>
    <col min="15366" max="15617" width="9.140625" style="240"/>
    <col min="15618" max="15618" width="26.7109375" style="240" customWidth="1"/>
    <col min="15619" max="15619" width="73.7109375" style="240" customWidth="1"/>
    <col min="15620" max="15620" width="58.42578125" style="240" customWidth="1"/>
    <col min="15621" max="15621" width="28.85546875" style="240" customWidth="1"/>
    <col min="15622" max="15873" width="9.140625" style="240"/>
    <col min="15874" max="15874" width="26.7109375" style="240" customWidth="1"/>
    <col min="15875" max="15875" width="73.7109375" style="240" customWidth="1"/>
    <col min="15876" max="15876" width="58.42578125" style="240" customWidth="1"/>
    <col min="15877" max="15877" width="28.85546875" style="240" customWidth="1"/>
    <col min="15878" max="16129" width="9.140625" style="240"/>
    <col min="16130" max="16130" width="26.7109375" style="240" customWidth="1"/>
    <col min="16131" max="16131" width="73.7109375" style="240" customWidth="1"/>
    <col min="16132" max="16132" width="58.42578125" style="240" customWidth="1"/>
    <col min="16133" max="16133" width="28.85546875" style="240" customWidth="1"/>
    <col min="16134" max="16384" width="9.140625" style="240"/>
  </cols>
  <sheetData>
    <row r="2" spans="2:4">
      <c r="B2" s="642" t="s">
        <v>1333</v>
      </c>
      <c r="C2" s="643"/>
      <c r="D2" s="644"/>
    </row>
    <row r="3" spans="2:4" ht="15.75">
      <c r="B3" s="645" t="s">
        <v>1167</v>
      </c>
      <c r="C3" s="643"/>
      <c r="D3" s="644"/>
    </row>
    <row r="4" spans="2:4">
      <c r="B4" s="646" t="s">
        <v>1110</v>
      </c>
      <c r="C4" s="646" t="s">
        <v>1111</v>
      </c>
      <c r="D4" s="646" t="s">
        <v>1112</v>
      </c>
    </row>
    <row r="5" spans="2:4" ht="51">
      <c r="B5" s="459" t="s">
        <v>1113</v>
      </c>
      <c r="C5" s="456" t="s">
        <v>1171</v>
      </c>
      <c r="D5" s="456"/>
    </row>
    <row r="6" spans="2:4" ht="25.5">
      <c r="B6" s="459" t="s">
        <v>1114</v>
      </c>
      <c r="C6" s="457" t="s">
        <v>1172</v>
      </c>
      <c r="D6" s="458" t="s">
        <v>1173</v>
      </c>
    </row>
    <row r="7" spans="2:4" ht="38.25">
      <c r="B7" s="459" t="s">
        <v>1115</v>
      </c>
      <c r="C7" s="457" t="s">
        <v>1219</v>
      </c>
      <c r="D7" s="458" t="s">
        <v>1174</v>
      </c>
    </row>
    <row r="8" spans="2:4" ht="51">
      <c r="B8" s="459" t="s">
        <v>1116</v>
      </c>
      <c r="C8" s="458" t="s">
        <v>1175</v>
      </c>
      <c r="D8" s="457" t="s">
        <v>1202</v>
      </c>
    </row>
    <row r="9" spans="2:4" ht="38.25">
      <c r="B9" s="459" t="s">
        <v>1117</v>
      </c>
      <c r="C9" s="457" t="s">
        <v>1176</v>
      </c>
      <c r="D9" s="457" t="s">
        <v>1215</v>
      </c>
    </row>
    <row r="10" spans="2:4">
      <c r="B10" s="459" t="s">
        <v>1118</v>
      </c>
      <c r="C10" s="457"/>
      <c r="D10" s="457"/>
    </row>
    <row r="11" spans="2:4" ht="25.5">
      <c r="B11" s="459" t="s">
        <v>1119</v>
      </c>
      <c r="C11" s="587" t="s">
        <v>1160</v>
      </c>
      <c r="D11" s="457" t="s">
        <v>1161</v>
      </c>
    </row>
    <row r="12" spans="2:4">
      <c r="B12" s="459" t="s">
        <v>662</v>
      </c>
      <c r="C12" s="457" t="s">
        <v>1205</v>
      </c>
      <c r="D12" s="457"/>
    </row>
    <row r="13" spans="2:4">
      <c r="B13" s="459" t="s">
        <v>1120</v>
      </c>
      <c r="C13" s="457" t="s">
        <v>1121</v>
      </c>
      <c r="D13" s="457" t="s">
        <v>1122</v>
      </c>
    </row>
    <row r="14" spans="2:4">
      <c r="B14" s="459" t="s">
        <v>1123</v>
      </c>
      <c r="C14" s="457" t="s">
        <v>1220</v>
      </c>
      <c r="D14" s="457"/>
    </row>
    <row r="15" spans="2:4">
      <c r="B15" s="459" t="s">
        <v>1124</v>
      </c>
      <c r="C15" s="457" t="s">
        <v>1351</v>
      </c>
      <c r="D15" s="457"/>
    </row>
    <row r="23" spans="2:3">
      <c r="B23" s="649" t="s">
        <v>1334</v>
      </c>
    </row>
    <row r="24" spans="2:3">
      <c r="B24" s="649" t="s">
        <v>1335</v>
      </c>
      <c r="C24" s="241" t="s">
        <v>1336</v>
      </c>
    </row>
    <row r="25" spans="2:3">
      <c r="B25" s="649" t="s">
        <v>1337</v>
      </c>
      <c r="C25" s="241" t="s">
        <v>1338</v>
      </c>
    </row>
    <row r="26" spans="2:3">
      <c r="B26" s="649" t="s">
        <v>1348</v>
      </c>
      <c r="C26" s="241" t="s">
        <v>1349</v>
      </c>
    </row>
    <row r="27" spans="2:3">
      <c r="B27" s="649" t="s">
        <v>1354</v>
      </c>
      <c r="C27" s="241" t="s">
        <v>1355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13"/>
  <dimension ref="A1:BD5"/>
  <sheetViews>
    <sheetView workbookViewId="0">
      <selection activeCell="C9" sqref="C9"/>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619" t="s">
        <v>1322</v>
      </c>
      <c r="B1" s="619" t="s">
        <v>1323</v>
      </c>
      <c r="C1" s="619" t="s">
        <v>1324</v>
      </c>
      <c r="D1" s="619" t="s">
        <v>123</v>
      </c>
      <c r="E1" s="619" t="s">
        <v>1325</v>
      </c>
      <c r="F1" s="619" t="s">
        <v>1326</v>
      </c>
      <c r="G1" s="619" t="s">
        <v>1327</v>
      </c>
      <c r="H1" s="619" t="s">
        <v>1328</v>
      </c>
      <c r="I1" s="619" t="s">
        <v>1329</v>
      </c>
      <c r="J1" s="619" t="s">
        <v>1330</v>
      </c>
      <c r="K1" s="620">
        <v>2016</v>
      </c>
      <c r="L1" s="621">
        <v>2017</v>
      </c>
      <c r="M1" s="621">
        <v>2018</v>
      </c>
      <c r="N1" s="621">
        <v>2019</v>
      </c>
      <c r="O1" s="621">
        <v>2020</v>
      </c>
      <c r="P1" s="621">
        <v>2021</v>
      </c>
      <c r="Q1" s="621">
        <v>2022</v>
      </c>
      <c r="R1" s="621">
        <v>2023</v>
      </c>
      <c r="S1" s="621">
        <v>2024</v>
      </c>
      <c r="T1" s="621">
        <v>2025</v>
      </c>
      <c r="U1" s="621">
        <v>2026</v>
      </c>
      <c r="V1" s="621">
        <v>2027</v>
      </c>
      <c r="W1" s="621">
        <v>2028</v>
      </c>
      <c r="X1" s="621">
        <v>2029</v>
      </c>
      <c r="Y1" s="621">
        <v>2030</v>
      </c>
      <c r="Z1" s="621">
        <v>2031</v>
      </c>
      <c r="AA1" s="621">
        <v>2032</v>
      </c>
      <c r="AB1" s="621">
        <v>2033</v>
      </c>
      <c r="AC1" s="621">
        <v>2034</v>
      </c>
      <c r="AD1" s="621">
        <v>2035</v>
      </c>
      <c r="AE1" s="622" t="s">
        <v>1306</v>
      </c>
      <c r="AF1" s="237" t="s">
        <v>1318</v>
      </c>
      <c r="AG1" s="238"/>
      <c r="AH1" s="238"/>
      <c r="AI1" s="238"/>
      <c r="AJ1" s="238"/>
      <c r="AK1" s="238"/>
      <c r="AL1" s="238"/>
      <c r="AM1" s="238"/>
      <c r="AN1" s="238"/>
      <c r="AO1" s="238"/>
      <c r="AP1" s="238"/>
      <c r="AQ1" s="229"/>
      <c r="AR1" s="225"/>
      <c r="AS1" s="237" t="s">
        <v>1319</v>
      </c>
      <c r="AT1" s="238"/>
      <c r="AU1" s="238"/>
      <c r="AV1" s="238"/>
      <c r="AW1" s="238"/>
      <c r="AX1" s="238"/>
      <c r="AY1" s="238"/>
      <c r="AZ1" s="238"/>
      <c r="BA1" s="238"/>
      <c r="BB1" s="238"/>
      <c r="BC1" s="238"/>
      <c r="BD1" s="229"/>
    </row>
    <row r="2" spans="1:56" ht="15">
      <c r="A2" s="619"/>
      <c r="B2" s="619"/>
      <c r="C2" s="619"/>
      <c r="D2" s="619"/>
      <c r="E2" s="619"/>
      <c r="F2" s="619" t="s">
        <v>1317</v>
      </c>
      <c r="G2" s="619" t="s">
        <v>787</v>
      </c>
      <c r="H2" s="619" t="s">
        <v>1227</v>
      </c>
      <c r="I2" s="619"/>
      <c r="J2" s="619"/>
      <c r="K2" s="623" t="str">
        <f t="shared" ref="K2:AD2" si="0">CONCATENATE("aMW_",K$1)</f>
        <v>aMW_2016</v>
      </c>
      <c r="L2" s="624" t="str">
        <f t="shared" si="0"/>
        <v>aMW_2017</v>
      </c>
      <c r="M2" s="624" t="str">
        <f t="shared" si="0"/>
        <v>aMW_2018</v>
      </c>
      <c r="N2" s="624" t="str">
        <f t="shared" si="0"/>
        <v>aMW_2019</v>
      </c>
      <c r="O2" s="624" t="str">
        <f t="shared" si="0"/>
        <v>aMW_2020</v>
      </c>
      <c r="P2" s="624" t="str">
        <f t="shared" si="0"/>
        <v>aMW_2021</v>
      </c>
      <c r="Q2" s="624" t="str">
        <f t="shared" si="0"/>
        <v>aMW_2022</v>
      </c>
      <c r="R2" s="624" t="str">
        <f t="shared" si="0"/>
        <v>aMW_2023</v>
      </c>
      <c r="S2" s="624" t="str">
        <f t="shared" si="0"/>
        <v>aMW_2024</v>
      </c>
      <c r="T2" s="624" t="str">
        <f t="shared" si="0"/>
        <v>aMW_2025</v>
      </c>
      <c r="U2" s="624" t="str">
        <f t="shared" si="0"/>
        <v>aMW_2026</v>
      </c>
      <c r="V2" s="624" t="str">
        <f t="shared" si="0"/>
        <v>aMW_2027</v>
      </c>
      <c r="W2" s="624" t="str">
        <f t="shared" si="0"/>
        <v>aMW_2028</v>
      </c>
      <c r="X2" s="624" t="str">
        <f t="shared" si="0"/>
        <v>aMW_2029</v>
      </c>
      <c r="Y2" s="624" t="str">
        <f t="shared" si="0"/>
        <v>aMW_2030</v>
      </c>
      <c r="Z2" s="624" t="str">
        <f t="shared" si="0"/>
        <v>aMW_2031</v>
      </c>
      <c r="AA2" s="624" t="str">
        <f t="shared" si="0"/>
        <v>aMW_2032</v>
      </c>
      <c r="AB2" s="624" t="str">
        <f t="shared" si="0"/>
        <v>aMW_2033</v>
      </c>
      <c r="AC2" s="624" t="str">
        <f t="shared" si="0"/>
        <v>aMW_2034</v>
      </c>
      <c r="AD2" s="624" t="str">
        <f t="shared" si="0"/>
        <v>aMW_2035</v>
      </c>
      <c r="AE2" s="625" t="s">
        <v>1306</v>
      </c>
      <c r="AF2" s="626" t="s">
        <v>749</v>
      </c>
      <c r="AG2" s="627" t="s">
        <v>750</v>
      </c>
      <c r="AH2" s="627" t="s">
        <v>751</v>
      </c>
      <c r="AI2" s="627" t="s">
        <v>752</v>
      </c>
      <c r="AJ2" s="627" t="s">
        <v>753</v>
      </c>
      <c r="AK2" s="627" t="s">
        <v>754</v>
      </c>
      <c r="AL2" s="627" t="s">
        <v>755</v>
      </c>
      <c r="AM2" s="627" t="s">
        <v>756</v>
      </c>
      <c r="AN2" s="627" t="s">
        <v>757</v>
      </c>
      <c r="AO2" s="627" t="s">
        <v>758</v>
      </c>
      <c r="AP2" s="627" t="s">
        <v>759</v>
      </c>
      <c r="AQ2" s="627" t="s">
        <v>760</v>
      </c>
      <c r="AR2" s="220"/>
      <c r="AS2" s="220" t="s">
        <v>749</v>
      </c>
      <c r="AT2" s="220" t="s">
        <v>750</v>
      </c>
      <c r="AU2" s="220" t="s">
        <v>751</v>
      </c>
      <c r="AV2" s="220" t="s">
        <v>752</v>
      </c>
      <c r="AW2" s="220" t="s">
        <v>753</v>
      </c>
      <c r="AX2" s="220" t="s">
        <v>754</v>
      </c>
      <c r="AY2" s="220" t="s">
        <v>755</v>
      </c>
      <c r="AZ2" s="220" t="s">
        <v>756</v>
      </c>
      <c r="BA2" s="220" t="s">
        <v>757</v>
      </c>
      <c r="BB2" s="220" t="s">
        <v>758</v>
      </c>
      <c r="BC2" s="220" t="s">
        <v>759</v>
      </c>
      <c r="BD2" s="220" t="s">
        <v>760</v>
      </c>
    </row>
    <row r="3" spans="1:56" ht="15">
      <c r="A3" s="628" t="str">
        <f>VLOOKUP(CONCATENATE($C3,"-",$B3),[2]ACHIEV!$B$19:$C$100,2,FALSE)</f>
        <v>Retro5Med</v>
      </c>
      <c r="B3" s="628" t="str">
        <f>'SC-Retro'!$C$7</f>
        <v>Retro</v>
      </c>
      <c r="C3" s="628" t="str">
        <f>'7PSourceSummary'!$B$2</f>
        <v>Municipal Sewage Treatment</v>
      </c>
      <c r="D3" s="628" t="s">
        <v>92</v>
      </c>
      <c r="E3" s="629" t="str">
        <f>'SC-Retro'!$A$9</f>
        <v>Process Loads</v>
      </c>
      <c r="F3" s="647">
        <f t="shared" ref="F3:F5" si="1">VLOOKUP(J3,MeasureOutputR,14,FALSE)</f>
        <v>6.6879149448802169</v>
      </c>
      <c r="G3" s="647">
        <f>INDEX('SC-Retro'!$A$29:$D$31,MATCH($J3,'SC-Retro'!$C$29:$C$31,0),1)</f>
        <v>42563.483804441617</v>
      </c>
      <c r="H3" s="647">
        <f>INDEX('SC-Retro'!$A$29:$D$31,MATCH($J3,'SC-Retro'!$C$29:$C$31,0),2)</f>
        <v>-9.7450143525555504</v>
      </c>
      <c r="I3" s="648"/>
      <c r="J3" s="630" t="str">
        <f>'SC-Retro'!C29</f>
        <v>Optimize Municipal Sewage ; &gt;10 MGD Design Capacity</v>
      </c>
      <c r="K3" s="630">
        <f>'SC-Retro'!E29</f>
        <v>0.27784336315269464</v>
      </c>
      <c r="L3" s="630">
        <f>'SC-Retro'!F29</f>
        <v>0.3429854549355697</v>
      </c>
      <c r="M3" s="630">
        <f>'SC-Retro'!G29</f>
        <v>0.42195136253053933</v>
      </c>
      <c r="N3" s="630">
        <f>'SC-Retro'!H29</f>
        <v>0.49233361858749131</v>
      </c>
      <c r="O3" s="630">
        <f>'SC-Retro'!I29</f>
        <v>0.56431182244654798</v>
      </c>
      <c r="P3" s="630">
        <f>'SC-Retro'!J29</f>
        <v>0.66278505864801152</v>
      </c>
      <c r="Q3" s="630">
        <f>'SC-Retro'!K29</f>
        <v>0.73022747810043598</v>
      </c>
      <c r="R3" s="630">
        <f>'SC-Retro'!L29</f>
        <v>0.74899918439960844</v>
      </c>
      <c r="S3" s="630">
        <f>'SC-Retro'!M29</f>
        <v>0.70851908033039313</v>
      </c>
      <c r="T3" s="630">
        <f>'SC-Retro'!N29</f>
        <v>0.61120577336750892</v>
      </c>
      <c r="U3" s="630">
        <f>'SC-Retro'!O29</f>
        <v>0.4745743534746224</v>
      </c>
      <c r="V3" s="630">
        <f>'SC-Retro'!P29</f>
        <v>0.32673856250395672</v>
      </c>
      <c r="W3" s="630">
        <f>'SC-Retro'!Q29</f>
        <v>0.19612441896121982</v>
      </c>
      <c r="X3" s="630">
        <f>'SC-Retro'!R29</f>
        <v>0.10071473136585259</v>
      </c>
      <c r="Y3" s="630">
        <f>'SC-Retro'!S29</f>
        <v>4.3331253942703485E-2</v>
      </c>
      <c r="Z3" s="630">
        <f>'SC-Retro'!T29</f>
        <v>1.5263985282727202E-2</v>
      </c>
      <c r="AA3" s="630">
        <f>'SC-Retro'!U29</f>
        <v>4.2930644539576224E-3</v>
      </c>
      <c r="AB3" s="630">
        <f>'SC-Retro'!V29</f>
        <v>9.379952052192877E-4</v>
      </c>
      <c r="AC3" s="630">
        <f>'SC-Retro'!W29</f>
        <v>1.5454407643200255E-4</v>
      </c>
      <c r="AD3" s="630">
        <f>'SC-Retro'!X29</f>
        <v>1.8592760258587544E-5</v>
      </c>
      <c r="AE3" s="630">
        <f>'SC-Retro'!Y29</f>
        <v>6.9209703172885932</v>
      </c>
      <c r="AF3" s="631">
        <f t="shared" ref="AF3:AO5" si="2">VLOOKUP($J3,MeasureOutputR,COLUMN()-17,FALSE)</f>
        <v>2156.9232322531584</v>
      </c>
      <c r="AG3" s="631">
        <f t="shared" si="2"/>
        <v>2043.8649469647689</v>
      </c>
      <c r="AH3" s="631">
        <f t="shared" si="2"/>
        <v>2452.985272102103</v>
      </c>
      <c r="AI3" s="631">
        <f t="shared" si="2"/>
        <v>2330.9485961970258</v>
      </c>
      <c r="AJ3" s="631">
        <f t="shared" si="2"/>
        <v>2594.3144096299889</v>
      </c>
      <c r="AK3" s="631">
        <f t="shared" si="2"/>
        <v>2899.0377082920072</v>
      </c>
      <c r="AL3" s="631">
        <f t="shared" si="2"/>
        <v>3061.779185390456</v>
      </c>
      <c r="AM3" s="631">
        <f t="shared" si="2"/>
        <v>3293.2725792015813</v>
      </c>
      <c r="AN3" s="631">
        <f t="shared" si="2"/>
        <v>2813.2916882334562</v>
      </c>
      <c r="AO3" s="631">
        <f t="shared" si="2"/>
        <v>2747.0820577325276</v>
      </c>
      <c r="AP3" s="631">
        <f t="shared" ref="AP3:BD5" si="3">VLOOKUP($J3,MeasureOutputR,COLUMN()-17,FALSE)</f>
        <v>2178.41187784774</v>
      </c>
      <c r="AQ3" s="631">
        <f t="shared" si="3"/>
        <v>2153.250493189777</v>
      </c>
      <c r="AR3" s="631">
        <f t="shared" si="3"/>
        <v>0</v>
      </c>
      <c r="AS3" s="631">
        <f t="shared" si="3"/>
        <v>815.53385639239559</v>
      </c>
      <c r="AT3" s="631">
        <f t="shared" si="3"/>
        <v>705.44252109230706</v>
      </c>
      <c r="AU3" s="631">
        <f t="shared" si="3"/>
        <v>751.14005581817707</v>
      </c>
      <c r="AV3" s="631">
        <f t="shared" si="3"/>
        <v>900.57227633526657</v>
      </c>
      <c r="AW3" s="631">
        <f t="shared" si="3"/>
        <v>1006.7000189914651</v>
      </c>
      <c r="AX3" s="631">
        <f t="shared" si="3"/>
        <v>1123.1077073732017</v>
      </c>
      <c r="AY3" s="631">
        <f t="shared" si="3"/>
        <v>1383.311799333841</v>
      </c>
      <c r="AZ3" s="631">
        <f t="shared" si="3"/>
        <v>1284.9253318931012</v>
      </c>
      <c r="BA3" s="631">
        <f t="shared" si="3"/>
        <v>1313.190672426671</v>
      </c>
      <c r="BB3" s="631">
        <f t="shared" si="3"/>
        <v>968.37837828161787</v>
      </c>
      <c r="BC3" s="631">
        <f t="shared" si="3"/>
        <v>769.11117636943504</v>
      </c>
      <c r="BD3" s="631">
        <f t="shared" si="3"/>
        <v>816.90796309954362</v>
      </c>
    </row>
    <row r="4" spans="1:56" ht="15">
      <c r="A4" s="628" t="str">
        <f>VLOOKUP(CONCATENATE($C4,"-",$B4),[2]ACHIEV!$B$19:$C$100,2,FALSE)</f>
        <v>Retro5Med</v>
      </c>
      <c r="B4" s="628" t="str">
        <f>'SC-Retro'!$C$7</f>
        <v>Retro</v>
      </c>
      <c r="C4" s="628" t="str">
        <f>'7PSourceSummary'!$B$2</f>
        <v>Municipal Sewage Treatment</v>
      </c>
      <c r="D4" s="628" t="s">
        <v>92</v>
      </c>
      <c r="E4" s="629" t="str">
        <f>'SC-Retro'!$A$9</f>
        <v>Process Loads</v>
      </c>
      <c r="F4" s="647">
        <f t="shared" si="1"/>
        <v>15.721840521401663</v>
      </c>
      <c r="G4" s="647">
        <f>INDEX('SC-Retro'!$A$29:$D$31,MATCH($J4,'SC-Retro'!$C$29:$C$31,0),1)</f>
        <v>100057.53810026644</v>
      </c>
      <c r="H4" s="647">
        <f>INDEX('SC-Retro'!$A$29:$D$31,MATCH($J4,'SC-Retro'!$C$29:$C$31,0),2)</f>
        <v>29.613549308799605</v>
      </c>
      <c r="I4" s="648"/>
      <c r="J4" s="630" t="str">
        <f>'SC-Retro'!C30</f>
        <v>Optimize Municipal Sewage ; &lt;1 MGD Design Capacity</v>
      </c>
      <c r="K4" s="630">
        <f>'SC-Retro'!E30</f>
        <v>0.65314961111467729</v>
      </c>
      <c r="L4" s="630">
        <f>'SC-Retro'!F30</f>
        <v>0.80628456972010754</v>
      </c>
      <c r="M4" s="630">
        <f>'SC-Retro'!G30</f>
        <v>0.99191632731090174</v>
      </c>
      <c r="N4" s="630">
        <f>'SC-Retro'!H30</f>
        <v>1.1573697779578693</v>
      </c>
      <c r="O4" s="630">
        <f>'SC-Retro'!I30</f>
        <v>1.3265749564650093</v>
      </c>
      <c r="P4" s="630">
        <f>'SC-Retro'!J30</f>
        <v>1.558064221496841</v>
      </c>
      <c r="Q4" s="630">
        <f>'SC-Retro'!K30</f>
        <v>1.7166067525767554</v>
      </c>
      <c r="R4" s="630">
        <f>'SC-Retro'!L30</f>
        <v>1.7607349711893601</v>
      </c>
      <c r="S4" s="630">
        <f>'SC-Retro'!M30</f>
        <v>1.6655750079256011</v>
      </c>
      <c r="T4" s="630">
        <f>'SC-Retro'!N30</f>
        <v>1.4368124854817583</v>
      </c>
      <c r="U4" s="630">
        <f>'SC-Retro'!O30</f>
        <v>1.115621589444264</v>
      </c>
      <c r="V4" s="630">
        <f>'SC-Retro'!P30</f>
        <v>0.76809164204632996</v>
      </c>
      <c r="W4" s="630">
        <f>'SC-Retro'!Q30</f>
        <v>0.46104606034520795</v>
      </c>
      <c r="X4" s="630">
        <f>'SC-Retro'!R30</f>
        <v>0.23675853502023025</v>
      </c>
      <c r="Y4" s="630">
        <f>'SC-Retro'!S30</f>
        <v>0.10186239952125209</v>
      </c>
      <c r="Z4" s="630">
        <f>'SC-Retro'!T30</f>
        <v>3.5882325704481161E-2</v>
      </c>
      <c r="AA4" s="630">
        <f>'SC-Retro'!U30</f>
        <v>1.0092065352130298E-2</v>
      </c>
      <c r="AB4" s="630">
        <f>'SC-Retro'!V30</f>
        <v>2.2050237103547962E-3</v>
      </c>
      <c r="AC4" s="630">
        <f>'SC-Retro'!W30</f>
        <v>3.6329967459458623E-4</v>
      </c>
      <c r="AD4" s="630">
        <f>'SC-Retro'!X30</f>
        <v>4.3707555201780973E-5</v>
      </c>
      <c r="AE4" s="630">
        <f>'SC-Retro'!Y30</f>
        <v>16.269703260066617</v>
      </c>
      <c r="AF4" s="631">
        <f t="shared" si="2"/>
        <v>5070.4596804643888</v>
      </c>
      <c r="AG4" s="631">
        <f t="shared" si="2"/>
        <v>4804.6841217773126</v>
      </c>
      <c r="AH4" s="631">
        <f t="shared" si="2"/>
        <v>5766.4374572914139</v>
      </c>
      <c r="AI4" s="631">
        <f t="shared" si="2"/>
        <v>5479.5556455228043</v>
      </c>
      <c r="AJ4" s="631">
        <f t="shared" si="2"/>
        <v>6098.671670727641</v>
      </c>
      <c r="AK4" s="631">
        <f t="shared" si="2"/>
        <v>6815.0101924050432</v>
      </c>
      <c r="AL4" s="631">
        <f t="shared" si="2"/>
        <v>7197.580181743474</v>
      </c>
      <c r="AM4" s="631">
        <f t="shared" si="2"/>
        <v>7741.7710467966663</v>
      </c>
      <c r="AN4" s="631">
        <f t="shared" si="2"/>
        <v>6613.4398578813598</v>
      </c>
      <c r="AO4" s="631">
        <f t="shared" si="2"/>
        <v>6457.7953468049445</v>
      </c>
      <c r="AP4" s="631">
        <f t="shared" si="3"/>
        <v>5120.9748353135938</v>
      </c>
      <c r="AQ4" s="631">
        <f t="shared" si="3"/>
        <v>5061.8258658439736</v>
      </c>
      <c r="AR4" s="631">
        <f t="shared" si="3"/>
        <v>0</v>
      </c>
      <c r="AS4" s="631">
        <f t="shared" si="3"/>
        <v>1917.1435844620435</v>
      </c>
      <c r="AT4" s="631">
        <f t="shared" si="3"/>
        <v>1658.3426830389246</v>
      </c>
      <c r="AU4" s="631">
        <f t="shared" si="3"/>
        <v>1765.7676965300627</v>
      </c>
      <c r="AV4" s="631">
        <f t="shared" si="3"/>
        <v>2117.0505042647965</v>
      </c>
      <c r="AW4" s="631">
        <f t="shared" si="3"/>
        <v>2366.5338572512769</v>
      </c>
      <c r="AX4" s="631">
        <f t="shared" si="3"/>
        <v>2640.183137675172</v>
      </c>
      <c r="AY4" s="631">
        <f t="shared" si="3"/>
        <v>3251.8666400129209</v>
      </c>
      <c r="AZ4" s="631">
        <f t="shared" si="3"/>
        <v>3020.5813495575567</v>
      </c>
      <c r="BA4" s="631">
        <f t="shared" si="3"/>
        <v>3087.0270474790118</v>
      </c>
      <c r="BB4" s="631">
        <f t="shared" si="3"/>
        <v>2276.4479741734885</v>
      </c>
      <c r="BC4" s="631">
        <f t="shared" si="3"/>
        <v>1808.0139113259095</v>
      </c>
      <c r="BD4" s="631">
        <f t="shared" si="3"/>
        <v>1920.3738119226527</v>
      </c>
    </row>
    <row r="5" spans="1:56" ht="15">
      <c r="A5" s="628" t="str">
        <f>VLOOKUP(CONCATENATE($C5,"-",$B5),[2]ACHIEV!$B$19:$C$100,2,FALSE)</f>
        <v>Retro5Med</v>
      </c>
      <c r="B5" s="628" t="str">
        <f>'SC-Retro'!$C$7</f>
        <v>Retro</v>
      </c>
      <c r="C5" s="628" t="str">
        <f>'7PSourceSummary'!$B$2</f>
        <v>Municipal Sewage Treatment</v>
      </c>
      <c r="D5" s="628" t="s">
        <v>92</v>
      </c>
      <c r="E5" s="629" t="str">
        <f>'SC-Retro'!$A$9</f>
        <v>Process Loads</v>
      </c>
      <c r="F5" s="647">
        <f t="shared" si="1"/>
        <v>12.697100618552732</v>
      </c>
      <c r="G5" s="647">
        <f>INDEX('SC-Retro'!$A$29:$D$31,MATCH($J5,'SC-Retro'!$C$29:$C$31,0),1)</f>
        <v>80807.37285016627</v>
      </c>
      <c r="H5" s="647">
        <f>INDEX('SC-Retro'!$A$29:$D$31,MATCH($J5,'SC-Retro'!$C$29:$C$31,0),2)</f>
        <v>39.77446296180814</v>
      </c>
      <c r="I5" s="648"/>
      <c r="J5" s="630" t="str">
        <f>'SC-Retro'!C31</f>
        <v>Optimize Municipal Sewage ; 1 to 10 MGD Design Capacity</v>
      </c>
      <c r="K5" s="630">
        <f>'SC-Retro'!E31</f>
        <v>0.52748953406584254</v>
      </c>
      <c r="L5" s="630">
        <f>'SC-Retro'!F31</f>
        <v>0.65116271183305396</v>
      </c>
      <c r="M5" s="630">
        <f>'SC-Retro'!G31</f>
        <v>0.8010805984138657</v>
      </c>
      <c r="N5" s="630">
        <f>'SC-Retro'!H31</f>
        <v>0.93470230178196478</v>
      </c>
      <c r="O5" s="630">
        <f>'SC-Retro'!I31</f>
        <v>1.0713539345065664</v>
      </c>
      <c r="P5" s="630">
        <f>'SC-Retro'!J31</f>
        <v>1.2583067589053945</v>
      </c>
      <c r="Q5" s="630">
        <f>'SC-Retro'!K31</f>
        <v>1.3863471411177326</v>
      </c>
      <c r="R5" s="630">
        <f>'SC-Retro'!L31</f>
        <v>1.4219854896354533</v>
      </c>
      <c r="S5" s="630">
        <f>'SC-Retro'!M31</f>
        <v>1.3451334425247496</v>
      </c>
      <c r="T5" s="630">
        <f>'SC-Retro'!N31</f>
        <v>1.1603827601050021</v>
      </c>
      <c r="U5" s="630">
        <f>'SC-Retro'!O31</f>
        <v>0.9009860871009947</v>
      </c>
      <c r="V5" s="630">
        <f>'SC-Retro'!P31</f>
        <v>0.62031775796579347</v>
      </c>
      <c r="W5" s="630">
        <f>'SC-Retro'!Q31</f>
        <v>0.37234496877268525</v>
      </c>
      <c r="X5" s="630">
        <f>'SC-Retro'!R31</f>
        <v>0.19120833450516359</v>
      </c>
      <c r="Y5" s="630">
        <f>'SC-Retro'!S31</f>
        <v>8.2264995259807391E-2</v>
      </c>
      <c r="Z5" s="630">
        <f>'SC-Retro'!T31</f>
        <v>2.8978890816077289E-2</v>
      </c>
      <c r="AA5" s="630">
        <f>'SC-Retro'!U31</f>
        <v>8.1504432671591596E-3</v>
      </c>
      <c r="AB5" s="630">
        <f>'SC-Retro'!V31</f>
        <v>1.7807970942433429E-3</v>
      </c>
      <c r="AC5" s="630">
        <f>'SC-Retro'!W31</f>
        <v>2.9340410346585013E-4</v>
      </c>
      <c r="AD5" s="630">
        <f>'SC-Retro'!X31</f>
        <v>3.5298616941986653E-5</v>
      </c>
      <c r="AE5" s="630">
        <f>'SC-Retro'!Y31</f>
        <v>13.139559522045328</v>
      </c>
      <c r="AF5" s="631">
        <f t="shared" si="2"/>
        <v>4094.9491032892979</v>
      </c>
      <c r="AG5" s="631">
        <f t="shared" si="2"/>
        <v>3880.3063579944214</v>
      </c>
      <c r="AH5" s="631">
        <f t="shared" si="2"/>
        <v>4657.0270513908554</v>
      </c>
      <c r="AI5" s="631">
        <f t="shared" si="2"/>
        <v>4425.3387051886257</v>
      </c>
      <c r="AJ5" s="631">
        <f t="shared" si="2"/>
        <v>4925.3424074195027</v>
      </c>
      <c r="AK5" s="631">
        <f t="shared" si="2"/>
        <v>5503.8638772373633</v>
      </c>
      <c r="AL5" s="631">
        <f t="shared" si="2"/>
        <v>5812.8308612018864</v>
      </c>
      <c r="AM5" s="631">
        <f t="shared" si="2"/>
        <v>6252.3243263513232</v>
      </c>
      <c r="AN5" s="631">
        <f t="shared" si="2"/>
        <v>5341.0738517515711</v>
      </c>
      <c r="AO5" s="631">
        <f t="shared" si="2"/>
        <v>5215.3739367083863</v>
      </c>
      <c r="AP5" s="631">
        <f t="shared" si="3"/>
        <v>4135.745599285362</v>
      </c>
      <c r="AQ5" s="631">
        <f t="shared" si="3"/>
        <v>4087.9763565038229</v>
      </c>
      <c r="AR5" s="631">
        <f t="shared" si="3"/>
        <v>0</v>
      </c>
      <c r="AS5" s="631">
        <f t="shared" si="3"/>
        <v>1548.3025005241063</v>
      </c>
      <c r="AT5" s="631">
        <f t="shared" si="3"/>
        <v>1339.292551525557</v>
      </c>
      <c r="AU5" s="631">
        <f t="shared" si="3"/>
        <v>1426.0499641446211</v>
      </c>
      <c r="AV5" s="631">
        <f t="shared" si="3"/>
        <v>1709.7491372346922</v>
      </c>
      <c r="AW5" s="631">
        <f t="shared" si="3"/>
        <v>1911.2341498330034</v>
      </c>
      <c r="AX5" s="631">
        <f t="shared" si="3"/>
        <v>2132.2357840250656</v>
      </c>
      <c r="AY5" s="631">
        <f t="shared" si="3"/>
        <v>2626.2369135568583</v>
      </c>
      <c r="AZ5" s="631">
        <f t="shared" si="3"/>
        <v>2439.4488208710577</v>
      </c>
      <c r="BA5" s="631">
        <f t="shared" si="3"/>
        <v>2493.1109675535795</v>
      </c>
      <c r="BB5" s="631">
        <f t="shared" si="3"/>
        <v>1838.4799757785856</v>
      </c>
      <c r="BC5" s="631">
        <f t="shared" si="3"/>
        <v>1460.1683893560755</v>
      </c>
      <c r="BD5" s="631">
        <f t="shared" si="3"/>
        <v>1550.9112614406374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12"/>
  <dimension ref="A1:AE111"/>
  <sheetViews>
    <sheetView zoomScale="90" zoomScaleNormal="90" workbookViewId="0">
      <selection activeCell="E13" sqref="E13"/>
    </sheetView>
  </sheetViews>
  <sheetFormatPr defaultRowHeight="12.75"/>
  <cols>
    <col min="1" max="1" width="35" style="240" customWidth="1"/>
    <col min="2" max="2" width="16" style="240" customWidth="1"/>
    <col min="3" max="3" width="25.5703125" style="240" customWidth="1"/>
    <col min="4" max="4" width="32" style="240" customWidth="1"/>
    <col min="5" max="5" width="12.85546875" style="240" bestFit="1" customWidth="1"/>
    <col min="6" max="6" width="9.42578125" style="240" customWidth="1"/>
    <col min="7" max="24" width="9.140625" style="240"/>
    <col min="25" max="25" width="9.140625" style="482"/>
    <col min="26" max="26" width="10" style="240" bestFit="1" customWidth="1"/>
    <col min="27" max="27" width="9.140625" style="240"/>
    <col min="28" max="28" width="10" style="240" bestFit="1" customWidth="1"/>
    <col min="29" max="257" width="9.140625" style="240"/>
    <col min="258" max="258" width="35" style="240" customWidth="1"/>
    <col min="259" max="259" width="16" style="240" customWidth="1"/>
    <col min="260" max="260" width="29.140625" style="240" customWidth="1"/>
    <col min="261" max="261" width="12.85546875" style="240" bestFit="1" customWidth="1"/>
    <col min="262" max="262" width="9.42578125" style="240" customWidth="1"/>
    <col min="263" max="513" width="9.140625" style="240"/>
    <col min="514" max="514" width="35" style="240" customWidth="1"/>
    <col min="515" max="515" width="16" style="240" customWidth="1"/>
    <col min="516" max="516" width="29.140625" style="240" customWidth="1"/>
    <col min="517" max="517" width="12.85546875" style="240" bestFit="1" customWidth="1"/>
    <col min="518" max="518" width="9.42578125" style="240" customWidth="1"/>
    <col min="519" max="769" width="9.140625" style="240"/>
    <col min="770" max="770" width="35" style="240" customWidth="1"/>
    <col min="771" max="771" width="16" style="240" customWidth="1"/>
    <col min="772" max="772" width="29.140625" style="240" customWidth="1"/>
    <col min="773" max="773" width="12.85546875" style="240" bestFit="1" customWidth="1"/>
    <col min="774" max="774" width="9.42578125" style="240" customWidth="1"/>
    <col min="775" max="1025" width="9.140625" style="240"/>
    <col min="1026" max="1026" width="35" style="240" customWidth="1"/>
    <col min="1027" max="1027" width="16" style="240" customWidth="1"/>
    <col min="1028" max="1028" width="29.140625" style="240" customWidth="1"/>
    <col min="1029" max="1029" width="12.85546875" style="240" bestFit="1" customWidth="1"/>
    <col min="1030" max="1030" width="9.42578125" style="240" customWidth="1"/>
    <col min="1031" max="1281" width="9.140625" style="240"/>
    <col min="1282" max="1282" width="35" style="240" customWidth="1"/>
    <col min="1283" max="1283" width="16" style="240" customWidth="1"/>
    <col min="1284" max="1284" width="29.140625" style="240" customWidth="1"/>
    <col min="1285" max="1285" width="12.85546875" style="240" bestFit="1" customWidth="1"/>
    <col min="1286" max="1286" width="9.42578125" style="240" customWidth="1"/>
    <col min="1287" max="1537" width="9.140625" style="240"/>
    <col min="1538" max="1538" width="35" style="240" customWidth="1"/>
    <col min="1539" max="1539" width="16" style="240" customWidth="1"/>
    <col min="1540" max="1540" width="29.140625" style="240" customWidth="1"/>
    <col min="1541" max="1541" width="12.85546875" style="240" bestFit="1" customWidth="1"/>
    <col min="1542" max="1542" width="9.42578125" style="240" customWidth="1"/>
    <col min="1543" max="1793" width="9.140625" style="240"/>
    <col min="1794" max="1794" width="35" style="240" customWidth="1"/>
    <col min="1795" max="1795" width="16" style="240" customWidth="1"/>
    <col min="1796" max="1796" width="29.140625" style="240" customWidth="1"/>
    <col min="1797" max="1797" width="12.85546875" style="240" bestFit="1" customWidth="1"/>
    <col min="1798" max="1798" width="9.42578125" style="240" customWidth="1"/>
    <col min="1799" max="2049" width="9.140625" style="240"/>
    <col min="2050" max="2050" width="35" style="240" customWidth="1"/>
    <col min="2051" max="2051" width="16" style="240" customWidth="1"/>
    <col min="2052" max="2052" width="29.140625" style="240" customWidth="1"/>
    <col min="2053" max="2053" width="12.85546875" style="240" bestFit="1" customWidth="1"/>
    <col min="2054" max="2054" width="9.42578125" style="240" customWidth="1"/>
    <col min="2055" max="2305" width="9.140625" style="240"/>
    <col min="2306" max="2306" width="35" style="240" customWidth="1"/>
    <col min="2307" max="2307" width="16" style="240" customWidth="1"/>
    <col min="2308" max="2308" width="29.140625" style="240" customWidth="1"/>
    <col min="2309" max="2309" width="12.85546875" style="240" bestFit="1" customWidth="1"/>
    <col min="2310" max="2310" width="9.42578125" style="240" customWidth="1"/>
    <col min="2311" max="2561" width="9.140625" style="240"/>
    <col min="2562" max="2562" width="35" style="240" customWidth="1"/>
    <col min="2563" max="2563" width="16" style="240" customWidth="1"/>
    <col min="2564" max="2564" width="29.140625" style="240" customWidth="1"/>
    <col min="2565" max="2565" width="12.85546875" style="240" bestFit="1" customWidth="1"/>
    <col min="2566" max="2566" width="9.42578125" style="240" customWidth="1"/>
    <col min="2567" max="2817" width="9.140625" style="240"/>
    <col min="2818" max="2818" width="35" style="240" customWidth="1"/>
    <col min="2819" max="2819" width="16" style="240" customWidth="1"/>
    <col min="2820" max="2820" width="29.140625" style="240" customWidth="1"/>
    <col min="2821" max="2821" width="12.85546875" style="240" bestFit="1" customWidth="1"/>
    <col min="2822" max="2822" width="9.42578125" style="240" customWidth="1"/>
    <col min="2823" max="3073" width="9.140625" style="240"/>
    <col min="3074" max="3074" width="35" style="240" customWidth="1"/>
    <col min="3075" max="3075" width="16" style="240" customWidth="1"/>
    <col min="3076" max="3076" width="29.140625" style="240" customWidth="1"/>
    <col min="3077" max="3077" width="12.85546875" style="240" bestFit="1" customWidth="1"/>
    <col min="3078" max="3078" width="9.42578125" style="240" customWidth="1"/>
    <col min="3079" max="3329" width="9.140625" style="240"/>
    <col min="3330" max="3330" width="35" style="240" customWidth="1"/>
    <col min="3331" max="3331" width="16" style="240" customWidth="1"/>
    <col min="3332" max="3332" width="29.140625" style="240" customWidth="1"/>
    <col min="3333" max="3333" width="12.85546875" style="240" bestFit="1" customWidth="1"/>
    <col min="3334" max="3334" width="9.42578125" style="240" customWidth="1"/>
    <col min="3335" max="3585" width="9.140625" style="240"/>
    <col min="3586" max="3586" width="35" style="240" customWidth="1"/>
    <col min="3587" max="3587" width="16" style="240" customWidth="1"/>
    <col min="3588" max="3588" width="29.140625" style="240" customWidth="1"/>
    <col min="3589" max="3589" width="12.85546875" style="240" bestFit="1" customWidth="1"/>
    <col min="3590" max="3590" width="9.42578125" style="240" customWidth="1"/>
    <col min="3591" max="3841" width="9.140625" style="240"/>
    <col min="3842" max="3842" width="35" style="240" customWidth="1"/>
    <col min="3843" max="3843" width="16" style="240" customWidth="1"/>
    <col min="3844" max="3844" width="29.140625" style="240" customWidth="1"/>
    <col min="3845" max="3845" width="12.85546875" style="240" bestFit="1" customWidth="1"/>
    <col min="3846" max="3846" width="9.42578125" style="240" customWidth="1"/>
    <col min="3847" max="4097" width="9.140625" style="240"/>
    <col min="4098" max="4098" width="35" style="240" customWidth="1"/>
    <col min="4099" max="4099" width="16" style="240" customWidth="1"/>
    <col min="4100" max="4100" width="29.140625" style="240" customWidth="1"/>
    <col min="4101" max="4101" width="12.85546875" style="240" bestFit="1" customWidth="1"/>
    <col min="4102" max="4102" width="9.42578125" style="240" customWidth="1"/>
    <col min="4103" max="4353" width="9.140625" style="240"/>
    <col min="4354" max="4354" width="35" style="240" customWidth="1"/>
    <col min="4355" max="4355" width="16" style="240" customWidth="1"/>
    <col min="4356" max="4356" width="29.140625" style="240" customWidth="1"/>
    <col min="4357" max="4357" width="12.85546875" style="240" bestFit="1" customWidth="1"/>
    <col min="4358" max="4358" width="9.42578125" style="240" customWidth="1"/>
    <col min="4359" max="4609" width="9.140625" style="240"/>
    <col min="4610" max="4610" width="35" style="240" customWidth="1"/>
    <col min="4611" max="4611" width="16" style="240" customWidth="1"/>
    <col min="4612" max="4612" width="29.140625" style="240" customWidth="1"/>
    <col min="4613" max="4613" width="12.85546875" style="240" bestFit="1" customWidth="1"/>
    <col min="4614" max="4614" width="9.42578125" style="240" customWidth="1"/>
    <col min="4615" max="4865" width="9.140625" style="240"/>
    <col min="4866" max="4866" width="35" style="240" customWidth="1"/>
    <col min="4867" max="4867" width="16" style="240" customWidth="1"/>
    <col min="4868" max="4868" width="29.140625" style="240" customWidth="1"/>
    <col min="4869" max="4869" width="12.85546875" style="240" bestFit="1" customWidth="1"/>
    <col min="4870" max="4870" width="9.42578125" style="240" customWidth="1"/>
    <col min="4871" max="5121" width="9.140625" style="240"/>
    <col min="5122" max="5122" width="35" style="240" customWidth="1"/>
    <col min="5123" max="5123" width="16" style="240" customWidth="1"/>
    <col min="5124" max="5124" width="29.140625" style="240" customWidth="1"/>
    <col min="5125" max="5125" width="12.85546875" style="240" bestFit="1" customWidth="1"/>
    <col min="5126" max="5126" width="9.42578125" style="240" customWidth="1"/>
    <col min="5127" max="5377" width="9.140625" style="240"/>
    <col min="5378" max="5378" width="35" style="240" customWidth="1"/>
    <col min="5379" max="5379" width="16" style="240" customWidth="1"/>
    <col min="5380" max="5380" width="29.140625" style="240" customWidth="1"/>
    <col min="5381" max="5381" width="12.85546875" style="240" bestFit="1" customWidth="1"/>
    <col min="5382" max="5382" width="9.42578125" style="240" customWidth="1"/>
    <col min="5383" max="5633" width="9.140625" style="240"/>
    <col min="5634" max="5634" width="35" style="240" customWidth="1"/>
    <col min="5635" max="5635" width="16" style="240" customWidth="1"/>
    <col min="5636" max="5636" width="29.140625" style="240" customWidth="1"/>
    <col min="5637" max="5637" width="12.85546875" style="240" bestFit="1" customWidth="1"/>
    <col min="5638" max="5638" width="9.42578125" style="240" customWidth="1"/>
    <col min="5639" max="5889" width="9.140625" style="240"/>
    <col min="5890" max="5890" width="35" style="240" customWidth="1"/>
    <col min="5891" max="5891" width="16" style="240" customWidth="1"/>
    <col min="5892" max="5892" width="29.140625" style="240" customWidth="1"/>
    <col min="5893" max="5893" width="12.85546875" style="240" bestFit="1" customWidth="1"/>
    <col min="5894" max="5894" width="9.42578125" style="240" customWidth="1"/>
    <col min="5895" max="6145" width="9.140625" style="240"/>
    <col min="6146" max="6146" width="35" style="240" customWidth="1"/>
    <col min="6147" max="6147" width="16" style="240" customWidth="1"/>
    <col min="6148" max="6148" width="29.140625" style="240" customWidth="1"/>
    <col min="6149" max="6149" width="12.85546875" style="240" bestFit="1" customWidth="1"/>
    <col min="6150" max="6150" width="9.42578125" style="240" customWidth="1"/>
    <col min="6151" max="6401" width="9.140625" style="240"/>
    <col min="6402" max="6402" width="35" style="240" customWidth="1"/>
    <col min="6403" max="6403" width="16" style="240" customWidth="1"/>
    <col min="6404" max="6404" width="29.140625" style="240" customWidth="1"/>
    <col min="6405" max="6405" width="12.85546875" style="240" bestFit="1" customWidth="1"/>
    <col min="6406" max="6406" width="9.42578125" style="240" customWidth="1"/>
    <col min="6407" max="6657" width="9.140625" style="240"/>
    <col min="6658" max="6658" width="35" style="240" customWidth="1"/>
    <col min="6659" max="6659" width="16" style="240" customWidth="1"/>
    <col min="6660" max="6660" width="29.140625" style="240" customWidth="1"/>
    <col min="6661" max="6661" width="12.85546875" style="240" bestFit="1" customWidth="1"/>
    <col min="6662" max="6662" width="9.42578125" style="240" customWidth="1"/>
    <col min="6663" max="6913" width="9.140625" style="240"/>
    <col min="6914" max="6914" width="35" style="240" customWidth="1"/>
    <col min="6915" max="6915" width="16" style="240" customWidth="1"/>
    <col min="6916" max="6916" width="29.140625" style="240" customWidth="1"/>
    <col min="6917" max="6917" width="12.85546875" style="240" bestFit="1" customWidth="1"/>
    <col min="6918" max="6918" width="9.42578125" style="240" customWidth="1"/>
    <col min="6919" max="7169" width="9.140625" style="240"/>
    <col min="7170" max="7170" width="35" style="240" customWidth="1"/>
    <col min="7171" max="7171" width="16" style="240" customWidth="1"/>
    <col min="7172" max="7172" width="29.140625" style="240" customWidth="1"/>
    <col min="7173" max="7173" width="12.85546875" style="240" bestFit="1" customWidth="1"/>
    <col min="7174" max="7174" width="9.42578125" style="240" customWidth="1"/>
    <col min="7175" max="7425" width="9.140625" style="240"/>
    <col min="7426" max="7426" width="35" style="240" customWidth="1"/>
    <col min="7427" max="7427" width="16" style="240" customWidth="1"/>
    <col min="7428" max="7428" width="29.140625" style="240" customWidth="1"/>
    <col min="7429" max="7429" width="12.85546875" style="240" bestFit="1" customWidth="1"/>
    <col min="7430" max="7430" width="9.42578125" style="240" customWidth="1"/>
    <col min="7431" max="7681" width="9.140625" style="240"/>
    <col min="7682" max="7682" width="35" style="240" customWidth="1"/>
    <col min="7683" max="7683" width="16" style="240" customWidth="1"/>
    <col min="7684" max="7684" width="29.140625" style="240" customWidth="1"/>
    <col min="7685" max="7685" width="12.85546875" style="240" bestFit="1" customWidth="1"/>
    <col min="7686" max="7686" width="9.42578125" style="240" customWidth="1"/>
    <col min="7687" max="7937" width="9.140625" style="240"/>
    <col min="7938" max="7938" width="35" style="240" customWidth="1"/>
    <col min="7939" max="7939" width="16" style="240" customWidth="1"/>
    <col min="7940" max="7940" width="29.140625" style="240" customWidth="1"/>
    <col min="7941" max="7941" width="12.85546875" style="240" bestFit="1" customWidth="1"/>
    <col min="7942" max="7942" width="9.42578125" style="240" customWidth="1"/>
    <col min="7943" max="8193" width="9.140625" style="240"/>
    <col min="8194" max="8194" width="35" style="240" customWidth="1"/>
    <col min="8195" max="8195" width="16" style="240" customWidth="1"/>
    <col min="8196" max="8196" width="29.140625" style="240" customWidth="1"/>
    <col min="8197" max="8197" width="12.85546875" style="240" bestFit="1" customWidth="1"/>
    <col min="8198" max="8198" width="9.42578125" style="240" customWidth="1"/>
    <col min="8199" max="8449" width="9.140625" style="240"/>
    <col min="8450" max="8450" width="35" style="240" customWidth="1"/>
    <col min="8451" max="8451" width="16" style="240" customWidth="1"/>
    <col min="8452" max="8452" width="29.140625" style="240" customWidth="1"/>
    <col min="8453" max="8453" width="12.85546875" style="240" bestFit="1" customWidth="1"/>
    <col min="8454" max="8454" width="9.42578125" style="240" customWidth="1"/>
    <col min="8455" max="8705" width="9.140625" style="240"/>
    <col min="8706" max="8706" width="35" style="240" customWidth="1"/>
    <col min="8707" max="8707" width="16" style="240" customWidth="1"/>
    <col min="8708" max="8708" width="29.140625" style="240" customWidth="1"/>
    <col min="8709" max="8709" width="12.85546875" style="240" bestFit="1" customWidth="1"/>
    <col min="8710" max="8710" width="9.42578125" style="240" customWidth="1"/>
    <col min="8711" max="8961" width="9.140625" style="240"/>
    <col min="8962" max="8962" width="35" style="240" customWidth="1"/>
    <col min="8963" max="8963" width="16" style="240" customWidth="1"/>
    <col min="8964" max="8964" width="29.140625" style="240" customWidth="1"/>
    <col min="8965" max="8965" width="12.85546875" style="240" bestFit="1" customWidth="1"/>
    <col min="8966" max="8966" width="9.42578125" style="240" customWidth="1"/>
    <col min="8967" max="9217" width="9.140625" style="240"/>
    <col min="9218" max="9218" width="35" style="240" customWidth="1"/>
    <col min="9219" max="9219" width="16" style="240" customWidth="1"/>
    <col min="9220" max="9220" width="29.140625" style="240" customWidth="1"/>
    <col min="9221" max="9221" width="12.85546875" style="240" bestFit="1" customWidth="1"/>
    <col min="9222" max="9222" width="9.42578125" style="240" customWidth="1"/>
    <col min="9223" max="9473" width="9.140625" style="240"/>
    <col min="9474" max="9474" width="35" style="240" customWidth="1"/>
    <col min="9475" max="9475" width="16" style="240" customWidth="1"/>
    <col min="9476" max="9476" width="29.140625" style="240" customWidth="1"/>
    <col min="9477" max="9477" width="12.85546875" style="240" bestFit="1" customWidth="1"/>
    <col min="9478" max="9478" width="9.42578125" style="240" customWidth="1"/>
    <col min="9479" max="9729" width="9.140625" style="240"/>
    <col min="9730" max="9730" width="35" style="240" customWidth="1"/>
    <col min="9731" max="9731" width="16" style="240" customWidth="1"/>
    <col min="9732" max="9732" width="29.140625" style="240" customWidth="1"/>
    <col min="9733" max="9733" width="12.85546875" style="240" bestFit="1" customWidth="1"/>
    <col min="9734" max="9734" width="9.42578125" style="240" customWidth="1"/>
    <col min="9735" max="9985" width="9.140625" style="240"/>
    <col min="9986" max="9986" width="35" style="240" customWidth="1"/>
    <col min="9987" max="9987" width="16" style="240" customWidth="1"/>
    <col min="9988" max="9988" width="29.140625" style="240" customWidth="1"/>
    <col min="9989" max="9989" width="12.85546875" style="240" bestFit="1" customWidth="1"/>
    <col min="9990" max="9990" width="9.42578125" style="240" customWidth="1"/>
    <col min="9991" max="10241" width="9.140625" style="240"/>
    <col min="10242" max="10242" width="35" style="240" customWidth="1"/>
    <col min="10243" max="10243" width="16" style="240" customWidth="1"/>
    <col min="10244" max="10244" width="29.140625" style="240" customWidth="1"/>
    <col min="10245" max="10245" width="12.85546875" style="240" bestFit="1" customWidth="1"/>
    <col min="10246" max="10246" width="9.42578125" style="240" customWidth="1"/>
    <col min="10247" max="10497" width="9.140625" style="240"/>
    <col min="10498" max="10498" width="35" style="240" customWidth="1"/>
    <col min="10499" max="10499" width="16" style="240" customWidth="1"/>
    <col min="10500" max="10500" width="29.140625" style="240" customWidth="1"/>
    <col min="10501" max="10501" width="12.85546875" style="240" bestFit="1" customWidth="1"/>
    <col min="10502" max="10502" width="9.42578125" style="240" customWidth="1"/>
    <col min="10503" max="10753" width="9.140625" style="240"/>
    <col min="10754" max="10754" width="35" style="240" customWidth="1"/>
    <col min="10755" max="10755" width="16" style="240" customWidth="1"/>
    <col min="10756" max="10756" width="29.140625" style="240" customWidth="1"/>
    <col min="10757" max="10757" width="12.85546875" style="240" bestFit="1" customWidth="1"/>
    <col min="10758" max="10758" width="9.42578125" style="240" customWidth="1"/>
    <col min="10759" max="11009" width="9.140625" style="240"/>
    <col min="11010" max="11010" width="35" style="240" customWidth="1"/>
    <col min="11011" max="11011" width="16" style="240" customWidth="1"/>
    <col min="11012" max="11012" width="29.140625" style="240" customWidth="1"/>
    <col min="11013" max="11013" width="12.85546875" style="240" bestFit="1" customWidth="1"/>
    <col min="11014" max="11014" width="9.42578125" style="240" customWidth="1"/>
    <col min="11015" max="11265" width="9.140625" style="240"/>
    <col min="11266" max="11266" width="35" style="240" customWidth="1"/>
    <col min="11267" max="11267" width="16" style="240" customWidth="1"/>
    <col min="11268" max="11268" width="29.140625" style="240" customWidth="1"/>
    <col min="11269" max="11269" width="12.85546875" style="240" bestFit="1" customWidth="1"/>
    <col min="11270" max="11270" width="9.42578125" style="240" customWidth="1"/>
    <col min="11271" max="11521" width="9.140625" style="240"/>
    <col min="11522" max="11522" width="35" style="240" customWidth="1"/>
    <col min="11523" max="11523" width="16" style="240" customWidth="1"/>
    <col min="11524" max="11524" width="29.140625" style="240" customWidth="1"/>
    <col min="11525" max="11525" width="12.85546875" style="240" bestFit="1" customWidth="1"/>
    <col min="11526" max="11526" width="9.42578125" style="240" customWidth="1"/>
    <col min="11527" max="11777" width="9.140625" style="240"/>
    <col min="11778" max="11778" width="35" style="240" customWidth="1"/>
    <col min="11779" max="11779" width="16" style="240" customWidth="1"/>
    <col min="11780" max="11780" width="29.140625" style="240" customWidth="1"/>
    <col min="11781" max="11781" width="12.85546875" style="240" bestFit="1" customWidth="1"/>
    <col min="11782" max="11782" width="9.42578125" style="240" customWidth="1"/>
    <col min="11783" max="12033" width="9.140625" style="240"/>
    <col min="12034" max="12034" width="35" style="240" customWidth="1"/>
    <col min="12035" max="12035" width="16" style="240" customWidth="1"/>
    <col min="12036" max="12036" width="29.140625" style="240" customWidth="1"/>
    <col min="12037" max="12037" width="12.85546875" style="240" bestFit="1" customWidth="1"/>
    <col min="12038" max="12038" width="9.42578125" style="240" customWidth="1"/>
    <col min="12039" max="12289" width="9.140625" style="240"/>
    <col min="12290" max="12290" width="35" style="240" customWidth="1"/>
    <col min="12291" max="12291" width="16" style="240" customWidth="1"/>
    <col min="12292" max="12292" width="29.140625" style="240" customWidth="1"/>
    <col min="12293" max="12293" width="12.85546875" style="240" bestFit="1" customWidth="1"/>
    <col min="12294" max="12294" width="9.42578125" style="240" customWidth="1"/>
    <col min="12295" max="12545" width="9.140625" style="240"/>
    <col min="12546" max="12546" width="35" style="240" customWidth="1"/>
    <col min="12547" max="12547" width="16" style="240" customWidth="1"/>
    <col min="12548" max="12548" width="29.140625" style="240" customWidth="1"/>
    <col min="12549" max="12549" width="12.85546875" style="240" bestFit="1" customWidth="1"/>
    <col min="12550" max="12550" width="9.42578125" style="240" customWidth="1"/>
    <col min="12551" max="12801" width="9.140625" style="240"/>
    <col min="12802" max="12802" width="35" style="240" customWidth="1"/>
    <col min="12803" max="12803" width="16" style="240" customWidth="1"/>
    <col min="12804" max="12804" width="29.140625" style="240" customWidth="1"/>
    <col min="12805" max="12805" width="12.85546875" style="240" bestFit="1" customWidth="1"/>
    <col min="12806" max="12806" width="9.42578125" style="240" customWidth="1"/>
    <col min="12807" max="13057" width="9.140625" style="240"/>
    <col min="13058" max="13058" width="35" style="240" customWidth="1"/>
    <col min="13059" max="13059" width="16" style="240" customWidth="1"/>
    <col min="13060" max="13060" width="29.140625" style="240" customWidth="1"/>
    <col min="13061" max="13061" width="12.85546875" style="240" bestFit="1" customWidth="1"/>
    <col min="13062" max="13062" width="9.42578125" style="240" customWidth="1"/>
    <col min="13063" max="13313" width="9.140625" style="240"/>
    <col min="13314" max="13314" width="35" style="240" customWidth="1"/>
    <col min="13315" max="13315" width="16" style="240" customWidth="1"/>
    <col min="13316" max="13316" width="29.140625" style="240" customWidth="1"/>
    <col min="13317" max="13317" width="12.85546875" style="240" bestFit="1" customWidth="1"/>
    <col min="13318" max="13318" width="9.42578125" style="240" customWidth="1"/>
    <col min="13319" max="13569" width="9.140625" style="240"/>
    <col min="13570" max="13570" width="35" style="240" customWidth="1"/>
    <col min="13571" max="13571" width="16" style="240" customWidth="1"/>
    <col min="13572" max="13572" width="29.140625" style="240" customWidth="1"/>
    <col min="13573" max="13573" width="12.85546875" style="240" bestFit="1" customWidth="1"/>
    <col min="13574" max="13574" width="9.42578125" style="240" customWidth="1"/>
    <col min="13575" max="13825" width="9.140625" style="240"/>
    <col min="13826" max="13826" width="35" style="240" customWidth="1"/>
    <col min="13827" max="13827" width="16" style="240" customWidth="1"/>
    <col min="13828" max="13828" width="29.140625" style="240" customWidth="1"/>
    <col min="13829" max="13829" width="12.85546875" style="240" bestFit="1" customWidth="1"/>
    <col min="13830" max="13830" width="9.42578125" style="240" customWidth="1"/>
    <col min="13831" max="14081" width="9.140625" style="240"/>
    <col min="14082" max="14082" width="35" style="240" customWidth="1"/>
    <col min="14083" max="14083" width="16" style="240" customWidth="1"/>
    <col min="14084" max="14084" width="29.140625" style="240" customWidth="1"/>
    <col min="14085" max="14085" width="12.85546875" style="240" bestFit="1" customWidth="1"/>
    <col min="14086" max="14086" width="9.42578125" style="240" customWidth="1"/>
    <col min="14087" max="14337" width="9.140625" style="240"/>
    <col min="14338" max="14338" width="35" style="240" customWidth="1"/>
    <col min="14339" max="14339" width="16" style="240" customWidth="1"/>
    <col min="14340" max="14340" width="29.140625" style="240" customWidth="1"/>
    <col min="14341" max="14341" width="12.85546875" style="240" bestFit="1" customWidth="1"/>
    <col min="14342" max="14342" width="9.42578125" style="240" customWidth="1"/>
    <col min="14343" max="14593" width="9.140625" style="240"/>
    <col min="14594" max="14594" width="35" style="240" customWidth="1"/>
    <col min="14595" max="14595" width="16" style="240" customWidth="1"/>
    <col min="14596" max="14596" width="29.140625" style="240" customWidth="1"/>
    <col min="14597" max="14597" width="12.85546875" style="240" bestFit="1" customWidth="1"/>
    <col min="14598" max="14598" width="9.42578125" style="240" customWidth="1"/>
    <col min="14599" max="14849" width="9.140625" style="240"/>
    <col min="14850" max="14850" width="35" style="240" customWidth="1"/>
    <col min="14851" max="14851" width="16" style="240" customWidth="1"/>
    <col min="14852" max="14852" width="29.140625" style="240" customWidth="1"/>
    <col min="14853" max="14853" width="12.85546875" style="240" bestFit="1" customWidth="1"/>
    <col min="14854" max="14854" width="9.42578125" style="240" customWidth="1"/>
    <col min="14855" max="15105" width="9.140625" style="240"/>
    <col min="15106" max="15106" width="35" style="240" customWidth="1"/>
    <col min="15107" max="15107" width="16" style="240" customWidth="1"/>
    <col min="15108" max="15108" width="29.140625" style="240" customWidth="1"/>
    <col min="15109" max="15109" width="12.85546875" style="240" bestFit="1" customWidth="1"/>
    <col min="15110" max="15110" width="9.42578125" style="240" customWidth="1"/>
    <col min="15111" max="15361" width="9.140625" style="240"/>
    <col min="15362" max="15362" width="35" style="240" customWidth="1"/>
    <col min="15363" max="15363" width="16" style="240" customWidth="1"/>
    <col min="15364" max="15364" width="29.140625" style="240" customWidth="1"/>
    <col min="15365" max="15365" width="12.85546875" style="240" bestFit="1" customWidth="1"/>
    <col min="15366" max="15366" width="9.42578125" style="240" customWidth="1"/>
    <col min="15367" max="15617" width="9.140625" style="240"/>
    <col min="15618" max="15618" width="35" style="240" customWidth="1"/>
    <col min="15619" max="15619" width="16" style="240" customWidth="1"/>
    <col min="15620" max="15620" width="29.140625" style="240" customWidth="1"/>
    <col min="15621" max="15621" width="12.85546875" style="240" bestFit="1" customWidth="1"/>
    <col min="15622" max="15622" width="9.42578125" style="240" customWidth="1"/>
    <col min="15623" max="15873" width="9.140625" style="240"/>
    <col min="15874" max="15874" width="35" style="240" customWidth="1"/>
    <col min="15875" max="15875" width="16" style="240" customWidth="1"/>
    <col min="15876" max="15876" width="29.140625" style="240" customWidth="1"/>
    <col min="15877" max="15877" width="12.85546875" style="240" bestFit="1" customWidth="1"/>
    <col min="15878" max="15878" width="9.42578125" style="240" customWidth="1"/>
    <col min="15879" max="16129" width="9.140625" style="240"/>
    <col min="16130" max="16130" width="35" style="240" customWidth="1"/>
    <col min="16131" max="16131" width="16" style="240" customWidth="1"/>
    <col min="16132" max="16132" width="29.140625" style="240" customWidth="1"/>
    <col min="16133" max="16133" width="12.85546875" style="240" bestFit="1" customWidth="1"/>
    <col min="16134" max="16134" width="9.42578125" style="240" customWidth="1"/>
    <col min="16135" max="16384" width="9.140625" style="240"/>
  </cols>
  <sheetData>
    <row r="1" spans="1:26" ht="12.75" customHeight="1">
      <c r="A1" s="679" t="s">
        <v>1140</v>
      </c>
      <c r="B1" s="685" t="s">
        <v>1141</v>
      </c>
      <c r="C1" s="686"/>
      <c r="D1" s="686"/>
      <c r="E1" s="686"/>
      <c r="F1" s="686"/>
      <c r="G1" s="686"/>
      <c r="H1" s="686"/>
      <c r="I1" s="686"/>
      <c r="J1" s="686"/>
      <c r="K1" s="686"/>
      <c r="L1" s="686"/>
      <c r="M1" s="686"/>
      <c r="N1" s="686"/>
      <c r="O1" s="686"/>
      <c r="P1" s="686"/>
      <c r="Q1" s="686"/>
      <c r="R1" s="686"/>
      <c r="S1" s="686"/>
      <c r="T1" s="687"/>
      <c r="U1" s="427"/>
      <c r="V1" s="427"/>
      <c r="W1" s="427"/>
      <c r="X1" s="427"/>
    </row>
    <row r="2" spans="1:26" ht="12.75" customHeight="1">
      <c r="A2" s="680"/>
      <c r="B2" s="688"/>
      <c r="C2" s="689"/>
      <c r="D2" s="689"/>
      <c r="E2" s="689"/>
      <c r="F2" s="689"/>
      <c r="G2" s="689"/>
      <c r="H2" s="689"/>
      <c r="I2" s="689"/>
      <c r="J2" s="689"/>
      <c r="K2" s="689"/>
      <c r="L2" s="689"/>
      <c r="M2" s="689"/>
      <c r="N2" s="689"/>
      <c r="O2" s="689"/>
      <c r="P2" s="689"/>
      <c r="Q2" s="689"/>
      <c r="R2" s="689"/>
      <c r="S2" s="689"/>
      <c r="T2" s="690"/>
      <c r="U2" s="469"/>
      <c r="V2" s="469"/>
      <c r="W2" s="469"/>
      <c r="X2" s="469"/>
      <c r="Y2" s="483"/>
    </row>
    <row r="3" spans="1:26">
      <c r="A3" s="681"/>
      <c r="B3" s="688"/>
      <c r="C3" s="689"/>
      <c r="D3" s="689"/>
      <c r="E3" s="689"/>
      <c r="F3" s="689"/>
      <c r="G3" s="689"/>
      <c r="H3" s="689"/>
      <c r="I3" s="689"/>
      <c r="J3" s="689"/>
      <c r="K3" s="689"/>
      <c r="L3" s="689"/>
      <c r="M3" s="689"/>
      <c r="N3" s="689"/>
      <c r="O3" s="689"/>
      <c r="P3" s="689"/>
      <c r="Q3" s="689"/>
      <c r="R3" s="689"/>
      <c r="S3" s="689"/>
      <c r="T3" s="690"/>
      <c r="U3" s="469"/>
      <c r="V3" s="469"/>
      <c r="W3" s="469"/>
      <c r="X3" s="469"/>
      <c r="Y3" s="483"/>
    </row>
    <row r="4" spans="1:26">
      <c r="A4" s="682"/>
      <c r="B4" s="688"/>
      <c r="C4" s="689"/>
      <c r="D4" s="689"/>
      <c r="E4" s="689"/>
      <c r="F4" s="689"/>
      <c r="G4" s="689"/>
      <c r="H4" s="689"/>
      <c r="I4" s="689"/>
      <c r="J4" s="689"/>
      <c r="K4" s="689"/>
      <c r="L4" s="689"/>
      <c r="M4" s="689"/>
      <c r="N4" s="689"/>
      <c r="O4" s="689"/>
      <c r="P4" s="689"/>
      <c r="Q4" s="689"/>
      <c r="R4" s="689"/>
      <c r="S4" s="689"/>
      <c r="T4" s="690"/>
      <c r="U4" s="469"/>
      <c r="V4" s="469"/>
      <c r="W4" s="469"/>
      <c r="X4" s="469"/>
      <c r="Y4" s="483"/>
    </row>
    <row r="5" spans="1:26">
      <c r="A5" s="680"/>
      <c r="B5" s="688"/>
      <c r="C5" s="689"/>
      <c r="D5" s="689"/>
      <c r="E5" s="689"/>
      <c r="F5" s="689"/>
      <c r="G5" s="689"/>
      <c r="H5" s="689"/>
      <c r="I5" s="689"/>
      <c r="J5" s="689"/>
      <c r="K5" s="689"/>
      <c r="L5" s="689"/>
      <c r="M5" s="689"/>
      <c r="N5" s="689"/>
      <c r="O5" s="689"/>
      <c r="P5" s="689"/>
      <c r="Q5" s="689"/>
      <c r="R5" s="689"/>
      <c r="S5" s="689"/>
      <c r="T5" s="690"/>
      <c r="U5" s="469"/>
      <c r="V5" s="469"/>
      <c r="W5" s="469"/>
      <c r="X5" s="469"/>
      <c r="Y5" s="483"/>
    </row>
    <row r="6" spans="1:26">
      <c r="A6" s="683"/>
      <c r="B6" s="691"/>
      <c r="C6" s="692"/>
      <c r="D6" s="692"/>
      <c r="E6" s="692"/>
      <c r="F6" s="692"/>
      <c r="G6" s="692"/>
      <c r="H6" s="692"/>
      <c r="I6" s="692"/>
      <c r="J6" s="692"/>
      <c r="K6" s="692"/>
      <c r="L6" s="692"/>
      <c r="M6" s="692"/>
      <c r="N6" s="692"/>
      <c r="O6" s="692"/>
      <c r="P6" s="692"/>
      <c r="Q6" s="692"/>
      <c r="R6" s="692"/>
      <c r="S6" s="692"/>
      <c r="T6" s="693"/>
      <c r="U6" s="469"/>
      <c r="V6" s="469"/>
      <c r="W6" s="469"/>
      <c r="X6" s="469"/>
      <c r="Y6" s="483"/>
    </row>
    <row r="7" spans="1:26">
      <c r="A7" s="638"/>
      <c r="B7" s="632"/>
      <c r="C7" s="684" t="s">
        <v>1331</v>
      </c>
      <c r="D7" s="634" t="s">
        <v>1358</v>
      </c>
    </row>
    <row r="8" spans="1:26">
      <c r="A8" s="639" t="s">
        <v>1332</v>
      </c>
      <c r="B8" s="632" t="s">
        <v>1156</v>
      </c>
      <c r="C8" s="633" t="s">
        <v>1103</v>
      </c>
      <c r="D8" s="634" t="str">
        <f>[7]!switch_ForecastState</f>
        <v>Region</v>
      </c>
      <c r="E8" s="427"/>
      <c r="F8" s="592"/>
      <c r="G8" s="592"/>
      <c r="H8" s="589"/>
    </row>
    <row r="9" spans="1:26">
      <c r="A9" s="639" t="str">
        <f>INDEX([2]ACHIEV!$A$19:$B$100,MATCH(C8,[2]ACHIEV!$B$19:$B$100,0),1)</f>
        <v>Process Loads</v>
      </c>
      <c r="B9" s="635" t="s">
        <v>1226</v>
      </c>
      <c r="C9" s="636">
        <v>2035</v>
      </c>
      <c r="D9" s="634" t="str">
        <f>[7]!switch_ForecastScenario</f>
        <v>Base</v>
      </c>
      <c r="E9" s="427"/>
      <c r="F9" s="427"/>
      <c r="G9" s="427"/>
    </row>
    <row r="10" spans="1:26">
      <c r="A10" s="640"/>
      <c r="B10" s="637" t="s">
        <v>1305</v>
      </c>
      <c r="C10" s="674">
        <f>MIN(SUM(E33:X33),Y33)</f>
        <v>35.292674678530631</v>
      </c>
      <c r="D10" s="641"/>
      <c r="E10">
        <v>1</v>
      </c>
      <c r="F10">
        <f>E10+1</f>
        <v>2</v>
      </c>
      <c r="G10">
        <f t="shared" ref="G10:X11" si="0">F10+1</f>
        <v>3</v>
      </c>
      <c r="H10">
        <f t="shared" si="0"/>
        <v>4</v>
      </c>
      <c r="I10">
        <f t="shared" si="0"/>
        <v>5</v>
      </c>
      <c r="J10">
        <f t="shared" si="0"/>
        <v>6</v>
      </c>
      <c r="K10">
        <f t="shared" si="0"/>
        <v>7</v>
      </c>
      <c r="L10">
        <f t="shared" si="0"/>
        <v>8</v>
      </c>
      <c r="M10">
        <f t="shared" si="0"/>
        <v>9</v>
      </c>
      <c r="N10">
        <f t="shared" si="0"/>
        <v>10</v>
      </c>
      <c r="O10">
        <f t="shared" si="0"/>
        <v>11</v>
      </c>
      <c r="P10">
        <f t="shared" si="0"/>
        <v>12</v>
      </c>
      <c r="Q10">
        <f t="shared" si="0"/>
        <v>13</v>
      </c>
      <c r="R10">
        <f t="shared" si="0"/>
        <v>14</v>
      </c>
      <c r="S10">
        <f t="shared" si="0"/>
        <v>15</v>
      </c>
      <c r="T10">
        <f t="shared" si="0"/>
        <v>16</v>
      </c>
      <c r="U10">
        <f t="shared" si="0"/>
        <v>17</v>
      </c>
      <c r="V10">
        <f t="shared" si="0"/>
        <v>18</v>
      </c>
      <c r="W10">
        <f t="shared" si="0"/>
        <v>19</v>
      </c>
      <c r="X10">
        <f t="shared" si="0"/>
        <v>20</v>
      </c>
    </row>
    <row r="11" spans="1:26">
      <c r="A11" s="476" t="s">
        <v>1142</v>
      </c>
      <c r="B11" s="476"/>
      <c r="C11" s="476"/>
      <c r="D11" s="476"/>
      <c r="E11" s="479">
        <v>2016</v>
      </c>
      <c r="F11" s="479">
        <f>E11+1</f>
        <v>2017</v>
      </c>
      <c r="G11" s="479">
        <f t="shared" si="0"/>
        <v>2018</v>
      </c>
      <c r="H11" s="479">
        <f t="shared" si="0"/>
        <v>2019</v>
      </c>
      <c r="I11" s="479">
        <f t="shared" si="0"/>
        <v>2020</v>
      </c>
      <c r="J11" s="479">
        <f t="shared" si="0"/>
        <v>2021</v>
      </c>
      <c r="K11" s="479">
        <f t="shared" si="0"/>
        <v>2022</v>
      </c>
      <c r="L11" s="479">
        <f t="shared" si="0"/>
        <v>2023</v>
      </c>
      <c r="M11" s="479">
        <f t="shared" si="0"/>
        <v>2024</v>
      </c>
      <c r="N11" s="479">
        <f t="shared" si="0"/>
        <v>2025</v>
      </c>
      <c r="O11" s="479">
        <f t="shared" si="0"/>
        <v>2026</v>
      </c>
      <c r="P11" s="479">
        <f t="shared" si="0"/>
        <v>2027</v>
      </c>
      <c r="Q11" s="479">
        <f t="shared" si="0"/>
        <v>2028</v>
      </c>
      <c r="R11" s="479">
        <f t="shared" si="0"/>
        <v>2029</v>
      </c>
      <c r="S11" s="479">
        <f t="shared" si="0"/>
        <v>2030</v>
      </c>
      <c r="T11" s="479">
        <f t="shared" si="0"/>
        <v>2031</v>
      </c>
      <c r="U11" s="479">
        <f t="shared" si="0"/>
        <v>2032</v>
      </c>
      <c r="V11" s="479">
        <f t="shared" si="0"/>
        <v>2033</v>
      </c>
      <c r="W11" s="479">
        <f t="shared" si="0"/>
        <v>2034</v>
      </c>
      <c r="X11" s="479">
        <f t="shared" si="0"/>
        <v>2035</v>
      </c>
    </row>
    <row r="12" spans="1:26">
      <c r="A12" s="476"/>
      <c r="B12" s="476"/>
      <c r="C12" s="476"/>
      <c r="D12" s="476"/>
      <c r="E12" s="476" t="str">
        <f t="shared" ref="E12:X12" si="1">CONCATENATE("FLOOR_",E11)</f>
        <v>FLOOR_2016</v>
      </c>
      <c r="F12" s="476" t="str">
        <f t="shared" si="1"/>
        <v>FLOOR_2017</v>
      </c>
      <c r="G12" s="476" t="str">
        <f t="shared" si="1"/>
        <v>FLOOR_2018</v>
      </c>
      <c r="H12" s="476" t="str">
        <f t="shared" si="1"/>
        <v>FLOOR_2019</v>
      </c>
      <c r="I12" s="476" t="str">
        <f t="shared" si="1"/>
        <v>FLOOR_2020</v>
      </c>
      <c r="J12" s="476" t="str">
        <f t="shared" si="1"/>
        <v>FLOOR_2021</v>
      </c>
      <c r="K12" s="476" t="str">
        <f t="shared" si="1"/>
        <v>FLOOR_2022</v>
      </c>
      <c r="L12" s="476" t="str">
        <f t="shared" si="1"/>
        <v>FLOOR_2023</v>
      </c>
      <c r="M12" s="476" t="str">
        <f t="shared" si="1"/>
        <v>FLOOR_2024</v>
      </c>
      <c r="N12" s="476" t="str">
        <f t="shared" si="1"/>
        <v>FLOOR_2025</v>
      </c>
      <c r="O12" s="476" t="str">
        <f t="shared" si="1"/>
        <v>FLOOR_2026</v>
      </c>
      <c r="P12" s="476" t="str">
        <f t="shared" si="1"/>
        <v>FLOOR_2027</v>
      </c>
      <c r="Q12" s="476" t="str">
        <f t="shared" si="1"/>
        <v>FLOOR_2028</v>
      </c>
      <c r="R12" s="476" t="str">
        <f t="shared" si="1"/>
        <v>FLOOR_2029</v>
      </c>
      <c r="S12" s="476" t="str">
        <f t="shared" si="1"/>
        <v>FLOOR_2030</v>
      </c>
      <c r="T12" s="476" t="str">
        <f t="shared" si="1"/>
        <v>FLOOR_2031</v>
      </c>
      <c r="U12" s="476" t="str">
        <f t="shared" si="1"/>
        <v>FLOOR_2032</v>
      </c>
      <c r="V12" s="476" t="str">
        <f t="shared" si="1"/>
        <v>FLOOR_2033</v>
      </c>
      <c r="W12" s="476" t="str">
        <f t="shared" si="1"/>
        <v>FLOOR_2034</v>
      </c>
      <c r="X12" s="476" t="str">
        <f t="shared" si="1"/>
        <v>FLOOR_2035</v>
      </c>
    </row>
    <row r="13" spans="1:26">
      <c r="C13" s="604" t="s">
        <v>1356</v>
      </c>
      <c r="D13" s="596" t="s">
        <v>1357</v>
      </c>
      <c r="E13" s="678">
        <f>INDEX([7]!tbl_Forecast,MATCH($D$8&amp;$C13&amp;$D$7,[7]!rng_ForecastRowLookup,0),MATCH(E$11,[7]!rng_ForecastColumnLookup,0))</f>
        <v>13520.68111</v>
      </c>
      <c r="F13" s="678">
        <f>INDEX([7]!tbl_Forecast,MATCH($D$8&amp;$C13&amp;$D$7,[7]!rng_ForecastRowLookup,0),MATCH(F$11,[7]!rng_ForecastColumnLookup,0))</f>
        <v>13661.840299999998</v>
      </c>
      <c r="G13" s="678">
        <f>INDEX([7]!tbl_Forecast,MATCH($D$8&amp;$C13&amp;$D$7,[7]!rng_ForecastRowLookup,0),MATCH(G$11,[7]!rng_ForecastColumnLookup,0))</f>
        <v>13803.691440000001</v>
      </c>
      <c r="H13" s="678">
        <f>INDEX([7]!tbl_Forecast,MATCH($D$8&amp;$C13&amp;$D$7,[7]!rng_ForecastRowLookup,0),MATCH(H$11,[7]!rng_ForecastColumnLookup,0))</f>
        <v>13944.276469999999</v>
      </c>
      <c r="I13" s="678">
        <f>INDEX([7]!tbl_Forecast,MATCH($D$8&amp;$C13&amp;$D$7,[7]!rng_ForecastRowLookup,0),MATCH(I$11,[7]!rng_ForecastColumnLookup,0))</f>
        <v>14082.801340000002</v>
      </c>
      <c r="J13" s="678">
        <f>INDEX([7]!tbl_Forecast,MATCH($D$8&amp;$C13&amp;$D$7,[7]!rng_ForecastRowLookup,0),MATCH(J$11,[7]!rng_ForecastColumnLookup,0))</f>
        <v>14218.715590000002</v>
      </c>
      <c r="K13" s="678">
        <f>INDEX([7]!tbl_Forecast,MATCH($D$8&amp;$C13&amp;$D$7,[7]!rng_ForecastRowLookup,0),MATCH(K$11,[7]!rng_ForecastColumnLookup,0))</f>
        <v>14351.918940000001</v>
      </c>
      <c r="L13" s="678">
        <f>INDEX([7]!tbl_Forecast,MATCH($D$8&amp;$C13&amp;$D$7,[7]!rng_ForecastRowLookup,0),MATCH(L$11,[7]!rng_ForecastColumnLookup,0))</f>
        <v>14482.437540000003</v>
      </c>
      <c r="M13" s="678">
        <f>INDEX([7]!tbl_Forecast,MATCH($D$8&amp;$C13&amp;$D$7,[7]!rng_ForecastRowLookup,0),MATCH(M$11,[7]!rng_ForecastColumnLookup,0))</f>
        <v>14610.4211</v>
      </c>
      <c r="N13" s="678">
        <f>INDEX([7]!tbl_Forecast,MATCH($D$8&amp;$C13&amp;$D$7,[7]!rng_ForecastRowLookup,0),MATCH(N$11,[7]!rng_ForecastColumnLookup,0))</f>
        <v>14736.24631</v>
      </c>
      <c r="O13" s="678">
        <f>INDEX([7]!tbl_Forecast,MATCH($D$8&amp;$C13&amp;$D$7,[7]!rng_ForecastRowLookup,0),MATCH(O$11,[7]!rng_ForecastColumnLookup,0))</f>
        <v>14860.320880000001</v>
      </c>
      <c r="P13" s="678">
        <f>INDEX([7]!tbl_Forecast,MATCH($D$8&amp;$C13&amp;$D$7,[7]!rng_ForecastRowLookup,0),MATCH(P$11,[7]!rng_ForecastColumnLookup,0))</f>
        <v>14983.078860000001</v>
      </c>
      <c r="Q13" s="678">
        <f>INDEX([7]!tbl_Forecast,MATCH($D$8&amp;$C13&amp;$D$7,[7]!rng_ForecastRowLookup,0),MATCH(Q$11,[7]!rng_ForecastColumnLookup,0))</f>
        <v>15104.70127</v>
      </c>
      <c r="R13" s="678">
        <f>INDEX([7]!tbl_Forecast,MATCH($D$8&amp;$C13&amp;$D$7,[7]!rng_ForecastRowLookup,0),MATCH(R$11,[7]!rng_ForecastColumnLookup,0))</f>
        <v>15225.195700000002</v>
      </c>
      <c r="S13" s="678">
        <f>INDEX([7]!tbl_Forecast,MATCH($D$8&amp;$C13&amp;$D$7,[7]!rng_ForecastRowLookup,0),MATCH(S$11,[7]!rng_ForecastColumnLookup,0))</f>
        <v>15344.62486</v>
      </c>
      <c r="T13" s="678">
        <f>INDEX([7]!tbl_Forecast,MATCH($D$8&amp;$C13&amp;$D$7,[7]!rng_ForecastRowLookup,0),MATCH(T$11,[7]!rng_ForecastColumnLookup,0))</f>
        <v>15463.089019999998</v>
      </c>
      <c r="U13" s="678">
        <f>INDEX([7]!tbl_Forecast,MATCH($D$8&amp;$C13&amp;$D$7,[7]!rng_ForecastRowLookup,0),MATCH(U$11,[7]!rng_ForecastColumnLookup,0))</f>
        <v>15580.68845</v>
      </c>
      <c r="V13" s="678">
        <f>INDEX([7]!tbl_Forecast,MATCH($D$8&amp;$C13&amp;$D$7,[7]!rng_ForecastRowLookup,0),MATCH(V$11,[7]!rng_ForecastColumnLookup,0))</f>
        <v>15697.50913</v>
      </c>
      <c r="W13" s="678">
        <f>INDEX([7]!tbl_Forecast,MATCH($D$8&amp;$C13&amp;$D$7,[7]!rng_ForecastRowLookup,0),MATCH(W$11,[7]!rng_ForecastColumnLookup,0))</f>
        <v>15813.626329999999</v>
      </c>
      <c r="X13" s="678">
        <f>INDEX([7]!tbl_Forecast,MATCH($D$8&amp;$C13&amp;$D$7,[7]!rng_ForecastRowLookup,0),MATCH(X$11,[7]!rng_ForecastColumnLookup,0))</f>
        <v>15929.254489999999</v>
      </c>
      <c r="Y13" s="484"/>
      <c r="Z13" s="470"/>
    </row>
    <row r="14" spans="1:26">
      <c r="B14" s="582">
        <v>5.0000000000000001E-3</v>
      </c>
      <c r="D14" s="240" t="s">
        <v>805</v>
      </c>
      <c r="E14" s="471">
        <f>E15/E13</f>
        <v>0.11571269660113788</v>
      </c>
      <c r="F14" s="472">
        <f>E14*(1-$B$14)</f>
        <v>0.11513413311813218</v>
      </c>
      <c r="G14" s="472">
        <f t="shared" ref="G14:X14" si="2">F14*(1-$B$14)</f>
        <v>0.11455846245254152</v>
      </c>
      <c r="H14" s="472">
        <f t="shared" si="2"/>
        <v>0.11398567014027881</v>
      </c>
      <c r="I14" s="472">
        <f t="shared" si="2"/>
        <v>0.11341574178957742</v>
      </c>
      <c r="J14" s="472">
        <f t="shared" si="2"/>
        <v>0.11284866308062953</v>
      </c>
      <c r="K14" s="472">
        <f t="shared" si="2"/>
        <v>0.11228441976522638</v>
      </c>
      <c r="L14" s="472">
        <f t="shared" si="2"/>
        <v>0.11172299766640024</v>
      </c>
      <c r="M14" s="472">
        <f t="shared" si="2"/>
        <v>0.11116438267806825</v>
      </c>
      <c r="N14" s="472">
        <f t="shared" si="2"/>
        <v>0.1106085607646779</v>
      </c>
      <c r="O14" s="472">
        <f t="shared" si="2"/>
        <v>0.11005551796085451</v>
      </c>
      <c r="P14" s="472">
        <f t="shared" si="2"/>
        <v>0.10950524037105024</v>
      </c>
      <c r="Q14" s="472">
        <f t="shared" si="2"/>
        <v>0.10895771416919499</v>
      </c>
      <c r="R14" s="472">
        <f t="shared" si="2"/>
        <v>0.10841292559834902</v>
      </c>
      <c r="S14" s="472">
        <f t="shared" si="2"/>
        <v>0.10787086097035727</v>
      </c>
      <c r="T14" s="472">
        <f t="shared" si="2"/>
        <v>0.10733150666550548</v>
      </c>
      <c r="U14" s="472">
        <f t="shared" si="2"/>
        <v>0.10679484913217795</v>
      </c>
      <c r="V14" s="472">
        <f t="shared" si="2"/>
        <v>0.10626087488651706</v>
      </c>
      <c r="W14" s="472">
        <f t="shared" si="2"/>
        <v>0.10572957051208447</v>
      </c>
      <c r="X14" s="472">
        <f t="shared" si="2"/>
        <v>0.10520092265952405</v>
      </c>
      <c r="Y14" s="485"/>
      <c r="Z14" s="489"/>
    </row>
    <row r="15" spans="1:26">
      <c r="D15" s="240" t="s">
        <v>1143</v>
      </c>
      <c r="E15" s="512">
        <f>'Savings and Cost'!E6</f>
        <v>1564.514471122166</v>
      </c>
      <c r="F15" s="470">
        <f>F13*F14</f>
        <v>1572.9441397388628</v>
      </c>
      <c r="G15" s="470">
        <f t="shared" ref="G15:X15" si="3">G13*G14</f>
        <v>1581.3296675357087</v>
      </c>
      <c r="H15" s="470">
        <f t="shared" si="3"/>
        <v>1589.4476980542713</v>
      </c>
      <c r="I15" s="470">
        <f t="shared" si="3"/>
        <v>1597.2113604513549</v>
      </c>
      <c r="J15" s="470">
        <f t="shared" si="3"/>
        <v>1604.5630450552048</v>
      </c>
      <c r="K15" s="470">
        <f t="shared" si="3"/>
        <v>1611.496890695463</v>
      </c>
      <c r="L15" s="470">
        <f t="shared" si="3"/>
        <v>1618.0213354852076</v>
      </c>
      <c r="M15" s="470">
        <f t="shared" si="3"/>
        <v>1624.1584422481228</v>
      </c>
      <c r="N15" s="470">
        <f t="shared" si="3"/>
        <v>1629.9549954228955</v>
      </c>
      <c r="O15" s="470">
        <f t="shared" si="3"/>
        <v>1635.4603115129014</v>
      </c>
      <c r="P15" s="470">
        <f t="shared" si="3"/>
        <v>1640.7256520627016</v>
      </c>
      <c r="Q15" s="470">
        <f t="shared" si="3"/>
        <v>1645.7737235877364</v>
      </c>
      <c r="R15" s="470">
        <f t="shared" si="3"/>
        <v>1650.6080086444035</v>
      </c>
      <c r="S15" s="470">
        <f t="shared" si="3"/>
        <v>1655.2378949153479</v>
      </c>
      <c r="T15" s="470">
        <f t="shared" si="3"/>
        <v>1659.6766422194344</v>
      </c>
      <c r="U15" s="470">
        <f t="shared" si="3"/>
        <v>1663.9372723932174</v>
      </c>
      <c r="V15" s="470">
        <f t="shared" si="3"/>
        <v>1668.0310536928894</v>
      </c>
      <c r="W15" s="470">
        <f t="shared" si="3"/>
        <v>1671.9679201094905</v>
      </c>
      <c r="X15" s="470">
        <f t="shared" si="3"/>
        <v>1675.7722696263661</v>
      </c>
      <c r="Y15" s="484"/>
      <c r="Z15" s="490"/>
    </row>
    <row r="16" spans="1:26">
      <c r="E16" s="473"/>
      <c r="F16" s="473"/>
      <c r="G16" s="473"/>
      <c r="H16" s="473"/>
      <c r="I16" s="473"/>
      <c r="J16" s="473"/>
      <c r="K16" s="473"/>
      <c r="L16" s="473"/>
      <c r="M16" s="473"/>
      <c r="N16" s="473"/>
      <c r="O16" s="473"/>
      <c r="P16" s="473"/>
      <c r="Q16" s="473"/>
      <c r="R16" s="473"/>
      <c r="S16" s="473"/>
      <c r="T16" s="473"/>
      <c r="U16" s="473"/>
      <c r="V16" s="473"/>
      <c r="W16" s="473"/>
      <c r="X16" s="473"/>
      <c r="Y16" s="486"/>
    </row>
    <row r="17" spans="1:31">
      <c r="E17" s="470"/>
      <c r="F17" s="470"/>
      <c r="G17" s="470"/>
      <c r="H17" s="470"/>
      <c r="I17" s="470"/>
      <c r="J17" s="470"/>
      <c r="K17" s="470"/>
      <c r="L17" s="470"/>
      <c r="M17" s="470"/>
      <c r="N17" s="470"/>
      <c r="O17" s="470"/>
      <c r="P17" s="470"/>
      <c r="Q17" s="470"/>
      <c r="R17" s="470"/>
      <c r="S17" s="470"/>
      <c r="T17" s="470"/>
      <c r="U17" s="470"/>
      <c r="V17" s="470"/>
      <c r="W17" s="470"/>
      <c r="X17" s="470"/>
      <c r="Y17" s="484"/>
    </row>
    <row r="18" spans="1:31">
      <c r="E18" s="470"/>
      <c r="F18" s="470"/>
      <c r="G18" s="470"/>
      <c r="H18" s="470"/>
      <c r="I18" s="470"/>
      <c r="J18" s="470"/>
      <c r="K18" s="470"/>
      <c r="L18" s="470"/>
      <c r="M18" s="470"/>
      <c r="N18" s="470"/>
      <c r="O18" s="470"/>
      <c r="P18" s="470"/>
      <c r="Q18" s="470"/>
      <c r="R18" s="470"/>
      <c r="S18" s="470"/>
      <c r="T18" s="470"/>
      <c r="U18" s="470"/>
      <c r="V18" s="470"/>
      <c r="W18" s="470"/>
      <c r="X18" s="470"/>
      <c r="Y18" s="484"/>
    </row>
    <row r="19" spans="1:31">
      <c r="A19" s="476" t="s">
        <v>1144</v>
      </c>
      <c r="B19" s="476"/>
      <c r="C19" s="476"/>
      <c r="D19" s="476"/>
      <c r="E19" s="481"/>
      <c r="F19" s="481"/>
      <c r="G19" s="481"/>
      <c r="H19" s="481" t="s">
        <v>1145</v>
      </c>
      <c r="I19" s="481"/>
      <c r="J19" s="470"/>
      <c r="K19" s="470"/>
      <c r="L19" s="470"/>
      <c r="M19" s="470"/>
      <c r="N19" s="470"/>
      <c r="O19" s="470"/>
      <c r="P19" s="470"/>
      <c r="Q19" s="470"/>
      <c r="R19" s="470"/>
      <c r="S19" s="470"/>
      <c r="T19" s="470"/>
      <c r="U19" s="470"/>
      <c r="V19" s="470"/>
      <c r="W19" s="470"/>
      <c r="X19" s="470"/>
      <c r="Y19" s="484"/>
    </row>
    <row r="20" spans="1:31">
      <c r="A20" s="476" t="s">
        <v>1146</v>
      </c>
      <c r="B20" s="476"/>
      <c r="C20" s="476" t="str">
        <f>C8</f>
        <v>Municipal Sewage Treatment-Retro</v>
      </c>
      <c r="D20" s="476" t="str">
        <f>VLOOKUP(C20,[2]ACHIEV!$B$12:$C$93,2,FALSE)</f>
        <v>Retro5Med</v>
      </c>
      <c r="E20" s="477">
        <f>VLOOKUP($C$20,[2]!ACHIEV,MATCH(E$11,$E$11:$Y$11,0)+2,FALSE)</f>
        <v>4.2999999999999997E-2</v>
      </c>
      <c r="F20" s="477">
        <f>VLOOKUP($C$20,[2]!ACHIEV,MATCH(F$11,$E$11:$Y$11,0)+2,FALSE)</f>
        <v>5.279714228027832E-2</v>
      </c>
      <c r="G20" s="477">
        <f>VLOOKUP($C$20,[2]!ACHIEV,MATCH(G$11,$E$11:$Y$11,0)+2,FALSE)</f>
        <v>6.4608251467478173E-2</v>
      </c>
      <c r="H20" s="477">
        <f>VLOOKUP($C$20,[2]!ACHIEV,MATCH(H$11,$E$11:$Y$11,0)+2,FALSE)</f>
        <v>7.4999999999999997E-2</v>
      </c>
      <c r="I20" s="477">
        <f>VLOOKUP($C$20,[2]!ACHIEV,MATCH(I$11,$E$11:$Y$11,0)+2,FALSE)</f>
        <v>8.5546997470333563E-2</v>
      </c>
      <c r="J20" s="477">
        <f>VLOOKUP($C$20,[2]!ACHIEV,MATCH(J$11,$E$11:$Y$11,0)+2,FALSE)</f>
        <v>0.10001472303820647</v>
      </c>
      <c r="K20" s="477">
        <f>VLOOKUP($C$20,[2]!ACHIEV,MATCH(K$11,$E$11:$Y$11,0)+2,FALSE)</f>
        <v>0.10971770435235073</v>
      </c>
      <c r="L20" s="477">
        <f>VLOOKUP($C$20,[2]!ACHIEV,MATCH(L$11,$E$11:$Y$11,0)+2,FALSE)</f>
        <v>0.11208438511970376</v>
      </c>
      <c r="M20" s="477">
        <f>VLOOKUP($C$20,[2]!ACHIEV,MATCH(M$11,$E$11:$Y$11,0)+2,FALSE)</f>
        <v>0.10562608162722853</v>
      </c>
      <c r="N20" s="477">
        <f>VLOOKUP($C$20,[2]!ACHIEV,MATCH(N$11,$E$11:$Y$11,0)+2,FALSE)</f>
        <v>9.0794563997872335E-2</v>
      </c>
      <c r="O20" s="477">
        <f>VLOOKUP($C$20,[2]!ACHIEV,MATCH(O$11,$E$11:$Y$11,0)+2,FALSE)</f>
        <v>7.0260666991849297E-2</v>
      </c>
      <c r="P20" s="477">
        <f>VLOOKUP($C$20,[2]!ACHIEV,MATCH(P$11,$E$11:$Y$11,0)+2,FALSE)</f>
        <v>4.8218360404944538E-2</v>
      </c>
      <c r="Q20" s="477">
        <f>VLOOKUP($C$20,[2]!ACHIEV,MATCH(Q$11,$E$11:$Y$11,0)+2,FALSE)</f>
        <v>2.8854234614640095E-2</v>
      </c>
      <c r="R20" s="477">
        <f>VLOOKUP($C$20,[2]!ACHIEV,MATCH(R$11,$E$11:$Y$11,0)+2,FALSE)</f>
        <v>1.4773964924806759E-2</v>
      </c>
      <c r="S20" s="477">
        <f>VLOOKUP($C$20,[2]!ACHIEV,MATCH(S$11,$E$11:$Y$11,0)+2,FALSE)</f>
        <v>6.3385343681182649E-3</v>
      </c>
      <c r="T20" s="477">
        <f>VLOOKUP($C$20,[2]!ACHIEV,MATCH(T$11,$E$11:$Y$11,0)+2,FALSE)</f>
        <v>2.2268577196306039E-3</v>
      </c>
      <c r="U20" s="477">
        <f>VLOOKUP($C$20,[2]!ACHIEV,MATCH(U$11,$E$11:$Y$11,0)+2,FALSE)</f>
        <v>6.2471001963848583E-4</v>
      </c>
      <c r="V20" s="477">
        <f>VLOOKUP($C$20,[2]!ACHIEV,MATCH(V$11,$E$11:$Y$11,0)+2,FALSE)</f>
        <v>1.3615841889635938E-4</v>
      </c>
      <c r="W20" s="477">
        <f>VLOOKUP($C$20,[2]!ACHIEV,MATCH(W$11,$E$11:$Y$11,0)+2,FALSE)</f>
        <v>2.2380636622298944E-5</v>
      </c>
      <c r="X20" s="477">
        <f>VLOOKUP($C$20,[2]!ACHIEV,MATCH(X$11,$E$11:$Y$11,0)+2,FALSE)</f>
        <v>2.68643837586513E-6</v>
      </c>
      <c r="Y20" s="487"/>
      <c r="Z20" s="583">
        <v>0.85</v>
      </c>
    </row>
    <row r="21" spans="1:31">
      <c r="A21" s="478">
        <f>VLOOKUP($C$20,[2]!APPLIC,MATCH(C21,BLDGTYP,0)+1,FALSE)</f>
        <v>1</v>
      </c>
      <c r="B21" s="480" t="s">
        <v>1147</v>
      </c>
      <c r="C21" s="476" t="s">
        <v>1148</v>
      </c>
      <c r="D21" s="476"/>
      <c r="E21" s="470">
        <f>E15*$A21*E$20*$Z$20</f>
        <v>57.183003919515158</v>
      </c>
      <c r="F21" s="470">
        <f t="shared" ref="F21:X21" si="4">F15*$A21*F$20*$Z$20</f>
        <v>70.589912213014316</v>
      </c>
      <c r="G21" s="470">
        <f t="shared" si="4"/>
        <v>86.841903091161115</v>
      </c>
      <c r="H21" s="470">
        <f t="shared" si="4"/>
        <v>101.32729075095979</v>
      </c>
      <c r="I21" s="470">
        <f t="shared" si="4"/>
        <v>116.14114078030208</v>
      </c>
      <c r="J21" s="470">
        <f t="shared" si="4"/>
        <v>136.40793926625688</v>
      </c>
      <c r="K21" s="470">
        <f t="shared" si="4"/>
        <v>150.28827850534867</v>
      </c>
      <c r="L21" s="470">
        <f t="shared" si="4"/>
        <v>154.15168752365818</v>
      </c>
      <c r="M21" s="470">
        <f t="shared" si="4"/>
        <v>145.82046836698467</v>
      </c>
      <c r="N21" s="470">
        <f t="shared" si="4"/>
        <v>125.79239517373942</v>
      </c>
      <c r="O21" s="470">
        <f t="shared" si="4"/>
        <v>97.672252476754963</v>
      </c>
      <c r="P21" s="470">
        <f t="shared" si="4"/>
        <v>67.246135694277427</v>
      </c>
      <c r="Q21" s="470">
        <f t="shared" si="4"/>
        <v>40.364409971558821</v>
      </c>
      <c r="R21" s="470">
        <f t="shared" si="4"/>
        <v>20.72812110066992</v>
      </c>
      <c r="S21" s="470">
        <f t="shared" si="4"/>
        <v>8.9180149416827614</v>
      </c>
      <c r="T21" s="470">
        <f t="shared" si="4"/>
        <v>3.141484181394405</v>
      </c>
      <c r="U21" s="470">
        <f t="shared" si="4"/>
        <v>0.88355654319687893</v>
      </c>
      <c r="V21" s="470">
        <f t="shared" si="4"/>
        <v>0.19304900029972433</v>
      </c>
      <c r="W21" s="470">
        <f t="shared" si="4"/>
        <v>3.1806750494494739E-2</v>
      </c>
      <c r="X21" s="470">
        <f t="shared" si="4"/>
        <v>3.8265800941846462E-3</v>
      </c>
      <c r="Y21" s="484"/>
      <c r="Z21" s="460">
        <f>X21</f>
        <v>3.8265800941846462E-3</v>
      </c>
      <c r="AA21" s="240" t="s">
        <v>1229</v>
      </c>
    </row>
    <row r="23" spans="1:31">
      <c r="C23" s="475"/>
      <c r="D23" s="475"/>
      <c r="E23" s="470"/>
      <c r="F23" s="470"/>
      <c r="G23" s="470"/>
      <c r="H23" s="470"/>
      <c r="I23" s="470"/>
      <c r="J23" s="470"/>
      <c r="K23" s="470"/>
      <c r="L23" s="470"/>
      <c r="M23" s="470"/>
      <c r="N23" s="470"/>
      <c r="O23" s="470"/>
      <c r="P23" s="470"/>
      <c r="Q23" s="470"/>
      <c r="R23" s="470"/>
      <c r="S23" s="470"/>
      <c r="T23" s="470"/>
      <c r="U23" s="470"/>
      <c r="V23" s="470"/>
      <c r="W23" s="470"/>
      <c r="X23" s="470"/>
      <c r="Y23" s="484"/>
    </row>
    <row r="24" spans="1:31">
      <c r="E24" s="474"/>
      <c r="F24" s="474"/>
      <c r="G24" s="474"/>
      <c r="H24" s="474"/>
      <c r="I24" s="474"/>
      <c r="J24" s="474"/>
      <c r="K24" s="474"/>
      <c r="L24" s="474"/>
      <c r="M24" s="474"/>
      <c r="N24" s="474"/>
      <c r="O24" s="474"/>
      <c r="P24" s="474"/>
      <c r="Q24" s="474"/>
      <c r="R24" s="474"/>
      <c r="S24" s="474"/>
      <c r="T24" s="474"/>
      <c r="U24" s="474"/>
      <c r="V24" s="474"/>
      <c r="W24" s="474"/>
      <c r="X24" s="474"/>
      <c r="Y24" s="488"/>
    </row>
    <row r="25" spans="1:31">
      <c r="E25" s="474"/>
      <c r="F25" s="474"/>
      <c r="G25" s="474"/>
      <c r="H25" s="474"/>
      <c r="I25" s="474"/>
      <c r="J25" s="474"/>
      <c r="K25" s="474"/>
      <c r="L25" s="474"/>
      <c r="M25" s="474"/>
      <c r="N25" s="474"/>
      <c r="O25" s="474"/>
      <c r="P25" s="474"/>
      <c r="Q25" s="474"/>
      <c r="R25" s="474"/>
      <c r="S25" s="474"/>
      <c r="T25" s="474"/>
      <c r="U25" s="474"/>
      <c r="V25" s="474"/>
      <c r="W25" s="474"/>
      <c r="X25" s="474"/>
      <c r="Y25" s="488"/>
    </row>
    <row r="26" spans="1:31" customFormat="1">
      <c r="A26" t="s">
        <v>1149</v>
      </c>
      <c r="C26" s="608" t="s">
        <v>1311</v>
      </c>
      <c r="D26" s="593"/>
      <c r="E26" s="95" t="s">
        <v>1046</v>
      </c>
      <c r="Y26" s="98"/>
      <c r="Z26" s="98"/>
      <c r="AA26" s="98"/>
      <c r="AE26" s="240"/>
    </row>
    <row r="27" spans="1:31" customFormat="1">
      <c r="A27" s="594"/>
      <c r="B27" s="479" t="s">
        <v>722</v>
      </c>
      <c r="C27" s="595">
        <v>1</v>
      </c>
      <c r="D27" s="595"/>
      <c r="E27" s="479">
        <f>E11</f>
        <v>2016</v>
      </c>
      <c r="F27" s="479">
        <f t="shared" ref="F27:X27" si="5">F11</f>
        <v>2017</v>
      </c>
      <c r="G27" s="479">
        <f t="shared" si="5"/>
        <v>2018</v>
      </c>
      <c r="H27" s="479">
        <f t="shared" si="5"/>
        <v>2019</v>
      </c>
      <c r="I27" s="479">
        <f t="shared" si="5"/>
        <v>2020</v>
      </c>
      <c r="J27" s="479">
        <f t="shared" si="5"/>
        <v>2021</v>
      </c>
      <c r="K27" s="479">
        <f t="shared" si="5"/>
        <v>2022</v>
      </c>
      <c r="L27" s="479">
        <f t="shared" si="5"/>
        <v>2023</v>
      </c>
      <c r="M27" s="479">
        <f t="shared" si="5"/>
        <v>2024</v>
      </c>
      <c r="N27" s="479">
        <f t="shared" si="5"/>
        <v>2025</v>
      </c>
      <c r="O27" s="479">
        <f t="shared" si="5"/>
        <v>2026</v>
      </c>
      <c r="P27" s="479">
        <f t="shared" si="5"/>
        <v>2027</v>
      </c>
      <c r="Q27" s="479">
        <f t="shared" si="5"/>
        <v>2028</v>
      </c>
      <c r="R27" s="479">
        <f t="shared" si="5"/>
        <v>2029</v>
      </c>
      <c r="S27" s="479">
        <f t="shared" si="5"/>
        <v>2030</v>
      </c>
      <c r="T27" s="479">
        <f t="shared" si="5"/>
        <v>2031</v>
      </c>
      <c r="U27" s="479">
        <f t="shared" si="5"/>
        <v>2032</v>
      </c>
      <c r="V27" s="479">
        <f t="shared" si="5"/>
        <v>2033</v>
      </c>
      <c r="W27" s="479">
        <f t="shared" si="5"/>
        <v>2034</v>
      </c>
      <c r="X27" s="479">
        <f t="shared" si="5"/>
        <v>2035</v>
      </c>
      <c r="Y27" s="609" t="s">
        <v>1310</v>
      </c>
      <c r="Z27" s="98"/>
      <c r="AA27" s="98"/>
      <c r="AB27" s="231"/>
    </row>
    <row r="28" spans="1:31" customFormat="1" ht="25.5">
      <c r="A28" s="594" t="s">
        <v>787</v>
      </c>
      <c r="B28" s="594" t="s">
        <v>1227</v>
      </c>
      <c r="C28" s="594" t="str">
        <f>$C$8</f>
        <v>Municipal Sewage Treatment-Retro</v>
      </c>
      <c r="D28" s="594"/>
      <c r="E28" s="596" t="str">
        <f>TEXT(E27,"0000")</f>
        <v>2016</v>
      </c>
      <c r="F28" s="596" t="str">
        <f t="shared" ref="F28:X28" si="6">TEXT(F27,"0000")</f>
        <v>2017</v>
      </c>
      <c r="G28" s="596" t="str">
        <f t="shared" si="6"/>
        <v>2018</v>
      </c>
      <c r="H28" s="596" t="str">
        <f t="shared" si="6"/>
        <v>2019</v>
      </c>
      <c r="I28" s="596" t="str">
        <f t="shared" si="6"/>
        <v>2020</v>
      </c>
      <c r="J28" s="596" t="str">
        <f t="shared" si="6"/>
        <v>2021</v>
      </c>
      <c r="K28" s="596" t="str">
        <f t="shared" si="6"/>
        <v>2022</v>
      </c>
      <c r="L28" s="596" t="str">
        <f t="shared" si="6"/>
        <v>2023</v>
      </c>
      <c r="M28" s="596" t="str">
        <f t="shared" si="6"/>
        <v>2024</v>
      </c>
      <c r="N28" s="596" t="str">
        <f t="shared" si="6"/>
        <v>2025</v>
      </c>
      <c r="O28" s="596" t="str">
        <f t="shared" si="6"/>
        <v>2026</v>
      </c>
      <c r="P28" s="596" t="str">
        <f t="shared" si="6"/>
        <v>2027</v>
      </c>
      <c r="Q28" s="596" t="str">
        <f t="shared" si="6"/>
        <v>2028</v>
      </c>
      <c r="R28" s="596" t="str">
        <f t="shared" si="6"/>
        <v>2029</v>
      </c>
      <c r="S28" s="596" t="str">
        <f t="shared" si="6"/>
        <v>2030</v>
      </c>
      <c r="T28" s="596" t="str">
        <f t="shared" si="6"/>
        <v>2031</v>
      </c>
      <c r="U28" s="596" t="str">
        <f t="shared" si="6"/>
        <v>2032</v>
      </c>
      <c r="V28" s="596" t="str">
        <f t="shared" si="6"/>
        <v>2033</v>
      </c>
      <c r="W28" s="596" t="str">
        <f t="shared" si="6"/>
        <v>2034</v>
      </c>
      <c r="X28" s="596" t="str">
        <f t="shared" si="6"/>
        <v>2035</v>
      </c>
      <c r="Y28" s="609" t="s">
        <v>1310</v>
      </c>
      <c r="Z28" s="98"/>
      <c r="AA28" s="617" t="s">
        <v>1306</v>
      </c>
      <c r="AB28" s="618" t="s">
        <v>1306</v>
      </c>
      <c r="AE28" s="240"/>
    </row>
    <row r="29" spans="1:31" customFormat="1">
      <c r="A29" s="597">
        <f>'Measure InputOutput_Out'!C4</f>
        <v>42563.483804441617</v>
      </c>
      <c r="B29" s="598">
        <f>'Measure InputOutput_Out'!K4</f>
        <v>-9.7450143525555504</v>
      </c>
      <c r="C29" t="str">
        <f>'Measure InputOutput_Out'!A4</f>
        <v>Optimize Municipal Sewage ; &gt;10 MGD Design Capacity</v>
      </c>
      <c r="E29" s="599">
        <f t="shared" ref="E29:N31" si="7">E$21*$C$27*$A29/8760/1000</f>
        <v>0.27784336315269464</v>
      </c>
      <c r="F29" s="599">
        <f t="shared" si="7"/>
        <v>0.3429854549355697</v>
      </c>
      <c r="G29" s="599">
        <f t="shared" si="7"/>
        <v>0.42195136253053933</v>
      </c>
      <c r="H29" s="599">
        <f t="shared" si="7"/>
        <v>0.49233361858749131</v>
      </c>
      <c r="I29" s="599">
        <f t="shared" si="7"/>
        <v>0.56431182244654798</v>
      </c>
      <c r="J29" s="599">
        <f t="shared" si="7"/>
        <v>0.66278505864801152</v>
      </c>
      <c r="K29" s="599">
        <f t="shared" si="7"/>
        <v>0.73022747810043598</v>
      </c>
      <c r="L29" s="599">
        <f t="shared" si="7"/>
        <v>0.74899918439960844</v>
      </c>
      <c r="M29" s="599">
        <f t="shared" si="7"/>
        <v>0.70851908033039313</v>
      </c>
      <c r="N29" s="599">
        <f t="shared" si="7"/>
        <v>0.61120577336750892</v>
      </c>
      <c r="O29" s="599">
        <f t="shared" ref="O29:X31" si="8">O$21*$C$27*$A29/8760/1000</f>
        <v>0.4745743534746224</v>
      </c>
      <c r="P29" s="599">
        <f t="shared" si="8"/>
        <v>0.32673856250395672</v>
      </c>
      <c r="Q29" s="599">
        <f t="shared" si="8"/>
        <v>0.19612441896121982</v>
      </c>
      <c r="R29" s="599">
        <f t="shared" si="8"/>
        <v>0.10071473136585259</v>
      </c>
      <c r="S29" s="599">
        <f t="shared" si="8"/>
        <v>4.3331253942703485E-2</v>
      </c>
      <c r="T29" s="599">
        <f t="shared" si="8"/>
        <v>1.5263985282727202E-2</v>
      </c>
      <c r="U29" s="599">
        <f t="shared" si="8"/>
        <v>4.2930644539576224E-3</v>
      </c>
      <c r="V29" s="599">
        <f t="shared" si="8"/>
        <v>9.379952052192877E-4</v>
      </c>
      <c r="W29" s="599">
        <f t="shared" si="8"/>
        <v>1.5454407643200255E-4</v>
      </c>
      <c r="X29" s="599">
        <f t="shared" si="8"/>
        <v>1.8592760258587544E-5</v>
      </c>
      <c r="Y29" s="601">
        <f>AB29</f>
        <v>6.9209703172885932</v>
      </c>
      <c r="Z29" s="615"/>
      <c r="AA29" s="616">
        <f>$Z$21*A29/8760000</f>
        <v>1.8592760258587541E-5</v>
      </c>
      <c r="AB29" s="455">
        <f>$X$15*A29/8760000*$Z$20</f>
        <v>6.9209703172885932</v>
      </c>
    </row>
    <row r="30" spans="1:31" customFormat="1">
      <c r="A30" s="597">
        <f>'Measure InputOutput_Out'!C5</f>
        <v>100057.53810026644</v>
      </c>
      <c r="B30" s="598">
        <f>'Measure InputOutput_Out'!K5</f>
        <v>29.613549308799605</v>
      </c>
      <c r="C30" t="str">
        <f>'Measure InputOutput_Out'!A5</f>
        <v>Optimize Municipal Sewage ; &lt;1 MGD Design Capacity</v>
      </c>
      <c r="E30" s="599">
        <f t="shared" si="7"/>
        <v>0.65314961111467729</v>
      </c>
      <c r="F30" s="599">
        <f t="shared" si="7"/>
        <v>0.80628456972010754</v>
      </c>
      <c r="G30" s="599">
        <f t="shared" si="7"/>
        <v>0.99191632731090174</v>
      </c>
      <c r="H30" s="599">
        <f t="shared" si="7"/>
        <v>1.1573697779578693</v>
      </c>
      <c r="I30" s="599">
        <f t="shared" si="7"/>
        <v>1.3265749564650093</v>
      </c>
      <c r="J30" s="599">
        <f t="shared" si="7"/>
        <v>1.558064221496841</v>
      </c>
      <c r="K30" s="599">
        <f t="shared" si="7"/>
        <v>1.7166067525767554</v>
      </c>
      <c r="L30" s="599">
        <f t="shared" si="7"/>
        <v>1.7607349711893601</v>
      </c>
      <c r="M30" s="599">
        <f t="shared" si="7"/>
        <v>1.6655750079256011</v>
      </c>
      <c r="N30" s="599">
        <f t="shared" si="7"/>
        <v>1.4368124854817583</v>
      </c>
      <c r="O30" s="599">
        <f t="shared" si="8"/>
        <v>1.115621589444264</v>
      </c>
      <c r="P30" s="599">
        <f t="shared" si="8"/>
        <v>0.76809164204632996</v>
      </c>
      <c r="Q30" s="599">
        <f t="shared" si="8"/>
        <v>0.46104606034520795</v>
      </c>
      <c r="R30" s="599">
        <f t="shared" si="8"/>
        <v>0.23675853502023025</v>
      </c>
      <c r="S30" s="599">
        <f t="shared" si="8"/>
        <v>0.10186239952125209</v>
      </c>
      <c r="T30" s="599">
        <f t="shared" si="8"/>
        <v>3.5882325704481161E-2</v>
      </c>
      <c r="U30" s="599">
        <f t="shared" si="8"/>
        <v>1.0092065352130298E-2</v>
      </c>
      <c r="V30" s="599">
        <f t="shared" si="8"/>
        <v>2.2050237103547962E-3</v>
      </c>
      <c r="W30" s="599">
        <f t="shared" si="8"/>
        <v>3.6329967459458623E-4</v>
      </c>
      <c r="X30" s="599">
        <f t="shared" si="8"/>
        <v>4.3707555201780973E-5</v>
      </c>
      <c r="Y30" s="601">
        <f t="shared" ref="Y30:Y31" si="9">AB30</f>
        <v>16.269703260066617</v>
      </c>
      <c r="Z30" s="615"/>
      <c r="AA30" s="616">
        <f t="shared" ref="AA30:AA32" si="10">$Z$21*A30/8760000</f>
        <v>4.370755520178098E-5</v>
      </c>
      <c r="AB30" s="455">
        <f t="shared" ref="AB30:AB31" si="11">$X$15*A30/8760000*$Z$20</f>
        <v>16.269703260066617</v>
      </c>
      <c r="AE30" s="240"/>
    </row>
    <row r="31" spans="1:31" customFormat="1">
      <c r="A31" s="597">
        <f>'Measure InputOutput_Out'!C6</f>
        <v>80807.37285016627</v>
      </c>
      <c r="B31" s="598">
        <f>'Measure InputOutput_Out'!K6</f>
        <v>39.77446296180814</v>
      </c>
      <c r="C31" t="str">
        <f>'Measure InputOutput_Out'!A6</f>
        <v>Optimize Municipal Sewage ; 1 to 10 MGD Design Capacity</v>
      </c>
      <c r="E31" s="599">
        <f t="shared" si="7"/>
        <v>0.52748953406584254</v>
      </c>
      <c r="F31" s="599">
        <f t="shared" si="7"/>
        <v>0.65116271183305396</v>
      </c>
      <c r="G31" s="599">
        <f t="shared" si="7"/>
        <v>0.8010805984138657</v>
      </c>
      <c r="H31" s="599">
        <f t="shared" si="7"/>
        <v>0.93470230178196478</v>
      </c>
      <c r="I31" s="599">
        <f t="shared" si="7"/>
        <v>1.0713539345065664</v>
      </c>
      <c r="J31" s="599">
        <f t="shared" si="7"/>
        <v>1.2583067589053945</v>
      </c>
      <c r="K31" s="599">
        <f t="shared" si="7"/>
        <v>1.3863471411177326</v>
      </c>
      <c r="L31" s="599">
        <f t="shared" si="7"/>
        <v>1.4219854896354533</v>
      </c>
      <c r="M31" s="599">
        <f t="shared" si="7"/>
        <v>1.3451334425247496</v>
      </c>
      <c r="N31" s="599">
        <f t="shared" si="7"/>
        <v>1.1603827601050021</v>
      </c>
      <c r="O31" s="599">
        <f t="shared" si="8"/>
        <v>0.9009860871009947</v>
      </c>
      <c r="P31" s="599">
        <f t="shared" si="8"/>
        <v>0.62031775796579347</v>
      </c>
      <c r="Q31" s="599">
        <f t="shared" si="8"/>
        <v>0.37234496877268525</v>
      </c>
      <c r="R31" s="599">
        <f t="shared" si="8"/>
        <v>0.19120833450516359</v>
      </c>
      <c r="S31" s="599">
        <f t="shared" si="8"/>
        <v>8.2264995259807391E-2</v>
      </c>
      <c r="T31" s="599">
        <f t="shared" si="8"/>
        <v>2.8978890816077289E-2</v>
      </c>
      <c r="U31" s="599">
        <f t="shared" si="8"/>
        <v>8.1504432671591596E-3</v>
      </c>
      <c r="V31" s="599">
        <f t="shared" si="8"/>
        <v>1.7807970942433429E-3</v>
      </c>
      <c r="W31" s="599">
        <f t="shared" si="8"/>
        <v>2.9340410346585013E-4</v>
      </c>
      <c r="X31" s="599">
        <f t="shared" si="8"/>
        <v>3.5298616941986653E-5</v>
      </c>
      <c r="Y31" s="601">
        <f t="shared" si="9"/>
        <v>13.139559522045328</v>
      </c>
      <c r="Z31" s="615"/>
      <c r="AA31" s="616">
        <f t="shared" si="10"/>
        <v>3.5298616941986653E-5</v>
      </c>
      <c r="AB31" s="455">
        <f t="shared" si="11"/>
        <v>13.139559522045328</v>
      </c>
    </row>
    <row r="32" spans="1:31" customFormat="1">
      <c r="E32" s="599"/>
      <c r="F32" s="599"/>
      <c r="G32" s="599"/>
      <c r="H32" s="599"/>
      <c r="I32" s="599"/>
      <c r="J32" s="599"/>
      <c r="K32" s="599"/>
      <c r="L32" s="599"/>
      <c r="M32" s="599"/>
      <c r="N32" s="599"/>
      <c r="O32" s="599"/>
      <c r="P32" s="599"/>
      <c r="Q32" s="599"/>
      <c r="R32" s="599"/>
      <c r="S32" s="599"/>
      <c r="T32" s="599"/>
      <c r="U32" s="599"/>
      <c r="V32" s="599"/>
      <c r="W32" s="599"/>
      <c r="X32" s="599"/>
      <c r="Y32" s="98"/>
      <c r="Z32" s="615"/>
      <c r="AA32" s="616">
        <f t="shared" si="10"/>
        <v>0</v>
      </c>
    </row>
    <row r="33" spans="1:30" customFormat="1">
      <c r="B33" s="600"/>
      <c r="C33" t="s">
        <v>1228</v>
      </c>
      <c r="E33" s="231">
        <f t="shared" ref="E33:X33" si="12">SUM(E29:E31)</f>
        <v>1.4584825083332145</v>
      </c>
      <c r="F33" s="231">
        <f t="shared" si="12"/>
        <v>1.8004327364887311</v>
      </c>
      <c r="G33" s="231">
        <f t="shared" si="12"/>
        <v>2.2149482882553069</v>
      </c>
      <c r="H33" s="231">
        <f t="shared" si="12"/>
        <v>2.5844056983273256</v>
      </c>
      <c r="I33" s="231">
        <f t="shared" si="12"/>
        <v>2.9622407134181237</v>
      </c>
      <c r="J33" s="231">
        <f t="shared" si="12"/>
        <v>3.4791560390502472</v>
      </c>
      <c r="K33" s="231">
        <f t="shared" si="12"/>
        <v>3.8331813717949244</v>
      </c>
      <c r="L33" s="231">
        <f t="shared" si="12"/>
        <v>3.9317196452244216</v>
      </c>
      <c r="M33" s="231">
        <f t="shared" si="12"/>
        <v>3.7192275307807439</v>
      </c>
      <c r="N33" s="231">
        <f t="shared" si="12"/>
        <v>3.2084010189542695</v>
      </c>
      <c r="O33" s="231">
        <f t="shared" si="12"/>
        <v>2.491182030019881</v>
      </c>
      <c r="P33" s="231">
        <f t="shared" si="12"/>
        <v>1.7151479625160801</v>
      </c>
      <c r="Q33" s="231">
        <f t="shared" si="12"/>
        <v>1.0295154480791131</v>
      </c>
      <c r="R33" s="231">
        <f t="shared" si="12"/>
        <v>0.52868160089124638</v>
      </c>
      <c r="S33" s="231">
        <f t="shared" si="12"/>
        <v>0.22745864872376298</v>
      </c>
      <c r="T33" s="231">
        <f t="shared" si="12"/>
        <v>8.0125201803285653E-2</v>
      </c>
      <c r="U33" s="231">
        <f t="shared" si="12"/>
        <v>2.2535573073247078E-2</v>
      </c>
      <c r="V33" s="231">
        <f t="shared" si="12"/>
        <v>4.9238160098174274E-3</v>
      </c>
      <c r="W33" s="231">
        <f t="shared" si="12"/>
        <v>8.1124785449243901E-4</v>
      </c>
      <c r="X33" s="231">
        <f t="shared" si="12"/>
        <v>9.7598932402355177E-5</v>
      </c>
      <c r="Y33" s="601">
        <f>SUM(Y29:Y31)</f>
        <v>36.330233099400537</v>
      </c>
      <c r="Z33" s="98"/>
      <c r="AA33" s="602"/>
    </row>
    <row r="34" spans="1:30" customFormat="1">
      <c r="B34" s="598"/>
      <c r="E34" s="231"/>
      <c r="F34" s="231"/>
      <c r="G34" s="231"/>
      <c r="H34" s="231"/>
      <c r="I34" s="231"/>
      <c r="J34" s="231"/>
      <c r="K34" s="231"/>
      <c r="L34" s="231"/>
      <c r="M34" s="231"/>
      <c r="N34" s="231"/>
      <c r="O34" s="231"/>
      <c r="P34" s="231"/>
      <c r="Q34" s="231"/>
      <c r="R34" s="231"/>
      <c r="S34" s="231"/>
      <c r="T34" s="231"/>
      <c r="U34" s="231"/>
      <c r="V34" s="231"/>
      <c r="W34" s="231"/>
      <c r="X34" s="231"/>
      <c r="Y34" s="601"/>
      <c r="Z34" s="98"/>
      <c r="AA34" s="602"/>
    </row>
    <row r="35" spans="1:30" customFormat="1">
      <c r="B35" s="598"/>
      <c r="E35" s="231"/>
      <c r="F35" s="231"/>
      <c r="G35" s="231"/>
      <c r="H35" s="231"/>
      <c r="I35" s="231"/>
      <c r="J35" s="231"/>
      <c r="K35" s="231"/>
      <c r="L35" s="231"/>
      <c r="M35" s="231"/>
      <c r="N35" s="231"/>
      <c r="O35" s="231"/>
      <c r="P35" s="231"/>
      <c r="Q35" s="231"/>
      <c r="R35" s="231"/>
      <c r="S35" s="231"/>
      <c r="T35" s="231"/>
      <c r="U35" s="231"/>
      <c r="V35" s="231"/>
      <c r="W35" s="231"/>
      <c r="X35" s="231"/>
      <c r="Y35" s="601"/>
      <c r="Z35" s="98"/>
      <c r="AA35" s="602"/>
    </row>
    <row r="36" spans="1:30" customFormat="1">
      <c r="A36" s="95" t="s">
        <v>1312</v>
      </c>
    </row>
    <row r="37" spans="1:30">
      <c r="A37"/>
      <c r="B37"/>
      <c r="C37"/>
      <c r="D37"/>
      <c r="E37" s="479">
        <f>E11</f>
        <v>2016</v>
      </c>
      <c r="F37" s="479">
        <f t="shared" ref="F37:X37" si="13">F11</f>
        <v>2017</v>
      </c>
      <c r="G37" s="479">
        <f t="shared" si="13"/>
        <v>2018</v>
      </c>
      <c r="H37" s="479">
        <f t="shared" si="13"/>
        <v>2019</v>
      </c>
      <c r="I37" s="479">
        <f t="shared" si="13"/>
        <v>2020</v>
      </c>
      <c r="J37" s="479">
        <f t="shared" si="13"/>
        <v>2021</v>
      </c>
      <c r="K37" s="479">
        <f t="shared" si="13"/>
        <v>2022</v>
      </c>
      <c r="L37" s="479">
        <f t="shared" si="13"/>
        <v>2023</v>
      </c>
      <c r="M37" s="479">
        <f t="shared" si="13"/>
        <v>2024</v>
      </c>
      <c r="N37" s="479">
        <f t="shared" si="13"/>
        <v>2025</v>
      </c>
      <c r="O37" s="479">
        <f t="shared" si="13"/>
        <v>2026</v>
      </c>
      <c r="P37" s="479">
        <f t="shared" si="13"/>
        <v>2027</v>
      </c>
      <c r="Q37" s="479">
        <f t="shared" si="13"/>
        <v>2028</v>
      </c>
      <c r="R37" s="479">
        <f t="shared" si="13"/>
        <v>2029</v>
      </c>
      <c r="S37" s="479">
        <f t="shared" si="13"/>
        <v>2030</v>
      </c>
      <c r="T37" s="479">
        <f t="shared" si="13"/>
        <v>2031</v>
      </c>
      <c r="U37" s="479">
        <f t="shared" si="13"/>
        <v>2032</v>
      </c>
      <c r="V37" s="479">
        <f t="shared" si="13"/>
        <v>2033</v>
      </c>
      <c r="W37" s="479">
        <f t="shared" si="13"/>
        <v>2034</v>
      </c>
      <c r="X37" s="479">
        <f t="shared" si="13"/>
        <v>2035</v>
      </c>
      <c r="Y37" s="609" t="s">
        <v>1310</v>
      </c>
      <c r="Z37"/>
      <c r="AA37"/>
      <c r="AB37"/>
      <c r="AC37"/>
      <c r="AD37"/>
    </row>
    <row r="38" spans="1:30">
      <c r="A38"/>
      <c r="B38" s="603" t="s">
        <v>1227</v>
      </c>
      <c r="C38" s="603" t="s">
        <v>1227</v>
      </c>
      <c r="D38" s="603"/>
      <c r="E38" s="596" t="str">
        <f>TEXT(E37,"0000")</f>
        <v>2016</v>
      </c>
      <c r="F38" s="596" t="str">
        <f t="shared" ref="F38:X38" si="14">TEXT(F37,"0000")</f>
        <v>2017</v>
      </c>
      <c r="G38" s="596" t="str">
        <f t="shared" si="14"/>
        <v>2018</v>
      </c>
      <c r="H38" s="596" t="str">
        <f t="shared" si="14"/>
        <v>2019</v>
      </c>
      <c r="I38" s="596" t="str">
        <f t="shared" si="14"/>
        <v>2020</v>
      </c>
      <c r="J38" s="596" t="str">
        <f t="shared" si="14"/>
        <v>2021</v>
      </c>
      <c r="K38" s="596" t="str">
        <f t="shared" si="14"/>
        <v>2022</v>
      </c>
      <c r="L38" s="596" t="str">
        <f t="shared" si="14"/>
        <v>2023</v>
      </c>
      <c r="M38" s="596" t="str">
        <f t="shared" si="14"/>
        <v>2024</v>
      </c>
      <c r="N38" s="596" t="str">
        <f t="shared" si="14"/>
        <v>2025</v>
      </c>
      <c r="O38" s="596" t="str">
        <f t="shared" si="14"/>
        <v>2026</v>
      </c>
      <c r="P38" s="596" t="str">
        <f t="shared" si="14"/>
        <v>2027</v>
      </c>
      <c r="Q38" s="596" t="str">
        <f t="shared" si="14"/>
        <v>2028</v>
      </c>
      <c r="R38" s="596" t="str">
        <f t="shared" si="14"/>
        <v>2029</v>
      </c>
      <c r="S38" s="596" t="str">
        <f t="shared" si="14"/>
        <v>2030</v>
      </c>
      <c r="T38" s="596" t="str">
        <f t="shared" si="14"/>
        <v>2031</v>
      </c>
      <c r="U38" s="596" t="str">
        <f t="shared" si="14"/>
        <v>2032</v>
      </c>
      <c r="V38" s="596" t="str">
        <f t="shared" si="14"/>
        <v>2033</v>
      </c>
      <c r="W38" s="596" t="str">
        <f t="shared" si="14"/>
        <v>2034</v>
      </c>
      <c r="X38" s="596" t="str">
        <f t="shared" si="14"/>
        <v>2035</v>
      </c>
      <c r="Y38" s="609" t="s">
        <v>1310</v>
      </c>
      <c r="Z38"/>
      <c r="AA38"/>
      <c r="AB38"/>
      <c r="AC38"/>
      <c r="AD38"/>
    </row>
    <row r="39" spans="1:30">
      <c r="A39" t="s">
        <v>764</v>
      </c>
      <c r="B39" s="604" t="s">
        <v>1230</v>
      </c>
      <c r="C39" s="604" t="s">
        <v>1231</v>
      </c>
      <c r="D39" s="604"/>
      <c r="E39" s="605">
        <f>DSUM($B$28:$Y$31,E$38,$B$38:$C39)</f>
        <v>0.27784336315269464</v>
      </c>
      <c r="F39" s="605">
        <f>DSUM($B$28:$Y$31,F$38,$B$38:$C39)</f>
        <v>0.3429854549355697</v>
      </c>
      <c r="G39" s="605">
        <f>DSUM($B$28:$Y$31,G$38,$B$38:$C39)</f>
        <v>0.42195136253053933</v>
      </c>
      <c r="H39" s="605">
        <f>DSUM($B$28:$Y$31,H$38,$B$38:$C39)</f>
        <v>0.49233361858749131</v>
      </c>
      <c r="I39" s="605">
        <f>DSUM($B$28:$Y$31,I$38,$B$38:$C39)</f>
        <v>0.56431182244654798</v>
      </c>
      <c r="J39" s="605">
        <f>DSUM($B$28:$Y$31,J$38,$B$38:$C39)</f>
        <v>0.66278505864801152</v>
      </c>
      <c r="K39" s="605">
        <f>DSUM($B$28:$Y$31,K$38,$B$38:$C39)</f>
        <v>0.73022747810043598</v>
      </c>
      <c r="L39" s="605">
        <f>DSUM($B$28:$Y$31,L$38,$B$38:$C39)</f>
        <v>0.74899918439960844</v>
      </c>
      <c r="M39" s="605">
        <f>DSUM($B$28:$Y$31,M$38,$B$38:$C39)</f>
        <v>0.70851908033039313</v>
      </c>
      <c r="N39" s="605">
        <f>DSUM($B$28:$Y$31,N$38,$B$38:$C39)</f>
        <v>0.61120577336750892</v>
      </c>
      <c r="O39" s="605">
        <f>DSUM($B$28:$Y$31,O$38,$B$38:$C39)</f>
        <v>0.4745743534746224</v>
      </c>
      <c r="P39" s="605">
        <f>DSUM($B$28:$Y$31,P$38,$B$38:$C39)</f>
        <v>0.32673856250395672</v>
      </c>
      <c r="Q39" s="605">
        <f>DSUM($B$28:$Y$31,Q$38,$B$38:$C39)</f>
        <v>0.19612441896121982</v>
      </c>
      <c r="R39" s="605">
        <f>DSUM($B$28:$Y$31,R$38,$B$38:$C39)</f>
        <v>0.10071473136585259</v>
      </c>
      <c r="S39" s="605">
        <f>DSUM($B$28:$Y$31,S$38,$B$38:$C39)</f>
        <v>4.3331253942703485E-2</v>
      </c>
      <c r="T39" s="605">
        <f>DSUM($B$28:$Y$31,T$38,$B$38:$C39)</f>
        <v>1.5263985282727202E-2</v>
      </c>
      <c r="U39" s="605">
        <f>DSUM($B$28:$Y$31,U$38,$B$38:$C39)</f>
        <v>4.2930644539576224E-3</v>
      </c>
      <c r="V39" s="605">
        <f>DSUM($B$28:$Y$31,V$38,$B$38:$C39)</f>
        <v>9.379952052192877E-4</v>
      </c>
      <c r="W39" s="605">
        <f>DSUM($B$28:$Y$31,W$38,$B$38:$C39)</f>
        <v>1.5454407643200255E-4</v>
      </c>
      <c r="X39" s="605">
        <f>DSUM($B$28:$Y$31,X$38,$B$38:$C39)</f>
        <v>1.8592760258587544E-5</v>
      </c>
      <c r="Y39" s="605">
        <f>DSUM($B$28:$Y$31,Y$38,$B$38:$C39)</f>
        <v>6.9209703172885932</v>
      </c>
      <c r="Z39"/>
      <c r="AA39"/>
      <c r="AB39"/>
      <c r="AC39"/>
      <c r="AD39"/>
    </row>
    <row r="40" spans="1:30">
      <c r="A40" t="s">
        <v>765</v>
      </c>
      <c r="B40" s="604" t="s">
        <v>1232</v>
      </c>
      <c r="C40" s="604" t="s">
        <v>1233</v>
      </c>
      <c r="D40" s="604"/>
      <c r="E40" s="605">
        <f>DSUM($B$28:$Y$31,E$38,$B$38:$C40)</f>
        <v>0.27784336315269464</v>
      </c>
      <c r="F40" s="605">
        <f>DSUM($B$28:$Y$31,F$38,$B$38:$C40)</f>
        <v>0.3429854549355697</v>
      </c>
      <c r="G40" s="605">
        <f>DSUM($B$28:$Y$31,G$38,$B$38:$C40)</f>
        <v>0.42195136253053933</v>
      </c>
      <c r="H40" s="605">
        <f>DSUM($B$28:$Y$31,H$38,$B$38:$C40)</f>
        <v>0.49233361858749131</v>
      </c>
      <c r="I40" s="605">
        <f>DSUM($B$28:$Y$31,I$38,$B$38:$C40)</f>
        <v>0.56431182244654798</v>
      </c>
      <c r="J40" s="605">
        <f>DSUM($B$28:$Y$31,J$38,$B$38:$C40)</f>
        <v>0.66278505864801152</v>
      </c>
      <c r="K40" s="605">
        <f>DSUM($B$28:$Y$31,K$38,$B$38:$C40)</f>
        <v>0.73022747810043598</v>
      </c>
      <c r="L40" s="605">
        <f>DSUM($B$28:$Y$31,L$38,$B$38:$C40)</f>
        <v>0.74899918439960844</v>
      </c>
      <c r="M40" s="605">
        <f>DSUM($B$28:$Y$31,M$38,$B$38:$C40)</f>
        <v>0.70851908033039313</v>
      </c>
      <c r="N40" s="605">
        <f>DSUM($B$28:$Y$31,N$38,$B$38:$C40)</f>
        <v>0.61120577336750892</v>
      </c>
      <c r="O40" s="605">
        <f>DSUM($B$28:$Y$31,O$38,$B$38:$C40)</f>
        <v>0.4745743534746224</v>
      </c>
      <c r="P40" s="605">
        <f>DSUM($B$28:$Y$31,P$38,$B$38:$C40)</f>
        <v>0.32673856250395672</v>
      </c>
      <c r="Q40" s="605">
        <f>DSUM($B$28:$Y$31,Q$38,$B$38:$C40)</f>
        <v>0.19612441896121982</v>
      </c>
      <c r="R40" s="605">
        <f>DSUM($B$28:$Y$31,R$38,$B$38:$C40)</f>
        <v>0.10071473136585259</v>
      </c>
      <c r="S40" s="605">
        <f>DSUM($B$28:$Y$31,S$38,$B$38:$C40)</f>
        <v>4.3331253942703485E-2</v>
      </c>
      <c r="T40" s="605">
        <f>DSUM($B$28:$Y$31,T$38,$B$38:$C40)</f>
        <v>1.5263985282727202E-2</v>
      </c>
      <c r="U40" s="605">
        <f>DSUM($B$28:$Y$31,U$38,$B$38:$C40)</f>
        <v>4.2930644539576224E-3</v>
      </c>
      <c r="V40" s="605">
        <f>DSUM($B$28:$Y$31,V$38,$B$38:$C40)</f>
        <v>9.379952052192877E-4</v>
      </c>
      <c r="W40" s="605">
        <f>DSUM($B$28:$Y$31,W$38,$B$38:$C40)</f>
        <v>1.5454407643200255E-4</v>
      </c>
      <c r="X40" s="605">
        <f>DSUM($B$28:$Y$31,X$38,$B$38:$C40)</f>
        <v>1.8592760258587544E-5</v>
      </c>
      <c r="Y40" s="605">
        <f>DSUM($B$28:$Y$31,Y$38,$B$38:$C40)</f>
        <v>6.9209703172885932</v>
      </c>
      <c r="Z40"/>
      <c r="AA40"/>
      <c r="AB40"/>
      <c r="AC40"/>
      <c r="AD40"/>
    </row>
    <row r="41" spans="1:30">
      <c r="A41" t="s">
        <v>766</v>
      </c>
      <c r="B41" s="604" t="s">
        <v>1234</v>
      </c>
      <c r="C41" s="604" t="s">
        <v>1235</v>
      </c>
      <c r="D41" s="604"/>
      <c r="E41" s="605">
        <f>DSUM($B$28:$Y$31,E$38,$B$38:$C41)</f>
        <v>0.27784336315269464</v>
      </c>
      <c r="F41" s="605">
        <f>DSUM($B$28:$Y$31,F$38,$B$38:$C41)</f>
        <v>0.3429854549355697</v>
      </c>
      <c r="G41" s="605">
        <f>DSUM($B$28:$Y$31,G$38,$B$38:$C41)</f>
        <v>0.42195136253053933</v>
      </c>
      <c r="H41" s="605">
        <f>DSUM($B$28:$Y$31,H$38,$B$38:$C41)</f>
        <v>0.49233361858749131</v>
      </c>
      <c r="I41" s="605">
        <f>DSUM($B$28:$Y$31,I$38,$B$38:$C41)</f>
        <v>0.56431182244654798</v>
      </c>
      <c r="J41" s="605">
        <f>DSUM($B$28:$Y$31,J$38,$B$38:$C41)</f>
        <v>0.66278505864801152</v>
      </c>
      <c r="K41" s="605">
        <f>DSUM($B$28:$Y$31,K$38,$B$38:$C41)</f>
        <v>0.73022747810043598</v>
      </c>
      <c r="L41" s="605">
        <f>DSUM($B$28:$Y$31,L$38,$B$38:$C41)</f>
        <v>0.74899918439960844</v>
      </c>
      <c r="M41" s="605">
        <f>DSUM($B$28:$Y$31,M$38,$B$38:$C41)</f>
        <v>0.70851908033039313</v>
      </c>
      <c r="N41" s="605">
        <f>DSUM($B$28:$Y$31,N$38,$B$38:$C41)</f>
        <v>0.61120577336750892</v>
      </c>
      <c r="O41" s="605">
        <f>DSUM($B$28:$Y$31,O$38,$B$38:$C41)</f>
        <v>0.4745743534746224</v>
      </c>
      <c r="P41" s="605">
        <f>DSUM($B$28:$Y$31,P$38,$B$38:$C41)</f>
        <v>0.32673856250395672</v>
      </c>
      <c r="Q41" s="605">
        <f>DSUM($B$28:$Y$31,Q$38,$B$38:$C41)</f>
        <v>0.19612441896121982</v>
      </c>
      <c r="R41" s="605">
        <f>DSUM($B$28:$Y$31,R$38,$B$38:$C41)</f>
        <v>0.10071473136585259</v>
      </c>
      <c r="S41" s="605">
        <f>DSUM($B$28:$Y$31,S$38,$B$38:$C41)</f>
        <v>4.3331253942703485E-2</v>
      </c>
      <c r="T41" s="605">
        <f>DSUM($B$28:$Y$31,T$38,$B$38:$C41)</f>
        <v>1.5263985282727202E-2</v>
      </c>
      <c r="U41" s="605">
        <f>DSUM($B$28:$Y$31,U$38,$B$38:$C41)</f>
        <v>4.2930644539576224E-3</v>
      </c>
      <c r="V41" s="605">
        <f>DSUM($B$28:$Y$31,V$38,$B$38:$C41)</f>
        <v>9.379952052192877E-4</v>
      </c>
      <c r="W41" s="605">
        <f>DSUM($B$28:$Y$31,W$38,$B$38:$C41)</f>
        <v>1.5454407643200255E-4</v>
      </c>
      <c r="X41" s="605">
        <f>DSUM($B$28:$Y$31,X$38,$B$38:$C41)</f>
        <v>1.8592760258587544E-5</v>
      </c>
      <c r="Y41" s="605">
        <f>DSUM($B$28:$Y$31,Y$38,$B$38:$C41)</f>
        <v>6.9209703172885932</v>
      </c>
      <c r="Z41"/>
      <c r="AA41"/>
      <c r="AB41"/>
      <c r="AC41"/>
      <c r="AD41"/>
    </row>
    <row r="42" spans="1:30">
      <c r="A42" t="s">
        <v>767</v>
      </c>
      <c r="B42" s="604" t="s">
        <v>1236</v>
      </c>
      <c r="C42" s="604" t="s">
        <v>1237</v>
      </c>
      <c r="D42" s="604"/>
      <c r="E42" s="605">
        <f>DSUM($B$28:$Y$31,E$38,$B$38:$C42)</f>
        <v>0.93099297426737193</v>
      </c>
      <c r="F42" s="605">
        <f>DSUM($B$28:$Y$31,F$38,$B$38:$C42)</f>
        <v>1.1492700246556773</v>
      </c>
      <c r="G42" s="605">
        <f>DSUM($B$28:$Y$31,G$38,$B$38:$C42)</f>
        <v>1.4138676898414411</v>
      </c>
      <c r="H42" s="605">
        <f>DSUM($B$28:$Y$31,H$38,$B$38:$C42)</f>
        <v>1.6497033965453607</v>
      </c>
      <c r="I42" s="605">
        <f>DSUM($B$28:$Y$31,I$38,$B$38:$C42)</f>
        <v>1.8908867789115573</v>
      </c>
      <c r="J42" s="605">
        <f>DSUM($B$28:$Y$31,J$38,$B$38:$C42)</f>
        <v>2.2208492801448525</v>
      </c>
      <c r="K42" s="605">
        <f>DSUM($B$28:$Y$31,K$38,$B$38:$C42)</f>
        <v>2.4468342306771915</v>
      </c>
      <c r="L42" s="605">
        <f>DSUM($B$28:$Y$31,L$38,$B$38:$C42)</f>
        <v>2.5097341555889683</v>
      </c>
      <c r="M42" s="605">
        <f>DSUM($B$28:$Y$31,M$38,$B$38:$C42)</f>
        <v>2.374094088255994</v>
      </c>
      <c r="N42" s="605">
        <f>DSUM($B$28:$Y$31,N$38,$B$38:$C42)</f>
        <v>2.0480182588492672</v>
      </c>
      <c r="O42" s="605">
        <f>DSUM($B$28:$Y$31,O$38,$B$38:$C42)</f>
        <v>1.5901959429188866</v>
      </c>
      <c r="P42" s="605">
        <f>DSUM($B$28:$Y$31,P$38,$B$38:$C42)</f>
        <v>1.0948302045502867</v>
      </c>
      <c r="Q42" s="605">
        <f>DSUM($B$28:$Y$31,Q$38,$B$38:$C42)</f>
        <v>0.6571704793064278</v>
      </c>
      <c r="R42" s="605">
        <f>DSUM($B$28:$Y$31,R$38,$B$38:$C42)</f>
        <v>0.33747326638608283</v>
      </c>
      <c r="S42" s="605">
        <f>DSUM($B$28:$Y$31,S$38,$B$38:$C42)</f>
        <v>0.14519365346395557</v>
      </c>
      <c r="T42" s="605">
        <f>DSUM($B$28:$Y$31,T$38,$B$38:$C42)</f>
        <v>5.1146310987208364E-2</v>
      </c>
      <c r="U42" s="605">
        <f>DSUM($B$28:$Y$31,U$38,$B$38:$C42)</f>
        <v>1.438512980608792E-2</v>
      </c>
      <c r="V42" s="605">
        <f>DSUM($B$28:$Y$31,V$38,$B$38:$C42)</f>
        <v>3.143018915574084E-3</v>
      </c>
      <c r="W42" s="605">
        <f>DSUM($B$28:$Y$31,W$38,$B$38:$C42)</f>
        <v>5.1784375102658883E-4</v>
      </c>
      <c r="X42" s="605">
        <f>DSUM($B$28:$Y$31,X$38,$B$38:$C42)</f>
        <v>6.2300315460368517E-5</v>
      </c>
      <c r="Y42" s="605">
        <f>DSUM($B$28:$Y$31,Y$38,$B$38:$C42)</f>
        <v>23.190673577355209</v>
      </c>
      <c r="Z42"/>
      <c r="AA42"/>
      <c r="AB42"/>
      <c r="AC42"/>
      <c r="AD42"/>
    </row>
    <row r="43" spans="1:30">
      <c r="A43" t="s">
        <v>768</v>
      </c>
      <c r="B43" s="604" t="s">
        <v>1238</v>
      </c>
      <c r="C43" s="604" t="s">
        <v>1239</v>
      </c>
      <c r="D43" s="604"/>
      <c r="E43" s="605">
        <f>DSUM($B$28:$Y$31,E$38,$B$38:$C43)</f>
        <v>1.4584825083332145</v>
      </c>
      <c r="F43" s="605">
        <f>DSUM($B$28:$Y$31,F$38,$B$38:$C43)</f>
        <v>1.8004327364887311</v>
      </c>
      <c r="G43" s="605">
        <f>DSUM($B$28:$Y$31,G$38,$B$38:$C43)</f>
        <v>2.2149482882553069</v>
      </c>
      <c r="H43" s="605">
        <f>DSUM($B$28:$Y$31,H$38,$B$38:$C43)</f>
        <v>2.5844056983273256</v>
      </c>
      <c r="I43" s="605">
        <f>DSUM($B$28:$Y$31,I$38,$B$38:$C43)</f>
        <v>2.9622407134181237</v>
      </c>
      <c r="J43" s="605">
        <f>DSUM($B$28:$Y$31,J$38,$B$38:$C43)</f>
        <v>3.4791560390502472</v>
      </c>
      <c r="K43" s="605">
        <f>DSUM($B$28:$Y$31,K$38,$B$38:$C43)</f>
        <v>3.8331813717949244</v>
      </c>
      <c r="L43" s="605">
        <f>DSUM($B$28:$Y$31,L$38,$B$38:$C43)</f>
        <v>3.9317196452244216</v>
      </c>
      <c r="M43" s="605">
        <f>DSUM($B$28:$Y$31,M$38,$B$38:$C43)</f>
        <v>3.7192275307807439</v>
      </c>
      <c r="N43" s="605">
        <f>DSUM($B$28:$Y$31,N$38,$B$38:$C43)</f>
        <v>3.2084010189542695</v>
      </c>
      <c r="O43" s="605">
        <f>DSUM($B$28:$Y$31,O$38,$B$38:$C43)</f>
        <v>2.491182030019881</v>
      </c>
      <c r="P43" s="605">
        <f>DSUM($B$28:$Y$31,P$38,$B$38:$C43)</f>
        <v>1.7151479625160801</v>
      </c>
      <c r="Q43" s="605">
        <f>DSUM($B$28:$Y$31,Q$38,$B$38:$C43)</f>
        <v>1.0295154480791131</v>
      </c>
      <c r="R43" s="605">
        <f>DSUM($B$28:$Y$31,R$38,$B$38:$C43)</f>
        <v>0.52868160089124638</v>
      </c>
      <c r="S43" s="605">
        <f>DSUM($B$28:$Y$31,S$38,$B$38:$C43)</f>
        <v>0.22745864872376298</v>
      </c>
      <c r="T43" s="605">
        <f>DSUM($B$28:$Y$31,T$38,$B$38:$C43)</f>
        <v>8.0125201803285653E-2</v>
      </c>
      <c r="U43" s="605">
        <f>DSUM($B$28:$Y$31,U$38,$B$38:$C43)</f>
        <v>2.2535573073247078E-2</v>
      </c>
      <c r="V43" s="605">
        <f>DSUM($B$28:$Y$31,V$38,$B$38:$C43)</f>
        <v>4.9238160098174274E-3</v>
      </c>
      <c r="W43" s="605">
        <f>DSUM($B$28:$Y$31,W$38,$B$38:$C43)</f>
        <v>8.1124785449243901E-4</v>
      </c>
      <c r="X43" s="605">
        <f>DSUM($B$28:$Y$31,X$38,$B$38:$C43)</f>
        <v>9.7598932402355177E-5</v>
      </c>
      <c r="Y43" s="605">
        <f>DSUM($B$28:$Y$31,Y$38,$B$38:$C43)</f>
        <v>36.330233099400537</v>
      </c>
      <c r="Z43"/>
      <c r="AA43"/>
      <c r="AB43"/>
      <c r="AC43"/>
      <c r="AD43"/>
    </row>
    <row r="44" spans="1:30">
      <c r="A44" t="s">
        <v>769</v>
      </c>
      <c r="B44" s="604" t="s">
        <v>1240</v>
      </c>
      <c r="C44" s="604" t="s">
        <v>1241</v>
      </c>
      <c r="D44" s="604"/>
      <c r="E44" s="605">
        <f>DSUM($B$28:$Y$31,E$38,$B$38:$C44)</f>
        <v>1.4584825083332145</v>
      </c>
      <c r="F44" s="605">
        <f>DSUM($B$28:$Y$31,F$38,$B$38:$C44)</f>
        <v>1.8004327364887311</v>
      </c>
      <c r="G44" s="605">
        <f>DSUM($B$28:$Y$31,G$38,$B$38:$C44)</f>
        <v>2.2149482882553069</v>
      </c>
      <c r="H44" s="605">
        <f>DSUM($B$28:$Y$31,H$38,$B$38:$C44)</f>
        <v>2.5844056983273256</v>
      </c>
      <c r="I44" s="605">
        <f>DSUM($B$28:$Y$31,I$38,$B$38:$C44)</f>
        <v>2.9622407134181237</v>
      </c>
      <c r="J44" s="605">
        <f>DSUM($B$28:$Y$31,J$38,$B$38:$C44)</f>
        <v>3.4791560390502472</v>
      </c>
      <c r="K44" s="605">
        <f>DSUM($B$28:$Y$31,K$38,$B$38:$C44)</f>
        <v>3.8331813717949244</v>
      </c>
      <c r="L44" s="605">
        <f>DSUM($B$28:$Y$31,L$38,$B$38:$C44)</f>
        <v>3.9317196452244216</v>
      </c>
      <c r="M44" s="605">
        <f>DSUM($B$28:$Y$31,M$38,$B$38:$C44)</f>
        <v>3.7192275307807439</v>
      </c>
      <c r="N44" s="605">
        <f>DSUM($B$28:$Y$31,N$38,$B$38:$C44)</f>
        <v>3.2084010189542695</v>
      </c>
      <c r="O44" s="605">
        <f>DSUM($B$28:$Y$31,O$38,$B$38:$C44)</f>
        <v>2.491182030019881</v>
      </c>
      <c r="P44" s="605">
        <f>DSUM($B$28:$Y$31,P$38,$B$38:$C44)</f>
        <v>1.7151479625160801</v>
      </c>
      <c r="Q44" s="605">
        <f>DSUM($B$28:$Y$31,Q$38,$B$38:$C44)</f>
        <v>1.0295154480791131</v>
      </c>
      <c r="R44" s="605">
        <f>DSUM($B$28:$Y$31,R$38,$B$38:$C44)</f>
        <v>0.52868160089124638</v>
      </c>
      <c r="S44" s="605">
        <f>DSUM($B$28:$Y$31,S$38,$B$38:$C44)</f>
        <v>0.22745864872376298</v>
      </c>
      <c r="T44" s="605">
        <f>DSUM($B$28:$Y$31,T$38,$B$38:$C44)</f>
        <v>8.0125201803285653E-2</v>
      </c>
      <c r="U44" s="605">
        <f>DSUM($B$28:$Y$31,U$38,$B$38:$C44)</f>
        <v>2.2535573073247078E-2</v>
      </c>
      <c r="V44" s="605">
        <f>DSUM($B$28:$Y$31,V$38,$B$38:$C44)</f>
        <v>4.9238160098174274E-3</v>
      </c>
      <c r="W44" s="605">
        <f>DSUM($B$28:$Y$31,W$38,$B$38:$C44)</f>
        <v>8.1124785449243901E-4</v>
      </c>
      <c r="X44" s="605">
        <f>DSUM($B$28:$Y$31,X$38,$B$38:$C44)</f>
        <v>9.7598932402355177E-5</v>
      </c>
      <c r="Y44" s="605">
        <f>DSUM($B$28:$Y$31,Y$38,$B$38:$C44)</f>
        <v>36.330233099400537</v>
      </c>
      <c r="Z44"/>
      <c r="AA44"/>
      <c r="AB44"/>
      <c r="AC44"/>
      <c r="AD44"/>
    </row>
    <row r="45" spans="1:30">
      <c r="A45" t="s">
        <v>770</v>
      </c>
      <c r="B45" s="604" t="s">
        <v>1242</v>
      </c>
      <c r="C45" s="604" t="s">
        <v>1243</v>
      </c>
      <c r="D45" s="604"/>
      <c r="E45" s="605">
        <f>DSUM($B$28:$Y$31,E$38,$B$38:$C45)</f>
        <v>1.4584825083332145</v>
      </c>
      <c r="F45" s="605">
        <f>DSUM($B$28:$Y$31,F$38,$B$38:$C45)</f>
        <v>1.8004327364887311</v>
      </c>
      <c r="G45" s="605">
        <f>DSUM($B$28:$Y$31,G$38,$B$38:$C45)</f>
        <v>2.2149482882553069</v>
      </c>
      <c r="H45" s="605">
        <f>DSUM($B$28:$Y$31,H$38,$B$38:$C45)</f>
        <v>2.5844056983273256</v>
      </c>
      <c r="I45" s="605">
        <f>DSUM($B$28:$Y$31,I$38,$B$38:$C45)</f>
        <v>2.9622407134181237</v>
      </c>
      <c r="J45" s="605">
        <f>DSUM($B$28:$Y$31,J$38,$B$38:$C45)</f>
        <v>3.4791560390502472</v>
      </c>
      <c r="K45" s="605">
        <f>DSUM($B$28:$Y$31,K$38,$B$38:$C45)</f>
        <v>3.8331813717949244</v>
      </c>
      <c r="L45" s="605">
        <f>DSUM($B$28:$Y$31,L$38,$B$38:$C45)</f>
        <v>3.9317196452244216</v>
      </c>
      <c r="M45" s="605">
        <f>DSUM($B$28:$Y$31,M$38,$B$38:$C45)</f>
        <v>3.7192275307807439</v>
      </c>
      <c r="N45" s="605">
        <f>DSUM($B$28:$Y$31,N$38,$B$38:$C45)</f>
        <v>3.2084010189542695</v>
      </c>
      <c r="O45" s="605">
        <f>DSUM($B$28:$Y$31,O$38,$B$38:$C45)</f>
        <v>2.491182030019881</v>
      </c>
      <c r="P45" s="605">
        <f>DSUM($B$28:$Y$31,P$38,$B$38:$C45)</f>
        <v>1.7151479625160801</v>
      </c>
      <c r="Q45" s="605">
        <f>DSUM($B$28:$Y$31,Q$38,$B$38:$C45)</f>
        <v>1.0295154480791131</v>
      </c>
      <c r="R45" s="605">
        <f>DSUM($B$28:$Y$31,R$38,$B$38:$C45)</f>
        <v>0.52868160089124638</v>
      </c>
      <c r="S45" s="605">
        <f>DSUM($B$28:$Y$31,S$38,$B$38:$C45)</f>
        <v>0.22745864872376298</v>
      </c>
      <c r="T45" s="605">
        <f>DSUM($B$28:$Y$31,T$38,$B$38:$C45)</f>
        <v>8.0125201803285653E-2</v>
      </c>
      <c r="U45" s="605">
        <f>DSUM($B$28:$Y$31,U$38,$B$38:$C45)</f>
        <v>2.2535573073247078E-2</v>
      </c>
      <c r="V45" s="605">
        <f>DSUM($B$28:$Y$31,V$38,$B$38:$C45)</f>
        <v>4.9238160098174274E-3</v>
      </c>
      <c r="W45" s="605">
        <f>DSUM($B$28:$Y$31,W$38,$B$38:$C45)</f>
        <v>8.1124785449243901E-4</v>
      </c>
      <c r="X45" s="605">
        <f>DSUM($B$28:$Y$31,X$38,$B$38:$C45)</f>
        <v>9.7598932402355177E-5</v>
      </c>
      <c r="Y45" s="605">
        <f>DSUM($B$28:$Y$31,Y$38,$B$38:$C45)</f>
        <v>36.330233099400537</v>
      </c>
      <c r="Z45"/>
      <c r="AA45"/>
      <c r="AB45"/>
      <c r="AC45"/>
      <c r="AD45"/>
    </row>
    <row r="46" spans="1:30">
      <c r="A46" t="s">
        <v>771</v>
      </c>
      <c r="B46" s="604" t="s">
        <v>1244</v>
      </c>
      <c r="C46" s="604" t="s">
        <v>1245</v>
      </c>
      <c r="D46" s="604"/>
      <c r="E46" s="605">
        <f>DSUM($B$28:$Y$31,E$38,$B$38:$C46)</f>
        <v>1.4584825083332145</v>
      </c>
      <c r="F46" s="605">
        <f>DSUM($B$28:$Y$31,F$38,$B$38:$C46)</f>
        <v>1.8004327364887311</v>
      </c>
      <c r="G46" s="605">
        <f>DSUM($B$28:$Y$31,G$38,$B$38:$C46)</f>
        <v>2.2149482882553069</v>
      </c>
      <c r="H46" s="605">
        <f>DSUM($B$28:$Y$31,H$38,$B$38:$C46)</f>
        <v>2.5844056983273256</v>
      </c>
      <c r="I46" s="605">
        <f>DSUM($B$28:$Y$31,I$38,$B$38:$C46)</f>
        <v>2.9622407134181237</v>
      </c>
      <c r="J46" s="605">
        <f>DSUM($B$28:$Y$31,J$38,$B$38:$C46)</f>
        <v>3.4791560390502472</v>
      </c>
      <c r="K46" s="605">
        <f>DSUM($B$28:$Y$31,K$38,$B$38:$C46)</f>
        <v>3.8331813717949244</v>
      </c>
      <c r="L46" s="605">
        <f>DSUM($B$28:$Y$31,L$38,$B$38:$C46)</f>
        <v>3.9317196452244216</v>
      </c>
      <c r="M46" s="605">
        <f>DSUM($B$28:$Y$31,M$38,$B$38:$C46)</f>
        <v>3.7192275307807439</v>
      </c>
      <c r="N46" s="605">
        <f>DSUM($B$28:$Y$31,N$38,$B$38:$C46)</f>
        <v>3.2084010189542695</v>
      </c>
      <c r="O46" s="605">
        <f>DSUM($B$28:$Y$31,O$38,$B$38:$C46)</f>
        <v>2.491182030019881</v>
      </c>
      <c r="P46" s="605">
        <f>DSUM($B$28:$Y$31,P$38,$B$38:$C46)</f>
        <v>1.7151479625160801</v>
      </c>
      <c r="Q46" s="605">
        <f>DSUM($B$28:$Y$31,Q$38,$B$38:$C46)</f>
        <v>1.0295154480791131</v>
      </c>
      <c r="R46" s="605">
        <f>DSUM($B$28:$Y$31,R$38,$B$38:$C46)</f>
        <v>0.52868160089124638</v>
      </c>
      <c r="S46" s="605">
        <f>DSUM($B$28:$Y$31,S$38,$B$38:$C46)</f>
        <v>0.22745864872376298</v>
      </c>
      <c r="T46" s="605">
        <f>DSUM($B$28:$Y$31,T$38,$B$38:$C46)</f>
        <v>8.0125201803285653E-2</v>
      </c>
      <c r="U46" s="605">
        <f>DSUM($B$28:$Y$31,U$38,$B$38:$C46)</f>
        <v>2.2535573073247078E-2</v>
      </c>
      <c r="V46" s="605">
        <f>DSUM($B$28:$Y$31,V$38,$B$38:$C46)</f>
        <v>4.9238160098174274E-3</v>
      </c>
      <c r="W46" s="605">
        <f>DSUM($B$28:$Y$31,W$38,$B$38:$C46)</f>
        <v>8.1124785449243901E-4</v>
      </c>
      <c r="X46" s="605">
        <f>DSUM($B$28:$Y$31,X$38,$B$38:$C46)</f>
        <v>9.7598932402355177E-5</v>
      </c>
      <c r="Y46" s="605">
        <f>DSUM($B$28:$Y$31,Y$38,$B$38:$C46)</f>
        <v>36.330233099400537</v>
      </c>
      <c r="Z46"/>
      <c r="AA46"/>
      <c r="AB46"/>
      <c r="AC46"/>
      <c r="AD46"/>
    </row>
    <row r="47" spans="1:30">
      <c r="A47" t="s">
        <v>772</v>
      </c>
      <c r="B47" s="604" t="s">
        <v>1246</v>
      </c>
      <c r="C47" s="604" t="s">
        <v>1247</v>
      </c>
      <c r="D47" s="604"/>
      <c r="E47" s="605">
        <f>DSUM($B$28:$Y$31,E$38,$B$38:$C47)</f>
        <v>1.4584825083332145</v>
      </c>
      <c r="F47" s="605">
        <f>DSUM($B$28:$Y$31,F$38,$B$38:$C47)</f>
        <v>1.8004327364887311</v>
      </c>
      <c r="G47" s="605">
        <f>DSUM($B$28:$Y$31,G$38,$B$38:$C47)</f>
        <v>2.2149482882553069</v>
      </c>
      <c r="H47" s="605">
        <f>DSUM($B$28:$Y$31,H$38,$B$38:$C47)</f>
        <v>2.5844056983273256</v>
      </c>
      <c r="I47" s="605">
        <f>DSUM($B$28:$Y$31,I$38,$B$38:$C47)</f>
        <v>2.9622407134181237</v>
      </c>
      <c r="J47" s="605">
        <f>DSUM($B$28:$Y$31,J$38,$B$38:$C47)</f>
        <v>3.4791560390502472</v>
      </c>
      <c r="K47" s="605">
        <f>DSUM($B$28:$Y$31,K$38,$B$38:$C47)</f>
        <v>3.8331813717949244</v>
      </c>
      <c r="L47" s="605">
        <f>DSUM($B$28:$Y$31,L$38,$B$38:$C47)</f>
        <v>3.9317196452244216</v>
      </c>
      <c r="M47" s="605">
        <f>DSUM($B$28:$Y$31,M$38,$B$38:$C47)</f>
        <v>3.7192275307807439</v>
      </c>
      <c r="N47" s="605">
        <f>DSUM($B$28:$Y$31,N$38,$B$38:$C47)</f>
        <v>3.2084010189542695</v>
      </c>
      <c r="O47" s="605">
        <f>DSUM($B$28:$Y$31,O$38,$B$38:$C47)</f>
        <v>2.491182030019881</v>
      </c>
      <c r="P47" s="605">
        <f>DSUM($B$28:$Y$31,P$38,$B$38:$C47)</f>
        <v>1.7151479625160801</v>
      </c>
      <c r="Q47" s="605">
        <f>DSUM($B$28:$Y$31,Q$38,$B$38:$C47)</f>
        <v>1.0295154480791131</v>
      </c>
      <c r="R47" s="605">
        <f>DSUM($B$28:$Y$31,R$38,$B$38:$C47)</f>
        <v>0.52868160089124638</v>
      </c>
      <c r="S47" s="605">
        <f>DSUM($B$28:$Y$31,S$38,$B$38:$C47)</f>
        <v>0.22745864872376298</v>
      </c>
      <c r="T47" s="605">
        <f>DSUM($B$28:$Y$31,T$38,$B$38:$C47)</f>
        <v>8.0125201803285653E-2</v>
      </c>
      <c r="U47" s="605">
        <f>DSUM($B$28:$Y$31,U$38,$B$38:$C47)</f>
        <v>2.2535573073247078E-2</v>
      </c>
      <c r="V47" s="605">
        <f>DSUM($B$28:$Y$31,V$38,$B$38:$C47)</f>
        <v>4.9238160098174274E-3</v>
      </c>
      <c r="W47" s="605">
        <f>DSUM($B$28:$Y$31,W$38,$B$38:$C47)</f>
        <v>8.1124785449243901E-4</v>
      </c>
      <c r="X47" s="605">
        <f>DSUM($B$28:$Y$31,X$38,$B$38:$C47)</f>
        <v>9.7598932402355177E-5</v>
      </c>
      <c r="Y47" s="605">
        <f>DSUM($B$28:$Y$31,Y$38,$B$38:$C47)</f>
        <v>36.330233099400537</v>
      </c>
      <c r="Z47"/>
      <c r="AA47"/>
      <c r="AB47"/>
      <c r="AC47"/>
      <c r="AD47"/>
    </row>
    <row r="48" spans="1:30">
      <c r="A48" t="s">
        <v>773</v>
      </c>
      <c r="B48" s="604" t="s">
        <v>1248</v>
      </c>
      <c r="C48" s="604" t="s">
        <v>1249</v>
      </c>
      <c r="D48" s="604"/>
      <c r="E48" s="605">
        <f>DSUM($B$28:$Y$31,E$38,$B$38:$C48)</f>
        <v>1.4584825083332145</v>
      </c>
      <c r="F48" s="605">
        <f>DSUM($B$28:$Y$31,F$38,$B$38:$C48)</f>
        <v>1.8004327364887311</v>
      </c>
      <c r="G48" s="605">
        <f>DSUM($B$28:$Y$31,G$38,$B$38:$C48)</f>
        <v>2.2149482882553069</v>
      </c>
      <c r="H48" s="605">
        <f>DSUM($B$28:$Y$31,H$38,$B$38:$C48)</f>
        <v>2.5844056983273256</v>
      </c>
      <c r="I48" s="605">
        <f>DSUM($B$28:$Y$31,I$38,$B$38:$C48)</f>
        <v>2.9622407134181237</v>
      </c>
      <c r="J48" s="605">
        <f>DSUM($B$28:$Y$31,J$38,$B$38:$C48)</f>
        <v>3.4791560390502472</v>
      </c>
      <c r="K48" s="605">
        <f>DSUM($B$28:$Y$31,K$38,$B$38:$C48)</f>
        <v>3.8331813717949244</v>
      </c>
      <c r="L48" s="605">
        <f>DSUM($B$28:$Y$31,L$38,$B$38:$C48)</f>
        <v>3.9317196452244216</v>
      </c>
      <c r="M48" s="605">
        <f>DSUM($B$28:$Y$31,M$38,$B$38:$C48)</f>
        <v>3.7192275307807439</v>
      </c>
      <c r="N48" s="605">
        <f>DSUM($B$28:$Y$31,N$38,$B$38:$C48)</f>
        <v>3.2084010189542695</v>
      </c>
      <c r="O48" s="605">
        <f>DSUM($B$28:$Y$31,O$38,$B$38:$C48)</f>
        <v>2.491182030019881</v>
      </c>
      <c r="P48" s="605">
        <f>DSUM($B$28:$Y$31,P$38,$B$38:$C48)</f>
        <v>1.7151479625160801</v>
      </c>
      <c r="Q48" s="605">
        <f>DSUM($B$28:$Y$31,Q$38,$B$38:$C48)</f>
        <v>1.0295154480791131</v>
      </c>
      <c r="R48" s="605">
        <f>DSUM($B$28:$Y$31,R$38,$B$38:$C48)</f>
        <v>0.52868160089124638</v>
      </c>
      <c r="S48" s="605">
        <f>DSUM($B$28:$Y$31,S$38,$B$38:$C48)</f>
        <v>0.22745864872376298</v>
      </c>
      <c r="T48" s="605">
        <f>DSUM($B$28:$Y$31,T$38,$B$38:$C48)</f>
        <v>8.0125201803285653E-2</v>
      </c>
      <c r="U48" s="605">
        <f>DSUM($B$28:$Y$31,U$38,$B$38:$C48)</f>
        <v>2.2535573073247078E-2</v>
      </c>
      <c r="V48" s="605">
        <f>DSUM($B$28:$Y$31,V$38,$B$38:$C48)</f>
        <v>4.9238160098174274E-3</v>
      </c>
      <c r="W48" s="605">
        <f>DSUM($B$28:$Y$31,W$38,$B$38:$C48)</f>
        <v>8.1124785449243901E-4</v>
      </c>
      <c r="X48" s="605">
        <f>DSUM($B$28:$Y$31,X$38,$B$38:$C48)</f>
        <v>9.7598932402355177E-5</v>
      </c>
      <c r="Y48" s="605">
        <f>DSUM($B$28:$Y$31,Y$38,$B$38:$C48)</f>
        <v>36.330233099400537</v>
      </c>
      <c r="Z48"/>
      <c r="AA48"/>
      <c r="AB48"/>
      <c r="AC48"/>
      <c r="AD48"/>
    </row>
    <row r="49" spans="1:30">
      <c r="A49" t="s">
        <v>774</v>
      </c>
      <c r="B49" s="604" t="s">
        <v>1250</v>
      </c>
      <c r="C49" s="604" t="s">
        <v>1251</v>
      </c>
      <c r="D49" s="604"/>
      <c r="E49" s="605">
        <f>DSUM($B$28:$Y$31,E$38,$B$38:$C49)</f>
        <v>1.4584825083332145</v>
      </c>
      <c r="F49" s="605">
        <f>DSUM($B$28:$Y$31,F$38,$B$38:$C49)</f>
        <v>1.8004327364887311</v>
      </c>
      <c r="G49" s="605">
        <f>DSUM($B$28:$Y$31,G$38,$B$38:$C49)</f>
        <v>2.2149482882553069</v>
      </c>
      <c r="H49" s="605">
        <f>DSUM($B$28:$Y$31,H$38,$B$38:$C49)</f>
        <v>2.5844056983273256</v>
      </c>
      <c r="I49" s="605">
        <f>DSUM($B$28:$Y$31,I$38,$B$38:$C49)</f>
        <v>2.9622407134181237</v>
      </c>
      <c r="J49" s="605">
        <f>DSUM($B$28:$Y$31,J$38,$B$38:$C49)</f>
        <v>3.4791560390502472</v>
      </c>
      <c r="K49" s="605">
        <f>DSUM($B$28:$Y$31,K$38,$B$38:$C49)</f>
        <v>3.8331813717949244</v>
      </c>
      <c r="L49" s="605">
        <f>DSUM($B$28:$Y$31,L$38,$B$38:$C49)</f>
        <v>3.9317196452244216</v>
      </c>
      <c r="M49" s="605">
        <f>DSUM($B$28:$Y$31,M$38,$B$38:$C49)</f>
        <v>3.7192275307807439</v>
      </c>
      <c r="N49" s="605">
        <f>DSUM($B$28:$Y$31,N$38,$B$38:$C49)</f>
        <v>3.2084010189542695</v>
      </c>
      <c r="O49" s="605">
        <f>DSUM($B$28:$Y$31,O$38,$B$38:$C49)</f>
        <v>2.491182030019881</v>
      </c>
      <c r="P49" s="605">
        <f>DSUM($B$28:$Y$31,P$38,$B$38:$C49)</f>
        <v>1.7151479625160801</v>
      </c>
      <c r="Q49" s="605">
        <f>DSUM($B$28:$Y$31,Q$38,$B$38:$C49)</f>
        <v>1.0295154480791131</v>
      </c>
      <c r="R49" s="605">
        <f>DSUM($B$28:$Y$31,R$38,$B$38:$C49)</f>
        <v>0.52868160089124638</v>
      </c>
      <c r="S49" s="605">
        <f>DSUM($B$28:$Y$31,S$38,$B$38:$C49)</f>
        <v>0.22745864872376298</v>
      </c>
      <c r="T49" s="605">
        <f>DSUM($B$28:$Y$31,T$38,$B$38:$C49)</f>
        <v>8.0125201803285653E-2</v>
      </c>
      <c r="U49" s="605">
        <f>DSUM($B$28:$Y$31,U$38,$B$38:$C49)</f>
        <v>2.2535573073247078E-2</v>
      </c>
      <c r="V49" s="605">
        <f>DSUM($B$28:$Y$31,V$38,$B$38:$C49)</f>
        <v>4.9238160098174274E-3</v>
      </c>
      <c r="W49" s="605">
        <f>DSUM($B$28:$Y$31,W$38,$B$38:$C49)</f>
        <v>8.1124785449243901E-4</v>
      </c>
      <c r="X49" s="605">
        <f>DSUM($B$28:$Y$31,X$38,$B$38:$C49)</f>
        <v>9.7598932402355177E-5</v>
      </c>
      <c r="Y49" s="605">
        <f>DSUM($B$28:$Y$31,Y$38,$B$38:$C49)</f>
        <v>36.330233099400537</v>
      </c>
      <c r="Z49"/>
      <c r="AA49"/>
      <c r="AB49"/>
      <c r="AC49"/>
      <c r="AD49"/>
    </row>
    <row r="50" spans="1:30">
      <c r="A50" t="s">
        <v>775</v>
      </c>
      <c r="B50" s="604" t="s">
        <v>1252</v>
      </c>
      <c r="C50" s="604" t="s">
        <v>1253</v>
      </c>
      <c r="D50" s="604"/>
      <c r="E50" s="605">
        <f>DSUM($B$28:$Y$31,E$38,$B$38:$C50)</f>
        <v>1.4584825083332145</v>
      </c>
      <c r="F50" s="605">
        <f>DSUM($B$28:$Y$31,F$38,$B$38:$C50)</f>
        <v>1.8004327364887311</v>
      </c>
      <c r="G50" s="605">
        <f>DSUM($B$28:$Y$31,G$38,$B$38:$C50)</f>
        <v>2.2149482882553069</v>
      </c>
      <c r="H50" s="605">
        <f>DSUM($B$28:$Y$31,H$38,$B$38:$C50)</f>
        <v>2.5844056983273256</v>
      </c>
      <c r="I50" s="605">
        <f>DSUM($B$28:$Y$31,I$38,$B$38:$C50)</f>
        <v>2.9622407134181237</v>
      </c>
      <c r="J50" s="605">
        <f>DSUM($B$28:$Y$31,J$38,$B$38:$C50)</f>
        <v>3.4791560390502472</v>
      </c>
      <c r="K50" s="605">
        <f>DSUM($B$28:$Y$31,K$38,$B$38:$C50)</f>
        <v>3.8331813717949244</v>
      </c>
      <c r="L50" s="605">
        <f>DSUM($B$28:$Y$31,L$38,$B$38:$C50)</f>
        <v>3.9317196452244216</v>
      </c>
      <c r="M50" s="605">
        <f>DSUM($B$28:$Y$31,M$38,$B$38:$C50)</f>
        <v>3.7192275307807439</v>
      </c>
      <c r="N50" s="605">
        <f>DSUM($B$28:$Y$31,N$38,$B$38:$C50)</f>
        <v>3.2084010189542695</v>
      </c>
      <c r="O50" s="605">
        <f>DSUM($B$28:$Y$31,O$38,$B$38:$C50)</f>
        <v>2.491182030019881</v>
      </c>
      <c r="P50" s="605">
        <f>DSUM($B$28:$Y$31,P$38,$B$38:$C50)</f>
        <v>1.7151479625160801</v>
      </c>
      <c r="Q50" s="605">
        <f>DSUM($B$28:$Y$31,Q$38,$B$38:$C50)</f>
        <v>1.0295154480791131</v>
      </c>
      <c r="R50" s="605">
        <f>DSUM($B$28:$Y$31,R$38,$B$38:$C50)</f>
        <v>0.52868160089124638</v>
      </c>
      <c r="S50" s="605">
        <f>DSUM($B$28:$Y$31,S$38,$B$38:$C50)</f>
        <v>0.22745864872376298</v>
      </c>
      <c r="T50" s="605">
        <f>DSUM($B$28:$Y$31,T$38,$B$38:$C50)</f>
        <v>8.0125201803285653E-2</v>
      </c>
      <c r="U50" s="605">
        <f>DSUM($B$28:$Y$31,U$38,$B$38:$C50)</f>
        <v>2.2535573073247078E-2</v>
      </c>
      <c r="V50" s="605">
        <f>DSUM($B$28:$Y$31,V$38,$B$38:$C50)</f>
        <v>4.9238160098174274E-3</v>
      </c>
      <c r="W50" s="605">
        <f>DSUM($B$28:$Y$31,W$38,$B$38:$C50)</f>
        <v>8.1124785449243901E-4</v>
      </c>
      <c r="X50" s="605">
        <f>DSUM($B$28:$Y$31,X$38,$B$38:$C50)</f>
        <v>9.7598932402355177E-5</v>
      </c>
      <c r="Y50" s="605">
        <f>DSUM($B$28:$Y$31,Y$38,$B$38:$C50)</f>
        <v>36.330233099400537</v>
      </c>
      <c r="Z50"/>
      <c r="AA50"/>
      <c r="AB50"/>
      <c r="AC50"/>
      <c r="AD50"/>
    </row>
    <row r="51" spans="1:30">
      <c r="A51" t="s">
        <v>776</v>
      </c>
      <c r="B51" s="604" t="s">
        <v>1254</v>
      </c>
      <c r="C51" s="604" t="s">
        <v>1255</v>
      </c>
      <c r="D51" s="604"/>
      <c r="E51" s="605">
        <f>DSUM($B$28:$Y$31,E$38,$B$38:$C51)</f>
        <v>1.4584825083332145</v>
      </c>
      <c r="F51" s="605">
        <f>DSUM($B$28:$Y$31,F$38,$B$38:$C51)</f>
        <v>1.8004327364887311</v>
      </c>
      <c r="G51" s="605">
        <f>DSUM($B$28:$Y$31,G$38,$B$38:$C51)</f>
        <v>2.2149482882553069</v>
      </c>
      <c r="H51" s="605">
        <f>DSUM($B$28:$Y$31,H$38,$B$38:$C51)</f>
        <v>2.5844056983273256</v>
      </c>
      <c r="I51" s="605">
        <f>DSUM($B$28:$Y$31,I$38,$B$38:$C51)</f>
        <v>2.9622407134181237</v>
      </c>
      <c r="J51" s="605">
        <f>DSUM($B$28:$Y$31,J$38,$B$38:$C51)</f>
        <v>3.4791560390502472</v>
      </c>
      <c r="K51" s="605">
        <f>DSUM($B$28:$Y$31,K$38,$B$38:$C51)</f>
        <v>3.8331813717949244</v>
      </c>
      <c r="L51" s="605">
        <f>DSUM($B$28:$Y$31,L$38,$B$38:$C51)</f>
        <v>3.9317196452244216</v>
      </c>
      <c r="M51" s="605">
        <f>DSUM($B$28:$Y$31,M$38,$B$38:$C51)</f>
        <v>3.7192275307807439</v>
      </c>
      <c r="N51" s="605">
        <f>DSUM($B$28:$Y$31,N$38,$B$38:$C51)</f>
        <v>3.2084010189542695</v>
      </c>
      <c r="O51" s="605">
        <f>DSUM($B$28:$Y$31,O$38,$B$38:$C51)</f>
        <v>2.491182030019881</v>
      </c>
      <c r="P51" s="605">
        <f>DSUM($B$28:$Y$31,P$38,$B$38:$C51)</f>
        <v>1.7151479625160801</v>
      </c>
      <c r="Q51" s="605">
        <f>DSUM($B$28:$Y$31,Q$38,$B$38:$C51)</f>
        <v>1.0295154480791131</v>
      </c>
      <c r="R51" s="605">
        <f>DSUM($B$28:$Y$31,R$38,$B$38:$C51)</f>
        <v>0.52868160089124638</v>
      </c>
      <c r="S51" s="605">
        <f>DSUM($B$28:$Y$31,S$38,$B$38:$C51)</f>
        <v>0.22745864872376298</v>
      </c>
      <c r="T51" s="605">
        <f>DSUM($B$28:$Y$31,T$38,$B$38:$C51)</f>
        <v>8.0125201803285653E-2</v>
      </c>
      <c r="U51" s="605">
        <f>DSUM($B$28:$Y$31,U$38,$B$38:$C51)</f>
        <v>2.2535573073247078E-2</v>
      </c>
      <c r="V51" s="605">
        <f>DSUM($B$28:$Y$31,V$38,$B$38:$C51)</f>
        <v>4.9238160098174274E-3</v>
      </c>
      <c r="W51" s="605">
        <f>DSUM($B$28:$Y$31,W$38,$B$38:$C51)</f>
        <v>8.1124785449243901E-4</v>
      </c>
      <c r="X51" s="605">
        <f>DSUM($B$28:$Y$31,X$38,$B$38:$C51)</f>
        <v>9.7598932402355177E-5</v>
      </c>
      <c r="Y51" s="605">
        <f>DSUM($B$28:$Y$31,Y$38,$B$38:$C51)</f>
        <v>36.330233099400537</v>
      </c>
      <c r="Z51"/>
      <c r="AA51"/>
      <c r="AB51"/>
      <c r="AC51"/>
      <c r="AD51"/>
    </row>
    <row r="52" spans="1:30">
      <c r="A52" t="s">
        <v>777</v>
      </c>
      <c r="B52" s="604" t="s">
        <v>1256</v>
      </c>
      <c r="C52" s="604" t="s">
        <v>1257</v>
      </c>
      <c r="D52" s="604"/>
      <c r="E52" s="605">
        <f>DSUM($B$28:$Y$31,E$38,$B$38:$C52)</f>
        <v>1.4584825083332145</v>
      </c>
      <c r="F52" s="605">
        <f>DSUM($B$28:$Y$31,F$38,$B$38:$C52)</f>
        <v>1.8004327364887311</v>
      </c>
      <c r="G52" s="605">
        <f>DSUM($B$28:$Y$31,G$38,$B$38:$C52)</f>
        <v>2.2149482882553069</v>
      </c>
      <c r="H52" s="605">
        <f>DSUM($B$28:$Y$31,H$38,$B$38:$C52)</f>
        <v>2.5844056983273256</v>
      </c>
      <c r="I52" s="605">
        <f>DSUM($B$28:$Y$31,I$38,$B$38:$C52)</f>
        <v>2.9622407134181237</v>
      </c>
      <c r="J52" s="605">
        <f>DSUM($B$28:$Y$31,J$38,$B$38:$C52)</f>
        <v>3.4791560390502472</v>
      </c>
      <c r="K52" s="605">
        <f>DSUM($B$28:$Y$31,K$38,$B$38:$C52)</f>
        <v>3.8331813717949244</v>
      </c>
      <c r="L52" s="605">
        <f>DSUM($B$28:$Y$31,L$38,$B$38:$C52)</f>
        <v>3.9317196452244216</v>
      </c>
      <c r="M52" s="605">
        <f>DSUM($B$28:$Y$31,M$38,$B$38:$C52)</f>
        <v>3.7192275307807439</v>
      </c>
      <c r="N52" s="605">
        <f>DSUM($B$28:$Y$31,N$38,$B$38:$C52)</f>
        <v>3.2084010189542695</v>
      </c>
      <c r="O52" s="605">
        <f>DSUM($B$28:$Y$31,O$38,$B$38:$C52)</f>
        <v>2.491182030019881</v>
      </c>
      <c r="P52" s="605">
        <f>DSUM($B$28:$Y$31,P$38,$B$38:$C52)</f>
        <v>1.7151479625160801</v>
      </c>
      <c r="Q52" s="605">
        <f>DSUM($B$28:$Y$31,Q$38,$B$38:$C52)</f>
        <v>1.0295154480791131</v>
      </c>
      <c r="R52" s="605">
        <f>DSUM($B$28:$Y$31,R$38,$B$38:$C52)</f>
        <v>0.52868160089124638</v>
      </c>
      <c r="S52" s="605">
        <f>DSUM($B$28:$Y$31,S$38,$B$38:$C52)</f>
        <v>0.22745864872376298</v>
      </c>
      <c r="T52" s="605">
        <f>DSUM($B$28:$Y$31,T$38,$B$38:$C52)</f>
        <v>8.0125201803285653E-2</v>
      </c>
      <c r="U52" s="605">
        <f>DSUM($B$28:$Y$31,U$38,$B$38:$C52)</f>
        <v>2.2535573073247078E-2</v>
      </c>
      <c r="V52" s="605">
        <f>DSUM($B$28:$Y$31,V$38,$B$38:$C52)</f>
        <v>4.9238160098174274E-3</v>
      </c>
      <c r="W52" s="605">
        <f>DSUM($B$28:$Y$31,W$38,$B$38:$C52)</f>
        <v>8.1124785449243901E-4</v>
      </c>
      <c r="X52" s="605">
        <f>DSUM($B$28:$Y$31,X$38,$B$38:$C52)</f>
        <v>9.7598932402355177E-5</v>
      </c>
      <c r="Y52" s="605">
        <f>DSUM($B$28:$Y$31,Y$38,$B$38:$C52)</f>
        <v>36.330233099400537</v>
      </c>
      <c r="Z52"/>
      <c r="AA52"/>
      <c r="AB52"/>
      <c r="AC52"/>
      <c r="AD52"/>
    </row>
    <row r="53" spans="1:30">
      <c r="A53" t="s">
        <v>778</v>
      </c>
      <c r="B53" s="604" t="s">
        <v>1258</v>
      </c>
      <c r="C53" s="604" t="s">
        <v>1259</v>
      </c>
      <c r="D53" s="604"/>
      <c r="E53" s="605">
        <f>DSUM($B$28:$Y$31,E$38,$B$38:$C53)</f>
        <v>1.4584825083332145</v>
      </c>
      <c r="F53" s="605">
        <f>DSUM($B$28:$Y$31,F$38,$B$38:$C53)</f>
        <v>1.8004327364887311</v>
      </c>
      <c r="G53" s="605">
        <f>DSUM($B$28:$Y$31,G$38,$B$38:$C53)</f>
        <v>2.2149482882553069</v>
      </c>
      <c r="H53" s="605">
        <f>DSUM($B$28:$Y$31,H$38,$B$38:$C53)</f>
        <v>2.5844056983273256</v>
      </c>
      <c r="I53" s="605">
        <f>DSUM($B$28:$Y$31,I$38,$B$38:$C53)</f>
        <v>2.9622407134181237</v>
      </c>
      <c r="J53" s="605">
        <f>DSUM($B$28:$Y$31,J$38,$B$38:$C53)</f>
        <v>3.4791560390502472</v>
      </c>
      <c r="K53" s="605">
        <f>DSUM($B$28:$Y$31,K$38,$B$38:$C53)</f>
        <v>3.8331813717949244</v>
      </c>
      <c r="L53" s="605">
        <f>DSUM($B$28:$Y$31,L$38,$B$38:$C53)</f>
        <v>3.9317196452244216</v>
      </c>
      <c r="M53" s="605">
        <f>DSUM($B$28:$Y$31,M$38,$B$38:$C53)</f>
        <v>3.7192275307807439</v>
      </c>
      <c r="N53" s="605">
        <f>DSUM($B$28:$Y$31,N$38,$B$38:$C53)</f>
        <v>3.2084010189542695</v>
      </c>
      <c r="O53" s="605">
        <f>DSUM($B$28:$Y$31,O$38,$B$38:$C53)</f>
        <v>2.491182030019881</v>
      </c>
      <c r="P53" s="605">
        <f>DSUM($B$28:$Y$31,P$38,$B$38:$C53)</f>
        <v>1.7151479625160801</v>
      </c>
      <c r="Q53" s="605">
        <f>DSUM($B$28:$Y$31,Q$38,$B$38:$C53)</f>
        <v>1.0295154480791131</v>
      </c>
      <c r="R53" s="605">
        <f>DSUM($B$28:$Y$31,R$38,$B$38:$C53)</f>
        <v>0.52868160089124638</v>
      </c>
      <c r="S53" s="605">
        <f>DSUM($B$28:$Y$31,S$38,$B$38:$C53)</f>
        <v>0.22745864872376298</v>
      </c>
      <c r="T53" s="605">
        <f>DSUM($B$28:$Y$31,T$38,$B$38:$C53)</f>
        <v>8.0125201803285653E-2</v>
      </c>
      <c r="U53" s="605">
        <f>DSUM($B$28:$Y$31,U$38,$B$38:$C53)</f>
        <v>2.2535573073247078E-2</v>
      </c>
      <c r="V53" s="605">
        <f>DSUM($B$28:$Y$31,V$38,$B$38:$C53)</f>
        <v>4.9238160098174274E-3</v>
      </c>
      <c r="W53" s="605">
        <f>DSUM($B$28:$Y$31,W$38,$B$38:$C53)</f>
        <v>8.1124785449243901E-4</v>
      </c>
      <c r="X53" s="605">
        <f>DSUM($B$28:$Y$31,X$38,$B$38:$C53)</f>
        <v>9.7598932402355177E-5</v>
      </c>
      <c r="Y53" s="605">
        <f>DSUM($B$28:$Y$31,Y$38,$B$38:$C53)</f>
        <v>36.330233099400537</v>
      </c>
      <c r="Z53"/>
      <c r="AA53"/>
      <c r="AB53"/>
      <c r="AC53"/>
      <c r="AD53"/>
    </row>
    <row r="54" spans="1:30">
      <c r="A54" t="s">
        <v>779</v>
      </c>
      <c r="B54" s="604" t="s">
        <v>1260</v>
      </c>
      <c r="C54" s="604" t="s">
        <v>1261</v>
      </c>
      <c r="D54" s="604"/>
      <c r="E54" s="605">
        <f>DSUM($B$28:$Y$31,E$38,$B$38:$C54)</f>
        <v>1.4584825083332145</v>
      </c>
      <c r="F54" s="605">
        <f>DSUM($B$28:$Y$31,F$38,$B$38:$C54)</f>
        <v>1.8004327364887311</v>
      </c>
      <c r="G54" s="605">
        <f>DSUM($B$28:$Y$31,G$38,$B$38:$C54)</f>
        <v>2.2149482882553069</v>
      </c>
      <c r="H54" s="605">
        <f>DSUM($B$28:$Y$31,H$38,$B$38:$C54)</f>
        <v>2.5844056983273256</v>
      </c>
      <c r="I54" s="605">
        <f>DSUM($B$28:$Y$31,I$38,$B$38:$C54)</f>
        <v>2.9622407134181237</v>
      </c>
      <c r="J54" s="605">
        <f>DSUM($B$28:$Y$31,J$38,$B$38:$C54)</f>
        <v>3.4791560390502472</v>
      </c>
      <c r="K54" s="605">
        <f>DSUM($B$28:$Y$31,K$38,$B$38:$C54)</f>
        <v>3.8331813717949244</v>
      </c>
      <c r="L54" s="605">
        <f>DSUM($B$28:$Y$31,L$38,$B$38:$C54)</f>
        <v>3.9317196452244216</v>
      </c>
      <c r="M54" s="605">
        <f>DSUM($B$28:$Y$31,M$38,$B$38:$C54)</f>
        <v>3.7192275307807439</v>
      </c>
      <c r="N54" s="605">
        <f>DSUM($B$28:$Y$31,N$38,$B$38:$C54)</f>
        <v>3.2084010189542695</v>
      </c>
      <c r="O54" s="605">
        <f>DSUM($B$28:$Y$31,O$38,$B$38:$C54)</f>
        <v>2.491182030019881</v>
      </c>
      <c r="P54" s="605">
        <f>DSUM($B$28:$Y$31,P$38,$B$38:$C54)</f>
        <v>1.7151479625160801</v>
      </c>
      <c r="Q54" s="605">
        <f>DSUM($B$28:$Y$31,Q$38,$B$38:$C54)</f>
        <v>1.0295154480791131</v>
      </c>
      <c r="R54" s="605">
        <f>DSUM($B$28:$Y$31,R$38,$B$38:$C54)</f>
        <v>0.52868160089124638</v>
      </c>
      <c r="S54" s="605">
        <f>DSUM($B$28:$Y$31,S$38,$B$38:$C54)</f>
        <v>0.22745864872376298</v>
      </c>
      <c r="T54" s="605">
        <f>DSUM($B$28:$Y$31,T$38,$B$38:$C54)</f>
        <v>8.0125201803285653E-2</v>
      </c>
      <c r="U54" s="605">
        <f>DSUM($B$28:$Y$31,U$38,$B$38:$C54)</f>
        <v>2.2535573073247078E-2</v>
      </c>
      <c r="V54" s="605">
        <f>DSUM($B$28:$Y$31,V$38,$B$38:$C54)</f>
        <v>4.9238160098174274E-3</v>
      </c>
      <c r="W54" s="605">
        <f>DSUM($B$28:$Y$31,W$38,$B$38:$C54)</f>
        <v>8.1124785449243901E-4</v>
      </c>
      <c r="X54" s="605">
        <f>DSUM($B$28:$Y$31,X$38,$B$38:$C54)</f>
        <v>9.7598932402355177E-5</v>
      </c>
      <c r="Y54" s="605">
        <f>DSUM($B$28:$Y$31,Y$38,$B$38:$C54)</f>
        <v>36.330233099400537</v>
      </c>
      <c r="Z54"/>
      <c r="AA54"/>
      <c r="AB54"/>
      <c r="AC54"/>
      <c r="AD54"/>
    </row>
    <row r="55" spans="1:30">
      <c r="A55" t="s">
        <v>780</v>
      </c>
      <c r="B55" s="604" t="s">
        <v>1262</v>
      </c>
      <c r="C55" s="604" t="s">
        <v>1263</v>
      </c>
      <c r="D55" s="604"/>
      <c r="E55" s="605">
        <f>DSUM($B$28:$Y$31,E$38,$B$38:$C55)</f>
        <v>1.4584825083332145</v>
      </c>
      <c r="F55" s="605">
        <f>DSUM($B$28:$Y$31,F$38,$B$38:$C55)</f>
        <v>1.8004327364887311</v>
      </c>
      <c r="G55" s="605">
        <f>DSUM($B$28:$Y$31,G$38,$B$38:$C55)</f>
        <v>2.2149482882553069</v>
      </c>
      <c r="H55" s="605">
        <f>DSUM($B$28:$Y$31,H$38,$B$38:$C55)</f>
        <v>2.5844056983273256</v>
      </c>
      <c r="I55" s="605">
        <f>DSUM($B$28:$Y$31,I$38,$B$38:$C55)</f>
        <v>2.9622407134181237</v>
      </c>
      <c r="J55" s="605">
        <f>DSUM($B$28:$Y$31,J$38,$B$38:$C55)</f>
        <v>3.4791560390502472</v>
      </c>
      <c r="K55" s="605">
        <f>DSUM($B$28:$Y$31,K$38,$B$38:$C55)</f>
        <v>3.8331813717949244</v>
      </c>
      <c r="L55" s="605">
        <f>DSUM($B$28:$Y$31,L$38,$B$38:$C55)</f>
        <v>3.9317196452244216</v>
      </c>
      <c r="M55" s="605">
        <f>DSUM($B$28:$Y$31,M$38,$B$38:$C55)</f>
        <v>3.7192275307807439</v>
      </c>
      <c r="N55" s="605">
        <f>DSUM($B$28:$Y$31,N$38,$B$38:$C55)</f>
        <v>3.2084010189542695</v>
      </c>
      <c r="O55" s="605">
        <f>DSUM($B$28:$Y$31,O$38,$B$38:$C55)</f>
        <v>2.491182030019881</v>
      </c>
      <c r="P55" s="605">
        <f>DSUM($B$28:$Y$31,P$38,$B$38:$C55)</f>
        <v>1.7151479625160801</v>
      </c>
      <c r="Q55" s="605">
        <f>DSUM($B$28:$Y$31,Q$38,$B$38:$C55)</f>
        <v>1.0295154480791131</v>
      </c>
      <c r="R55" s="605">
        <f>DSUM($B$28:$Y$31,R$38,$B$38:$C55)</f>
        <v>0.52868160089124638</v>
      </c>
      <c r="S55" s="605">
        <f>DSUM($B$28:$Y$31,S$38,$B$38:$C55)</f>
        <v>0.22745864872376298</v>
      </c>
      <c r="T55" s="605">
        <f>DSUM($B$28:$Y$31,T$38,$B$38:$C55)</f>
        <v>8.0125201803285653E-2</v>
      </c>
      <c r="U55" s="605">
        <f>DSUM($B$28:$Y$31,U$38,$B$38:$C55)</f>
        <v>2.2535573073247078E-2</v>
      </c>
      <c r="V55" s="605">
        <f>DSUM($B$28:$Y$31,V$38,$B$38:$C55)</f>
        <v>4.9238160098174274E-3</v>
      </c>
      <c r="W55" s="605">
        <f>DSUM($B$28:$Y$31,W$38,$B$38:$C55)</f>
        <v>8.1124785449243901E-4</v>
      </c>
      <c r="X55" s="605">
        <f>DSUM($B$28:$Y$31,X$38,$B$38:$C55)</f>
        <v>9.7598932402355177E-5</v>
      </c>
      <c r="Y55" s="605">
        <f>DSUM($B$28:$Y$31,Y$38,$B$38:$C55)</f>
        <v>36.330233099400537</v>
      </c>
      <c r="Z55"/>
      <c r="AA55"/>
      <c r="AB55"/>
      <c r="AC55"/>
      <c r="AD55"/>
    </row>
    <row r="56" spans="1:30">
      <c r="A56" t="s">
        <v>781</v>
      </c>
      <c r="B56" s="604" t="s">
        <v>1264</v>
      </c>
      <c r="C56" s="604" t="s">
        <v>1265</v>
      </c>
      <c r="D56" s="604"/>
      <c r="E56" s="605">
        <f>DSUM($B$28:$Y$31,E$38,$B$38:$C56)</f>
        <v>1.4584825083332145</v>
      </c>
      <c r="F56" s="605">
        <f>DSUM($B$28:$Y$31,F$38,$B$38:$C56)</f>
        <v>1.8004327364887311</v>
      </c>
      <c r="G56" s="605">
        <f>DSUM($B$28:$Y$31,G$38,$B$38:$C56)</f>
        <v>2.2149482882553069</v>
      </c>
      <c r="H56" s="605">
        <f>DSUM($B$28:$Y$31,H$38,$B$38:$C56)</f>
        <v>2.5844056983273256</v>
      </c>
      <c r="I56" s="605">
        <f>DSUM($B$28:$Y$31,I$38,$B$38:$C56)</f>
        <v>2.9622407134181237</v>
      </c>
      <c r="J56" s="605">
        <f>DSUM($B$28:$Y$31,J$38,$B$38:$C56)</f>
        <v>3.4791560390502472</v>
      </c>
      <c r="K56" s="605">
        <f>DSUM($B$28:$Y$31,K$38,$B$38:$C56)</f>
        <v>3.8331813717949244</v>
      </c>
      <c r="L56" s="605">
        <f>DSUM($B$28:$Y$31,L$38,$B$38:$C56)</f>
        <v>3.9317196452244216</v>
      </c>
      <c r="M56" s="605">
        <f>DSUM($B$28:$Y$31,M$38,$B$38:$C56)</f>
        <v>3.7192275307807439</v>
      </c>
      <c r="N56" s="605">
        <f>DSUM($B$28:$Y$31,N$38,$B$38:$C56)</f>
        <v>3.2084010189542695</v>
      </c>
      <c r="O56" s="605">
        <f>DSUM($B$28:$Y$31,O$38,$B$38:$C56)</f>
        <v>2.491182030019881</v>
      </c>
      <c r="P56" s="605">
        <f>DSUM($B$28:$Y$31,P$38,$B$38:$C56)</f>
        <v>1.7151479625160801</v>
      </c>
      <c r="Q56" s="605">
        <f>DSUM($B$28:$Y$31,Q$38,$B$38:$C56)</f>
        <v>1.0295154480791131</v>
      </c>
      <c r="R56" s="605">
        <f>DSUM($B$28:$Y$31,R$38,$B$38:$C56)</f>
        <v>0.52868160089124638</v>
      </c>
      <c r="S56" s="605">
        <f>DSUM($B$28:$Y$31,S$38,$B$38:$C56)</f>
        <v>0.22745864872376298</v>
      </c>
      <c r="T56" s="605">
        <f>DSUM($B$28:$Y$31,T$38,$B$38:$C56)</f>
        <v>8.0125201803285653E-2</v>
      </c>
      <c r="U56" s="605">
        <f>DSUM($B$28:$Y$31,U$38,$B$38:$C56)</f>
        <v>2.2535573073247078E-2</v>
      </c>
      <c r="V56" s="605">
        <f>DSUM($B$28:$Y$31,V$38,$B$38:$C56)</f>
        <v>4.9238160098174274E-3</v>
      </c>
      <c r="W56" s="605">
        <f>DSUM($B$28:$Y$31,W$38,$B$38:$C56)</f>
        <v>8.1124785449243901E-4</v>
      </c>
      <c r="X56" s="605">
        <f>DSUM($B$28:$Y$31,X$38,$B$38:$C56)</f>
        <v>9.7598932402355177E-5</v>
      </c>
      <c r="Y56" s="605">
        <f>DSUM($B$28:$Y$31,Y$38,$B$38:$C56)</f>
        <v>36.330233099400537</v>
      </c>
      <c r="Z56"/>
      <c r="AA56"/>
      <c r="AB56"/>
      <c r="AC56"/>
      <c r="AD56"/>
    </row>
    <row r="57" spans="1:30">
      <c r="A57" t="s">
        <v>782</v>
      </c>
      <c r="B57" s="604" t="s">
        <v>1266</v>
      </c>
      <c r="C57" s="604" t="s">
        <v>1267</v>
      </c>
      <c r="D57" s="604"/>
      <c r="E57" s="605">
        <f>DSUM($B$28:$Y$31,E$38,$B$38:$C57)</f>
        <v>1.4584825083332145</v>
      </c>
      <c r="F57" s="605">
        <f>DSUM($B$28:$Y$31,F$38,$B$38:$C57)</f>
        <v>1.8004327364887311</v>
      </c>
      <c r="G57" s="605">
        <f>DSUM($B$28:$Y$31,G$38,$B$38:$C57)</f>
        <v>2.2149482882553069</v>
      </c>
      <c r="H57" s="605">
        <f>DSUM($B$28:$Y$31,H$38,$B$38:$C57)</f>
        <v>2.5844056983273256</v>
      </c>
      <c r="I57" s="605">
        <f>DSUM($B$28:$Y$31,I$38,$B$38:$C57)</f>
        <v>2.9622407134181237</v>
      </c>
      <c r="J57" s="605">
        <f>DSUM($B$28:$Y$31,J$38,$B$38:$C57)</f>
        <v>3.4791560390502472</v>
      </c>
      <c r="K57" s="605">
        <f>DSUM($B$28:$Y$31,K$38,$B$38:$C57)</f>
        <v>3.8331813717949244</v>
      </c>
      <c r="L57" s="605">
        <f>DSUM($B$28:$Y$31,L$38,$B$38:$C57)</f>
        <v>3.9317196452244216</v>
      </c>
      <c r="M57" s="605">
        <f>DSUM($B$28:$Y$31,M$38,$B$38:$C57)</f>
        <v>3.7192275307807439</v>
      </c>
      <c r="N57" s="605">
        <f>DSUM($B$28:$Y$31,N$38,$B$38:$C57)</f>
        <v>3.2084010189542695</v>
      </c>
      <c r="O57" s="605">
        <f>DSUM($B$28:$Y$31,O$38,$B$38:$C57)</f>
        <v>2.491182030019881</v>
      </c>
      <c r="P57" s="605">
        <f>DSUM($B$28:$Y$31,P$38,$B$38:$C57)</f>
        <v>1.7151479625160801</v>
      </c>
      <c r="Q57" s="605">
        <f>DSUM($B$28:$Y$31,Q$38,$B$38:$C57)</f>
        <v>1.0295154480791131</v>
      </c>
      <c r="R57" s="605">
        <f>DSUM($B$28:$Y$31,R$38,$B$38:$C57)</f>
        <v>0.52868160089124638</v>
      </c>
      <c r="S57" s="605">
        <f>DSUM($B$28:$Y$31,S$38,$B$38:$C57)</f>
        <v>0.22745864872376298</v>
      </c>
      <c r="T57" s="605">
        <f>DSUM($B$28:$Y$31,T$38,$B$38:$C57)</f>
        <v>8.0125201803285653E-2</v>
      </c>
      <c r="U57" s="605">
        <f>DSUM($B$28:$Y$31,U$38,$B$38:$C57)</f>
        <v>2.2535573073247078E-2</v>
      </c>
      <c r="V57" s="605">
        <f>DSUM($B$28:$Y$31,V$38,$B$38:$C57)</f>
        <v>4.9238160098174274E-3</v>
      </c>
      <c r="W57" s="605">
        <f>DSUM($B$28:$Y$31,W$38,$B$38:$C57)</f>
        <v>8.1124785449243901E-4</v>
      </c>
      <c r="X57" s="605">
        <f>DSUM($B$28:$Y$31,X$38,$B$38:$C57)</f>
        <v>9.7598932402355177E-5</v>
      </c>
      <c r="Y57" s="605">
        <f>DSUM($B$28:$Y$31,Y$38,$B$38:$C57)</f>
        <v>36.330233099400537</v>
      </c>
      <c r="Z57"/>
      <c r="AA57"/>
      <c r="AB57"/>
      <c r="AC57"/>
      <c r="AD57"/>
    </row>
    <row r="58" spans="1:30">
      <c r="A58" t="s">
        <v>783</v>
      </c>
      <c r="B58" s="604" t="s">
        <v>1268</v>
      </c>
      <c r="C58" s="604" t="s">
        <v>1269</v>
      </c>
      <c r="D58" s="604"/>
      <c r="E58" s="605">
        <f>DSUM($B$28:$Y$31,E$38,$B$38:$C58)</f>
        <v>1.4584825083332145</v>
      </c>
      <c r="F58" s="605">
        <f>DSUM($B$28:$Y$31,F$38,$B$38:$C58)</f>
        <v>1.8004327364887311</v>
      </c>
      <c r="G58" s="605">
        <f>DSUM($B$28:$Y$31,G$38,$B$38:$C58)</f>
        <v>2.2149482882553069</v>
      </c>
      <c r="H58" s="605">
        <f>DSUM($B$28:$Y$31,H$38,$B$38:$C58)</f>
        <v>2.5844056983273256</v>
      </c>
      <c r="I58" s="605">
        <f>DSUM($B$28:$Y$31,I$38,$B$38:$C58)</f>
        <v>2.9622407134181237</v>
      </c>
      <c r="J58" s="605">
        <f>DSUM($B$28:$Y$31,J$38,$B$38:$C58)</f>
        <v>3.4791560390502472</v>
      </c>
      <c r="K58" s="605">
        <f>DSUM($B$28:$Y$31,K$38,$B$38:$C58)</f>
        <v>3.8331813717949244</v>
      </c>
      <c r="L58" s="605">
        <f>DSUM($B$28:$Y$31,L$38,$B$38:$C58)</f>
        <v>3.9317196452244216</v>
      </c>
      <c r="M58" s="605">
        <f>DSUM($B$28:$Y$31,M$38,$B$38:$C58)</f>
        <v>3.7192275307807439</v>
      </c>
      <c r="N58" s="605">
        <f>DSUM($B$28:$Y$31,N$38,$B$38:$C58)</f>
        <v>3.2084010189542695</v>
      </c>
      <c r="O58" s="605">
        <f>DSUM($B$28:$Y$31,O$38,$B$38:$C58)</f>
        <v>2.491182030019881</v>
      </c>
      <c r="P58" s="605">
        <f>DSUM($B$28:$Y$31,P$38,$B$38:$C58)</f>
        <v>1.7151479625160801</v>
      </c>
      <c r="Q58" s="605">
        <f>DSUM($B$28:$Y$31,Q$38,$B$38:$C58)</f>
        <v>1.0295154480791131</v>
      </c>
      <c r="R58" s="605">
        <f>DSUM($B$28:$Y$31,R$38,$B$38:$C58)</f>
        <v>0.52868160089124638</v>
      </c>
      <c r="S58" s="605">
        <f>DSUM($B$28:$Y$31,S$38,$B$38:$C58)</f>
        <v>0.22745864872376298</v>
      </c>
      <c r="T58" s="605">
        <f>DSUM($B$28:$Y$31,T$38,$B$38:$C58)</f>
        <v>8.0125201803285653E-2</v>
      </c>
      <c r="U58" s="605">
        <f>DSUM($B$28:$Y$31,U$38,$B$38:$C58)</f>
        <v>2.2535573073247078E-2</v>
      </c>
      <c r="V58" s="605">
        <f>DSUM($B$28:$Y$31,V$38,$B$38:$C58)</f>
        <v>4.9238160098174274E-3</v>
      </c>
      <c r="W58" s="605">
        <f>DSUM($B$28:$Y$31,W$38,$B$38:$C58)</f>
        <v>8.1124785449243901E-4</v>
      </c>
      <c r="X58" s="605">
        <f>DSUM($B$28:$Y$31,X$38,$B$38:$C58)</f>
        <v>9.7598932402355177E-5</v>
      </c>
      <c r="Y58" s="605">
        <f>DSUM($B$28:$Y$31,Y$38,$B$38:$C58)</f>
        <v>36.330233099400537</v>
      </c>
      <c r="Z58"/>
      <c r="AA58"/>
      <c r="AB58"/>
      <c r="AC58"/>
      <c r="AD58"/>
    </row>
    <row r="59" spans="1:30">
      <c r="A59" t="s">
        <v>784</v>
      </c>
      <c r="B59" s="604" t="s">
        <v>1270</v>
      </c>
      <c r="C59" s="604" t="s">
        <v>1271</v>
      </c>
      <c r="D59" s="604"/>
      <c r="E59" s="605">
        <f>DSUM($B$28:$Y$31,E$38,$B$38:$C59)</f>
        <v>1.4584825083332145</v>
      </c>
      <c r="F59" s="605">
        <f>DSUM($B$28:$Y$31,F$38,$B$38:$C59)</f>
        <v>1.8004327364887311</v>
      </c>
      <c r="G59" s="605">
        <f>DSUM($B$28:$Y$31,G$38,$B$38:$C59)</f>
        <v>2.2149482882553069</v>
      </c>
      <c r="H59" s="605">
        <f>DSUM($B$28:$Y$31,H$38,$B$38:$C59)</f>
        <v>2.5844056983273256</v>
      </c>
      <c r="I59" s="605">
        <f>DSUM($B$28:$Y$31,I$38,$B$38:$C59)</f>
        <v>2.9622407134181237</v>
      </c>
      <c r="J59" s="605">
        <f>DSUM($B$28:$Y$31,J$38,$B$38:$C59)</f>
        <v>3.4791560390502472</v>
      </c>
      <c r="K59" s="605">
        <f>DSUM($B$28:$Y$31,K$38,$B$38:$C59)</f>
        <v>3.8331813717949244</v>
      </c>
      <c r="L59" s="605">
        <f>DSUM($B$28:$Y$31,L$38,$B$38:$C59)</f>
        <v>3.9317196452244216</v>
      </c>
      <c r="M59" s="605">
        <f>DSUM($B$28:$Y$31,M$38,$B$38:$C59)</f>
        <v>3.7192275307807439</v>
      </c>
      <c r="N59" s="605">
        <f>DSUM($B$28:$Y$31,N$38,$B$38:$C59)</f>
        <v>3.2084010189542695</v>
      </c>
      <c r="O59" s="605">
        <f>DSUM($B$28:$Y$31,O$38,$B$38:$C59)</f>
        <v>2.491182030019881</v>
      </c>
      <c r="P59" s="605">
        <f>DSUM($B$28:$Y$31,P$38,$B$38:$C59)</f>
        <v>1.7151479625160801</v>
      </c>
      <c r="Q59" s="605">
        <f>DSUM($B$28:$Y$31,Q$38,$B$38:$C59)</f>
        <v>1.0295154480791131</v>
      </c>
      <c r="R59" s="605">
        <f>DSUM($B$28:$Y$31,R$38,$B$38:$C59)</f>
        <v>0.52868160089124638</v>
      </c>
      <c r="S59" s="605">
        <f>DSUM($B$28:$Y$31,S$38,$B$38:$C59)</f>
        <v>0.22745864872376298</v>
      </c>
      <c r="T59" s="605">
        <f>DSUM($B$28:$Y$31,T$38,$B$38:$C59)</f>
        <v>8.0125201803285653E-2</v>
      </c>
      <c r="U59" s="605">
        <f>DSUM($B$28:$Y$31,U$38,$B$38:$C59)</f>
        <v>2.2535573073247078E-2</v>
      </c>
      <c r="V59" s="605">
        <f>DSUM($B$28:$Y$31,V$38,$B$38:$C59)</f>
        <v>4.9238160098174274E-3</v>
      </c>
      <c r="W59" s="605">
        <f>DSUM($B$28:$Y$31,W$38,$B$38:$C59)</f>
        <v>8.1124785449243901E-4</v>
      </c>
      <c r="X59" s="605">
        <f>DSUM($B$28:$Y$31,X$38,$B$38:$C59)</f>
        <v>9.7598932402355177E-5</v>
      </c>
      <c r="Y59" s="605">
        <f>DSUM($B$28:$Y$31,Y$38,$B$38:$C59)</f>
        <v>36.330233099400537</v>
      </c>
      <c r="Z59"/>
      <c r="AA59"/>
      <c r="AB59"/>
      <c r="AC59"/>
      <c r="AD59"/>
    </row>
    <row r="60" spans="1:30">
      <c r="A60" t="s">
        <v>1272</v>
      </c>
      <c r="B60" s="604" t="s">
        <v>1273</v>
      </c>
      <c r="C60" s="604" t="s">
        <v>1274</v>
      </c>
      <c r="D60" s="604"/>
      <c r="E60" s="605">
        <f>DSUM($B$28:$Y$31,E$38,$B$38:$C60)</f>
        <v>1.4584825083332145</v>
      </c>
      <c r="F60" s="605">
        <f>DSUM($B$28:$Y$31,F$38,$B$38:$C60)</f>
        <v>1.8004327364887311</v>
      </c>
      <c r="G60" s="605">
        <f>DSUM($B$28:$Y$31,G$38,$B$38:$C60)</f>
        <v>2.2149482882553069</v>
      </c>
      <c r="H60" s="605">
        <f>DSUM($B$28:$Y$31,H$38,$B$38:$C60)</f>
        <v>2.5844056983273256</v>
      </c>
      <c r="I60" s="605">
        <f>DSUM($B$28:$Y$31,I$38,$B$38:$C60)</f>
        <v>2.9622407134181237</v>
      </c>
      <c r="J60" s="605">
        <f>DSUM($B$28:$Y$31,J$38,$B$38:$C60)</f>
        <v>3.4791560390502472</v>
      </c>
      <c r="K60" s="605">
        <f>DSUM($B$28:$Y$31,K$38,$B$38:$C60)</f>
        <v>3.8331813717949244</v>
      </c>
      <c r="L60" s="605">
        <f>DSUM($B$28:$Y$31,L$38,$B$38:$C60)</f>
        <v>3.9317196452244216</v>
      </c>
      <c r="M60" s="605">
        <f>DSUM($B$28:$Y$31,M$38,$B$38:$C60)</f>
        <v>3.7192275307807439</v>
      </c>
      <c r="N60" s="605">
        <f>DSUM($B$28:$Y$31,N$38,$B$38:$C60)</f>
        <v>3.2084010189542695</v>
      </c>
      <c r="O60" s="605">
        <f>DSUM($B$28:$Y$31,O$38,$B$38:$C60)</f>
        <v>2.491182030019881</v>
      </c>
      <c r="P60" s="605">
        <f>DSUM($B$28:$Y$31,P$38,$B$38:$C60)</f>
        <v>1.7151479625160801</v>
      </c>
      <c r="Q60" s="605">
        <f>DSUM($B$28:$Y$31,Q$38,$B$38:$C60)</f>
        <v>1.0295154480791131</v>
      </c>
      <c r="R60" s="605">
        <f>DSUM($B$28:$Y$31,R$38,$B$38:$C60)</f>
        <v>0.52868160089124638</v>
      </c>
      <c r="S60" s="605">
        <f>DSUM($B$28:$Y$31,S$38,$B$38:$C60)</f>
        <v>0.22745864872376298</v>
      </c>
      <c r="T60" s="605">
        <f>DSUM($B$28:$Y$31,T$38,$B$38:$C60)</f>
        <v>8.0125201803285653E-2</v>
      </c>
      <c r="U60" s="605">
        <f>DSUM($B$28:$Y$31,U$38,$B$38:$C60)</f>
        <v>2.2535573073247078E-2</v>
      </c>
      <c r="V60" s="605">
        <f>DSUM($B$28:$Y$31,V$38,$B$38:$C60)</f>
        <v>4.9238160098174274E-3</v>
      </c>
      <c r="W60" s="605">
        <f>DSUM($B$28:$Y$31,W$38,$B$38:$C60)</f>
        <v>8.1124785449243901E-4</v>
      </c>
      <c r="X60" s="605">
        <f>DSUM($B$28:$Y$31,X$38,$B$38:$C60)</f>
        <v>9.7598932402355177E-5</v>
      </c>
      <c r="Y60" s="605">
        <f>DSUM($B$28:$Y$31,Y$38,$B$38:$C60)</f>
        <v>36.330233099400537</v>
      </c>
      <c r="Z60"/>
      <c r="AA60"/>
      <c r="AB60"/>
      <c r="AC60"/>
      <c r="AD60"/>
    </row>
    <row r="61" spans="1:30">
      <c r="A61" t="s">
        <v>1275</v>
      </c>
      <c r="B61" s="604" t="s">
        <v>1276</v>
      </c>
      <c r="C61" s="604" t="s">
        <v>1277</v>
      </c>
      <c r="D61" s="604"/>
      <c r="E61" s="605">
        <f>DSUM($B$28:$Y$31,E$38,$B$38:$C61)</f>
        <v>1.4584825083332145</v>
      </c>
      <c r="F61" s="605">
        <f>DSUM($B$28:$Y$31,F$38,$B$38:$C61)</f>
        <v>1.8004327364887311</v>
      </c>
      <c r="G61" s="605">
        <f>DSUM($B$28:$Y$31,G$38,$B$38:$C61)</f>
        <v>2.2149482882553069</v>
      </c>
      <c r="H61" s="605">
        <f>DSUM($B$28:$Y$31,H$38,$B$38:$C61)</f>
        <v>2.5844056983273256</v>
      </c>
      <c r="I61" s="605">
        <f>DSUM($B$28:$Y$31,I$38,$B$38:$C61)</f>
        <v>2.9622407134181237</v>
      </c>
      <c r="J61" s="605">
        <f>DSUM($B$28:$Y$31,J$38,$B$38:$C61)</f>
        <v>3.4791560390502472</v>
      </c>
      <c r="K61" s="605">
        <f>DSUM($B$28:$Y$31,K$38,$B$38:$C61)</f>
        <v>3.8331813717949244</v>
      </c>
      <c r="L61" s="605">
        <f>DSUM($B$28:$Y$31,L$38,$B$38:$C61)</f>
        <v>3.9317196452244216</v>
      </c>
      <c r="M61" s="605">
        <f>DSUM($B$28:$Y$31,M$38,$B$38:$C61)</f>
        <v>3.7192275307807439</v>
      </c>
      <c r="N61" s="605">
        <f>DSUM($B$28:$Y$31,N$38,$B$38:$C61)</f>
        <v>3.2084010189542695</v>
      </c>
      <c r="O61" s="605">
        <f>DSUM($B$28:$Y$31,O$38,$B$38:$C61)</f>
        <v>2.491182030019881</v>
      </c>
      <c r="P61" s="605">
        <f>DSUM($B$28:$Y$31,P$38,$B$38:$C61)</f>
        <v>1.7151479625160801</v>
      </c>
      <c r="Q61" s="605">
        <f>DSUM($B$28:$Y$31,Q$38,$B$38:$C61)</f>
        <v>1.0295154480791131</v>
      </c>
      <c r="R61" s="605">
        <f>DSUM($B$28:$Y$31,R$38,$B$38:$C61)</f>
        <v>0.52868160089124638</v>
      </c>
      <c r="S61" s="605">
        <f>DSUM($B$28:$Y$31,S$38,$B$38:$C61)</f>
        <v>0.22745864872376298</v>
      </c>
      <c r="T61" s="605">
        <f>DSUM($B$28:$Y$31,T$38,$B$38:$C61)</f>
        <v>8.0125201803285653E-2</v>
      </c>
      <c r="U61" s="605">
        <f>DSUM($B$28:$Y$31,U$38,$B$38:$C61)</f>
        <v>2.2535573073247078E-2</v>
      </c>
      <c r="V61" s="605">
        <f>DSUM($B$28:$Y$31,V$38,$B$38:$C61)</f>
        <v>4.9238160098174274E-3</v>
      </c>
      <c r="W61" s="605">
        <f>DSUM($B$28:$Y$31,W$38,$B$38:$C61)</f>
        <v>8.1124785449243901E-4</v>
      </c>
      <c r="X61" s="605">
        <f>DSUM($B$28:$Y$31,X$38,$B$38:$C61)</f>
        <v>9.7598932402355177E-5</v>
      </c>
      <c r="Y61" s="605">
        <f>DSUM($B$28:$Y$31,Y$38,$B$38:$C61)</f>
        <v>36.330233099400537</v>
      </c>
      <c r="Z61"/>
      <c r="AA61"/>
      <c r="AB61"/>
      <c r="AC61"/>
      <c r="AD61"/>
    </row>
    <row r="62" spans="1:30">
      <c r="A62" t="s">
        <v>1278</v>
      </c>
      <c r="B62" s="604" t="s">
        <v>1279</v>
      </c>
      <c r="C62" s="604" t="s">
        <v>1280</v>
      </c>
      <c r="D62" s="604"/>
      <c r="E62" s="605">
        <f>DSUM($B$28:$Y$31,E$38,$B$38:$C62)</f>
        <v>1.4584825083332145</v>
      </c>
      <c r="F62" s="605">
        <f>DSUM($B$28:$Y$31,F$38,$B$38:$C62)</f>
        <v>1.8004327364887311</v>
      </c>
      <c r="G62" s="605">
        <f>DSUM($B$28:$Y$31,G$38,$B$38:$C62)</f>
        <v>2.2149482882553069</v>
      </c>
      <c r="H62" s="605">
        <f>DSUM($B$28:$Y$31,H$38,$B$38:$C62)</f>
        <v>2.5844056983273256</v>
      </c>
      <c r="I62" s="605">
        <f>DSUM($B$28:$Y$31,I$38,$B$38:$C62)</f>
        <v>2.9622407134181237</v>
      </c>
      <c r="J62" s="605">
        <f>DSUM($B$28:$Y$31,J$38,$B$38:$C62)</f>
        <v>3.4791560390502472</v>
      </c>
      <c r="K62" s="605">
        <f>DSUM($B$28:$Y$31,K$38,$B$38:$C62)</f>
        <v>3.8331813717949244</v>
      </c>
      <c r="L62" s="605">
        <f>DSUM($B$28:$Y$31,L$38,$B$38:$C62)</f>
        <v>3.9317196452244216</v>
      </c>
      <c r="M62" s="605">
        <f>DSUM($B$28:$Y$31,M$38,$B$38:$C62)</f>
        <v>3.7192275307807439</v>
      </c>
      <c r="N62" s="605">
        <f>DSUM($B$28:$Y$31,N$38,$B$38:$C62)</f>
        <v>3.2084010189542695</v>
      </c>
      <c r="O62" s="605">
        <f>DSUM($B$28:$Y$31,O$38,$B$38:$C62)</f>
        <v>2.491182030019881</v>
      </c>
      <c r="P62" s="605">
        <f>DSUM($B$28:$Y$31,P$38,$B$38:$C62)</f>
        <v>1.7151479625160801</v>
      </c>
      <c r="Q62" s="605">
        <f>DSUM($B$28:$Y$31,Q$38,$B$38:$C62)</f>
        <v>1.0295154480791131</v>
      </c>
      <c r="R62" s="605">
        <f>DSUM($B$28:$Y$31,R$38,$B$38:$C62)</f>
        <v>0.52868160089124638</v>
      </c>
      <c r="S62" s="605">
        <f>DSUM($B$28:$Y$31,S$38,$B$38:$C62)</f>
        <v>0.22745864872376298</v>
      </c>
      <c r="T62" s="605">
        <f>DSUM($B$28:$Y$31,T$38,$B$38:$C62)</f>
        <v>8.0125201803285653E-2</v>
      </c>
      <c r="U62" s="605">
        <f>DSUM($B$28:$Y$31,U$38,$B$38:$C62)</f>
        <v>2.2535573073247078E-2</v>
      </c>
      <c r="V62" s="605">
        <f>DSUM($B$28:$Y$31,V$38,$B$38:$C62)</f>
        <v>4.9238160098174274E-3</v>
      </c>
      <c r="W62" s="605">
        <f>DSUM($B$28:$Y$31,W$38,$B$38:$C62)</f>
        <v>8.1124785449243901E-4</v>
      </c>
      <c r="X62" s="605">
        <f>DSUM($B$28:$Y$31,X$38,$B$38:$C62)</f>
        <v>9.7598932402355177E-5</v>
      </c>
      <c r="Y62" s="605">
        <f>DSUM($B$28:$Y$31,Y$38,$B$38:$C62)</f>
        <v>36.330233099400537</v>
      </c>
      <c r="Z62"/>
      <c r="AA62"/>
      <c r="AB62"/>
      <c r="AC62"/>
      <c r="AD62"/>
    </row>
    <row r="63" spans="1:30">
      <c r="A63" t="s">
        <v>1281</v>
      </c>
      <c r="B63" s="604" t="s">
        <v>1282</v>
      </c>
      <c r="C63" s="604" t="s">
        <v>1283</v>
      </c>
      <c r="D63" s="604"/>
      <c r="E63" s="605">
        <f>DSUM($B$28:$Y$31,E$38,$B$38:$C63)</f>
        <v>1.4584825083332145</v>
      </c>
      <c r="F63" s="605">
        <f>DSUM($B$28:$Y$31,F$38,$B$38:$C63)</f>
        <v>1.8004327364887311</v>
      </c>
      <c r="G63" s="605">
        <f>DSUM($B$28:$Y$31,G$38,$B$38:$C63)</f>
        <v>2.2149482882553069</v>
      </c>
      <c r="H63" s="605">
        <f>DSUM($B$28:$Y$31,H$38,$B$38:$C63)</f>
        <v>2.5844056983273256</v>
      </c>
      <c r="I63" s="605">
        <f>DSUM($B$28:$Y$31,I$38,$B$38:$C63)</f>
        <v>2.9622407134181237</v>
      </c>
      <c r="J63" s="605">
        <f>DSUM($B$28:$Y$31,J$38,$B$38:$C63)</f>
        <v>3.4791560390502472</v>
      </c>
      <c r="K63" s="605">
        <f>DSUM($B$28:$Y$31,K$38,$B$38:$C63)</f>
        <v>3.8331813717949244</v>
      </c>
      <c r="L63" s="605">
        <f>DSUM($B$28:$Y$31,L$38,$B$38:$C63)</f>
        <v>3.9317196452244216</v>
      </c>
      <c r="M63" s="605">
        <f>DSUM($B$28:$Y$31,M$38,$B$38:$C63)</f>
        <v>3.7192275307807439</v>
      </c>
      <c r="N63" s="605">
        <f>DSUM($B$28:$Y$31,N$38,$B$38:$C63)</f>
        <v>3.2084010189542695</v>
      </c>
      <c r="O63" s="605">
        <f>DSUM($B$28:$Y$31,O$38,$B$38:$C63)</f>
        <v>2.491182030019881</v>
      </c>
      <c r="P63" s="605">
        <f>DSUM($B$28:$Y$31,P$38,$B$38:$C63)</f>
        <v>1.7151479625160801</v>
      </c>
      <c r="Q63" s="605">
        <f>DSUM($B$28:$Y$31,Q$38,$B$38:$C63)</f>
        <v>1.0295154480791131</v>
      </c>
      <c r="R63" s="605">
        <f>DSUM($B$28:$Y$31,R$38,$B$38:$C63)</f>
        <v>0.52868160089124638</v>
      </c>
      <c r="S63" s="605">
        <f>DSUM($B$28:$Y$31,S$38,$B$38:$C63)</f>
        <v>0.22745864872376298</v>
      </c>
      <c r="T63" s="605">
        <f>DSUM($B$28:$Y$31,T$38,$B$38:$C63)</f>
        <v>8.0125201803285653E-2</v>
      </c>
      <c r="U63" s="605">
        <f>DSUM($B$28:$Y$31,U$38,$B$38:$C63)</f>
        <v>2.2535573073247078E-2</v>
      </c>
      <c r="V63" s="605">
        <f>DSUM($B$28:$Y$31,V$38,$B$38:$C63)</f>
        <v>4.9238160098174274E-3</v>
      </c>
      <c r="W63" s="605">
        <f>DSUM($B$28:$Y$31,W$38,$B$38:$C63)</f>
        <v>8.1124785449243901E-4</v>
      </c>
      <c r="X63" s="605">
        <f>DSUM($B$28:$Y$31,X$38,$B$38:$C63)</f>
        <v>9.7598932402355177E-5</v>
      </c>
      <c r="Y63" s="605">
        <f>DSUM($B$28:$Y$31,Y$38,$B$38:$C63)</f>
        <v>36.330233099400537</v>
      </c>
      <c r="Z63"/>
      <c r="AA63"/>
      <c r="AB63"/>
      <c r="AC63"/>
      <c r="AD63"/>
    </row>
    <row r="64" spans="1:30">
      <c r="A64" t="s">
        <v>1284</v>
      </c>
      <c r="B64" s="604" t="s">
        <v>1285</v>
      </c>
      <c r="C64" s="604" t="s">
        <v>1286</v>
      </c>
      <c r="D64" s="604"/>
      <c r="E64" s="605">
        <f>DSUM($B$28:$Y$31,E$38,$B$38:$C64)</f>
        <v>1.4584825083332145</v>
      </c>
      <c r="F64" s="605">
        <f>DSUM($B$28:$Y$31,F$38,$B$38:$C64)</f>
        <v>1.8004327364887311</v>
      </c>
      <c r="G64" s="605">
        <f>DSUM($B$28:$Y$31,G$38,$B$38:$C64)</f>
        <v>2.2149482882553069</v>
      </c>
      <c r="H64" s="605">
        <f>DSUM($B$28:$Y$31,H$38,$B$38:$C64)</f>
        <v>2.5844056983273256</v>
      </c>
      <c r="I64" s="605">
        <f>DSUM($B$28:$Y$31,I$38,$B$38:$C64)</f>
        <v>2.9622407134181237</v>
      </c>
      <c r="J64" s="605">
        <f>DSUM($B$28:$Y$31,J$38,$B$38:$C64)</f>
        <v>3.4791560390502472</v>
      </c>
      <c r="K64" s="605">
        <f>DSUM($B$28:$Y$31,K$38,$B$38:$C64)</f>
        <v>3.8331813717949244</v>
      </c>
      <c r="L64" s="605">
        <f>DSUM($B$28:$Y$31,L$38,$B$38:$C64)</f>
        <v>3.9317196452244216</v>
      </c>
      <c r="M64" s="605">
        <f>DSUM($B$28:$Y$31,M$38,$B$38:$C64)</f>
        <v>3.7192275307807439</v>
      </c>
      <c r="N64" s="605">
        <f>DSUM($B$28:$Y$31,N$38,$B$38:$C64)</f>
        <v>3.2084010189542695</v>
      </c>
      <c r="O64" s="605">
        <f>DSUM($B$28:$Y$31,O$38,$B$38:$C64)</f>
        <v>2.491182030019881</v>
      </c>
      <c r="P64" s="605">
        <f>DSUM($B$28:$Y$31,P$38,$B$38:$C64)</f>
        <v>1.7151479625160801</v>
      </c>
      <c r="Q64" s="605">
        <f>DSUM($B$28:$Y$31,Q$38,$B$38:$C64)</f>
        <v>1.0295154480791131</v>
      </c>
      <c r="R64" s="605">
        <f>DSUM($B$28:$Y$31,R$38,$B$38:$C64)</f>
        <v>0.52868160089124638</v>
      </c>
      <c r="S64" s="605">
        <f>DSUM($B$28:$Y$31,S$38,$B$38:$C64)</f>
        <v>0.22745864872376298</v>
      </c>
      <c r="T64" s="605">
        <f>DSUM($B$28:$Y$31,T$38,$B$38:$C64)</f>
        <v>8.0125201803285653E-2</v>
      </c>
      <c r="U64" s="605">
        <f>DSUM($B$28:$Y$31,U$38,$B$38:$C64)</f>
        <v>2.2535573073247078E-2</v>
      </c>
      <c r="V64" s="605">
        <f>DSUM($B$28:$Y$31,V$38,$B$38:$C64)</f>
        <v>4.9238160098174274E-3</v>
      </c>
      <c r="W64" s="605">
        <f>DSUM($B$28:$Y$31,W$38,$B$38:$C64)</f>
        <v>8.1124785449243901E-4</v>
      </c>
      <c r="X64" s="605">
        <f>DSUM($B$28:$Y$31,X$38,$B$38:$C64)</f>
        <v>9.7598932402355177E-5</v>
      </c>
      <c r="Y64" s="605">
        <f>DSUM($B$28:$Y$31,Y$38,$B$38:$C64)</f>
        <v>36.330233099400537</v>
      </c>
      <c r="Z64"/>
      <c r="AA64"/>
      <c r="AB64"/>
      <c r="AC64"/>
      <c r="AD64"/>
    </row>
    <row r="65" spans="1:30">
      <c r="A65" t="s">
        <v>1287</v>
      </c>
      <c r="B65" s="604" t="s">
        <v>1288</v>
      </c>
      <c r="C65" s="604" t="s">
        <v>1289</v>
      </c>
      <c r="D65" s="604"/>
      <c r="E65" s="605">
        <f>DSUM($B$28:$Y$31,E$38,$B$38:$C65)</f>
        <v>1.4584825083332145</v>
      </c>
      <c r="F65" s="605">
        <f>DSUM($B$28:$Y$31,F$38,$B$38:$C65)</f>
        <v>1.8004327364887311</v>
      </c>
      <c r="G65" s="605">
        <f>DSUM($B$28:$Y$31,G$38,$B$38:$C65)</f>
        <v>2.2149482882553069</v>
      </c>
      <c r="H65" s="605">
        <f>DSUM($B$28:$Y$31,H$38,$B$38:$C65)</f>
        <v>2.5844056983273256</v>
      </c>
      <c r="I65" s="605">
        <f>DSUM($B$28:$Y$31,I$38,$B$38:$C65)</f>
        <v>2.9622407134181237</v>
      </c>
      <c r="J65" s="605">
        <f>DSUM($B$28:$Y$31,J$38,$B$38:$C65)</f>
        <v>3.4791560390502472</v>
      </c>
      <c r="K65" s="605">
        <f>DSUM($B$28:$Y$31,K$38,$B$38:$C65)</f>
        <v>3.8331813717949244</v>
      </c>
      <c r="L65" s="605">
        <f>DSUM($B$28:$Y$31,L$38,$B$38:$C65)</f>
        <v>3.9317196452244216</v>
      </c>
      <c r="M65" s="605">
        <f>DSUM($B$28:$Y$31,M$38,$B$38:$C65)</f>
        <v>3.7192275307807439</v>
      </c>
      <c r="N65" s="605">
        <f>DSUM($B$28:$Y$31,N$38,$B$38:$C65)</f>
        <v>3.2084010189542695</v>
      </c>
      <c r="O65" s="605">
        <f>DSUM($B$28:$Y$31,O$38,$B$38:$C65)</f>
        <v>2.491182030019881</v>
      </c>
      <c r="P65" s="605">
        <f>DSUM($B$28:$Y$31,P$38,$B$38:$C65)</f>
        <v>1.7151479625160801</v>
      </c>
      <c r="Q65" s="605">
        <f>DSUM($B$28:$Y$31,Q$38,$B$38:$C65)</f>
        <v>1.0295154480791131</v>
      </c>
      <c r="R65" s="605">
        <f>DSUM($B$28:$Y$31,R$38,$B$38:$C65)</f>
        <v>0.52868160089124638</v>
      </c>
      <c r="S65" s="605">
        <f>DSUM($B$28:$Y$31,S$38,$B$38:$C65)</f>
        <v>0.22745864872376298</v>
      </c>
      <c r="T65" s="605">
        <f>DSUM($B$28:$Y$31,T$38,$B$38:$C65)</f>
        <v>8.0125201803285653E-2</v>
      </c>
      <c r="U65" s="605">
        <f>DSUM($B$28:$Y$31,U$38,$B$38:$C65)</f>
        <v>2.2535573073247078E-2</v>
      </c>
      <c r="V65" s="605">
        <f>DSUM($B$28:$Y$31,V$38,$B$38:$C65)</f>
        <v>4.9238160098174274E-3</v>
      </c>
      <c r="W65" s="605">
        <f>DSUM($B$28:$Y$31,W$38,$B$38:$C65)</f>
        <v>8.1124785449243901E-4</v>
      </c>
      <c r="X65" s="605">
        <f>DSUM($B$28:$Y$31,X$38,$B$38:$C65)</f>
        <v>9.7598932402355177E-5</v>
      </c>
      <c r="Y65" s="605">
        <f>DSUM($B$28:$Y$31,Y$38,$B$38:$C65)</f>
        <v>36.330233099400537</v>
      </c>
      <c r="Z65"/>
      <c r="AA65"/>
      <c r="AB65"/>
      <c r="AC65"/>
      <c r="AD65"/>
    </row>
    <row r="66" spans="1:30">
      <c r="A66" t="s">
        <v>1290</v>
      </c>
      <c r="B66" s="604" t="s">
        <v>1291</v>
      </c>
      <c r="C66" s="604" t="s">
        <v>1292</v>
      </c>
      <c r="D66" s="604"/>
      <c r="E66" s="605">
        <f>DSUM($B$28:$Y$31,E$38,$B$38:$C66)</f>
        <v>1.4584825083332145</v>
      </c>
      <c r="F66" s="605">
        <f>DSUM($B$28:$Y$31,F$38,$B$38:$C66)</f>
        <v>1.8004327364887311</v>
      </c>
      <c r="G66" s="605">
        <f>DSUM($B$28:$Y$31,G$38,$B$38:$C66)</f>
        <v>2.2149482882553069</v>
      </c>
      <c r="H66" s="605">
        <f>DSUM($B$28:$Y$31,H$38,$B$38:$C66)</f>
        <v>2.5844056983273256</v>
      </c>
      <c r="I66" s="605">
        <f>DSUM($B$28:$Y$31,I$38,$B$38:$C66)</f>
        <v>2.9622407134181237</v>
      </c>
      <c r="J66" s="605">
        <f>DSUM($B$28:$Y$31,J$38,$B$38:$C66)</f>
        <v>3.4791560390502472</v>
      </c>
      <c r="K66" s="605">
        <f>DSUM($B$28:$Y$31,K$38,$B$38:$C66)</f>
        <v>3.8331813717949244</v>
      </c>
      <c r="L66" s="605">
        <f>DSUM($B$28:$Y$31,L$38,$B$38:$C66)</f>
        <v>3.9317196452244216</v>
      </c>
      <c r="M66" s="605">
        <f>DSUM($B$28:$Y$31,M$38,$B$38:$C66)</f>
        <v>3.7192275307807439</v>
      </c>
      <c r="N66" s="605">
        <f>DSUM($B$28:$Y$31,N$38,$B$38:$C66)</f>
        <v>3.2084010189542695</v>
      </c>
      <c r="O66" s="605">
        <f>DSUM($B$28:$Y$31,O$38,$B$38:$C66)</f>
        <v>2.491182030019881</v>
      </c>
      <c r="P66" s="605">
        <f>DSUM($B$28:$Y$31,P$38,$B$38:$C66)</f>
        <v>1.7151479625160801</v>
      </c>
      <c r="Q66" s="605">
        <f>DSUM($B$28:$Y$31,Q$38,$B$38:$C66)</f>
        <v>1.0295154480791131</v>
      </c>
      <c r="R66" s="605">
        <f>DSUM($B$28:$Y$31,R$38,$B$38:$C66)</f>
        <v>0.52868160089124638</v>
      </c>
      <c r="S66" s="605">
        <f>DSUM($B$28:$Y$31,S$38,$B$38:$C66)</f>
        <v>0.22745864872376298</v>
      </c>
      <c r="T66" s="605">
        <f>DSUM($B$28:$Y$31,T$38,$B$38:$C66)</f>
        <v>8.0125201803285653E-2</v>
      </c>
      <c r="U66" s="605">
        <f>DSUM($B$28:$Y$31,U$38,$B$38:$C66)</f>
        <v>2.2535573073247078E-2</v>
      </c>
      <c r="V66" s="605">
        <f>DSUM($B$28:$Y$31,V$38,$B$38:$C66)</f>
        <v>4.9238160098174274E-3</v>
      </c>
      <c r="W66" s="605">
        <f>DSUM($B$28:$Y$31,W$38,$B$38:$C66)</f>
        <v>8.1124785449243901E-4</v>
      </c>
      <c r="X66" s="605">
        <f>DSUM($B$28:$Y$31,X$38,$B$38:$C66)</f>
        <v>9.7598932402355177E-5</v>
      </c>
      <c r="Y66" s="605">
        <f>DSUM($B$28:$Y$31,Y$38,$B$38:$C66)</f>
        <v>36.330233099400537</v>
      </c>
      <c r="Z66"/>
      <c r="AA66"/>
      <c r="AB66"/>
      <c r="AC66"/>
      <c r="AD66"/>
    </row>
    <row r="67" spans="1:30">
      <c r="A67" t="s">
        <v>1293</v>
      </c>
      <c r="B67" s="604" t="s">
        <v>1294</v>
      </c>
      <c r="C67" s="604" t="s">
        <v>1295</v>
      </c>
      <c r="D67" s="604"/>
      <c r="E67" s="605">
        <f>DSUM($B$28:$Y$31,E$38,$B$38:$C67)</f>
        <v>1.4584825083332145</v>
      </c>
      <c r="F67" s="605">
        <f>DSUM($B$28:$Y$31,F$38,$B$38:$C67)</f>
        <v>1.8004327364887311</v>
      </c>
      <c r="G67" s="605">
        <f>DSUM($B$28:$Y$31,G$38,$B$38:$C67)</f>
        <v>2.2149482882553069</v>
      </c>
      <c r="H67" s="605">
        <f>DSUM($B$28:$Y$31,H$38,$B$38:$C67)</f>
        <v>2.5844056983273256</v>
      </c>
      <c r="I67" s="605">
        <f>DSUM($B$28:$Y$31,I$38,$B$38:$C67)</f>
        <v>2.9622407134181237</v>
      </c>
      <c r="J67" s="605">
        <f>DSUM($B$28:$Y$31,J$38,$B$38:$C67)</f>
        <v>3.4791560390502472</v>
      </c>
      <c r="K67" s="605">
        <f>DSUM($B$28:$Y$31,K$38,$B$38:$C67)</f>
        <v>3.8331813717949244</v>
      </c>
      <c r="L67" s="605">
        <f>DSUM($B$28:$Y$31,L$38,$B$38:$C67)</f>
        <v>3.9317196452244216</v>
      </c>
      <c r="M67" s="605">
        <f>DSUM($B$28:$Y$31,M$38,$B$38:$C67)</f>
        <v>3.7192275307807439</v>
      </c>
      <c r="N67" s="605">
        <f>DSUM($B$28:$Y$31,N$38,$B$38:$C67)</f>
        <v>3.2084010189542695</v>
      </c>
      <c r="O67" s="605">
        <f>DSUM($B$28:$Y$31,O$38,$B$38:$C67)</f>
        <v>2.491182030019881</v>
      </c>
      <c r="P67" s="605">
        <f>DSUM($B$28:$Y$31,P$38,$B$38:$C67)</f>
        <v>1.7151479625160801</v>
      </c>
      <c r="Q67" s="605">
        <f>DSUM($B$28:$Y$31,Q$38,$B$38:$C67)</f>
        <v>1.0295154480791131</v>
      </c>
      <c r="R67" s="605">
        <f>DSUM($B$28:$Y$31,R$38,$B$38:$C67)</f>
        <v>0.52868160089124638</v>
      </c>
      <c r="S67" s="605">
        <f>DSUM($B$28:$Y$31,S$38,$B$38:$C67)</f>
        <v>0.22745864872376298</v>
      </c>
      <c r="T67" s="605">
        <f>DSUM($B$28:$Y$31,T$38,$B$38:$C67)</f>
        <v>8.0125201803285653E-2</v>
      </c>
      <c r="U67" s="605">
        <f>DSUM($B$28:$Y$31,U$38,$B$38:$C67)</f>
        <v>2.2535573073247078E-2</v>
      </c>
      <c r="V67" s="605">
        <f>DSUM($B$28:$Y$31,V$38,$B$38:$C67)</f>
        <v>4.9238160098174274E-3</v>
      </c>
      <c r="W67" s="605">
        <f>DSUM($B$28:$Y$31,W$38,$B$38:$C67)</f>
        <v>8.1124785449243901E-4</v>
      </c>
      <c r="X67" s="605">
        <f>DSUM($B$28:$Y$31,X$38,$B$38:$C67)</f>
        <v>9.7598932402355177E-5</v>
      </c>
      <c r="Y67" s="605">
        <f>DSUM($B$28:$Y$31,Y$38,$B$38:$C67)</f>
        <v>36.330233099400537</v>
      </c>
      <c r="Z67"/>
      <c r="AA67"/>
      <c r="AB67"/>
      <c r="AC67"/>
      <c r="AD67"/>
    </row>
    <row r="68" spans="1:30">
      <c r="A68" t="s">
        <v>1296</v>
      </c>
      <c r="B68" s="604" t="s">
        <v>1297</v>
      </c>
      <c r="C68" s="604" t="s">
        <v>1298</v>
      </c>
      <c r="D68" s="604"/>
      <c r="E68" s="605">
        <f>DSUM($B$28:$Y$31,E$38,$B$38:$C68)</f>
        <v>1.4584825083332145</v>
      </c>
      <c r="F68" s="605">
        <f>DSUM($B$28:$Y$31,F$38,$B$38:$C68)</f>
        <v>1.8004327364887311</v>
      </c>
      <c r="G68" s="605">
        <f>DSUM($B$28:$Y$31,G$38,$B$38:$C68)</f>
        <v>2.2149482882553069</v>
      </c>
      <c r="H68" s="605">
        <f>DSUM($B$28:$Y$31,H$38,$B$38:$C68)</f>
        <v>2.5844056983273256</v>
      </c>
      <c r="I68" s="605">
        <f>DSUM($B$28:$Y$31,I$38,$B$38:$C68)</f>
        <v>2.9622407134181237</v>
      </c>
      <c r="J68" s="605">
        <f>DSUM($B$28:$Y$31,J$38,$B$38:$C68)</f>
        <v>3.4791560390502472</v>
      </c>
      <c r="K68" s="605">
        <f>DSUM($B$28:$Y$31,K$38,$B$38:$C68)</f>
        <v>3.8331813717949244</v>
      </c>
      <c r="L68" s="605">
        <f>DSUM($B$28:$Y$31,L$38,$B$38:$C68)</f>
        <v>3.9317196452244216</v>
      </c>
      <c r="M68" s="605">
        <f>DSUM($B$28:$Y$31,M$38,$B$38:$C68)</f>
        <v>3.7192275307807439</v>
      </c>
      <c r="N68" s="605">
        <f>DSUM($B$28:$Y$31,N$38,$B$38:$C68)</f>
        <v>3.2084010189542695</v>
      </c>
      <c r="O68" s="605">
        <f>DSUM($B$28:$Y$31,O$38,$B$38:$C68)</f>
        <v>2.491182030019881</v>
      </c>
      <c r="P68" s="605">
        <f>DSUM($B$28:$Y$31,P$38,$B$38:$C68)</f>
        <v>1.7151479625160801</v>
      </c>
      <c r="Q68" s="605">
        <f>DSUM($B$28:$Y$31,Q$38,$B$38:$C68)</f>
        <v>1.0295154480791131</v>
      </c>
      <c r="R68" s="605">
        <f>DSUM($B$28:$Y$31,R$38,$B$38:$C68)</f>
        <v>0.52868160089124638</v>
      </c>
      <c r="S68" s="605">
        <f>DSUM($B$28:$Y$31,S$38,$B$38:$C68)</f>
        <v>0.22745864872376298</v>
      </c>
      <c r="T68" s="605">
        <f>DSUM($B$28:$Y$31,T$38,$B$38:$C68)</f>
        <v>8.0125201803285653E-2</v>
      </c>
      <c r="U68" s="605">
        <f>DSUM($B$28:$Y$31,U$38,$B$38:$C68)</f>
        <v>2.2535573073247078E-2</v>
      </c>
      <c r="V68" s="605">
        <f>DSUM($B$28:$Y$31,V$38,$B$38:$C68)</f>
        <v>4.9238160098174274E-3</v>
      </c>
      <c r="W68" s="605">
        <f>DSUM($B$28:$Y$31,W$38,$B$38:$C68)</f>
        <v>8.1124785449243901E-4</v>
      </c>
      <c r="X68" s="605">
        <f>DSUM($B$28:$Y$31,X$38,$B$38:$C68)</f>
        <v>9.7598932402355177E-5</v>
      </c>
      <c r="Y68" s="605">
        <f>DSUM($B$28:$Y$31,Y$38,$B$38:$C68)</f>
        <v>36.330233099400537</v>
      </c>
      <c r="Z68"/>
      <c r="AA68"/>
      <c r="AB68"/>
      <c r="AC68"/>
      <c r="AD68"/>
    </row>
    <row r="69" spans="1:30">
      <c r="A69" t="s">
        <v>1299</v>
      </c>
      <c r="B69" s="604" t="s">
        <v>1300</v>
      </c>
      <c r="C69" s="604" t="s">
        <v>1301</v>
      </c>
      <c r="D69" s="604"/>
      <c r="E69" s="605">
        <f>DSUM($B$28:$Y$31,E$38,$B$38:$C69)</f>
        <v>1.4584825083332145</v>
      </c>
      <c r="F69" s="605">
        <f>DSUM($B$28:$Y$31,F$38,$B$38:$C69)</f>
        <v>1.8004327364887311</v>
      </c>
      <c r="G69" s="605">
        <f>DSUM($B$28:$Y$31,G$38,$B$38:$C69)</f>
        <v>2.2149482882553069</v>
      </c>
      <c r="H69" s="605">
        <f>DSUM($B$28:$Y$31,H$38,$B$38:$C69)</f>
        <v>2.5844056983273256</v>
      </c>
      <c r="I69" s="605">
        <f>DSUM($B$28:$Y$31,I$38,$B$38:$C69)</f>
        <v>2.9622407134181237</v>
      </c>
      <c r="J69" s="605">
        <f>DSUM($B$28:$Y$31,J$38,$B$38:$C69)</f>
        <v>3.4791560390502472</v>
      </c>
      <c r="K69" s="605">
        <f>DSUM($B$28:$Y$31,K$38,$B$38:$C69)</f>
        <v>3.8331813717949244</v>
      </c>
      <c r="L69" s="605">
        <f>DSUM($B$28:$Y$31,L$38,$B$38:$C69)</f>
        <v>3.9317196452244216</v>
      </c>
      <c r="M69" s="605">
        <f>DSUM($B$28:$Y$31,M$38,$B$38:$C69)</f>
        <v>3.7192275307807439</v>
      </c>
      <c r="N69" s="605">
        <f>DSUM($B$28:$Y$31,N$38,$B$38:$C69)</f>
        <v>3.2084010189542695</v>
      </c>
      <c r="O69" s="605">
        <f>DSUM($B$28:$Y$31,O$38,$B$38:$C69)</f>
        <v>2.491182030019881</v>
      </c>
      <c r="P69" s="605">
        <f>DSUM($B$28:$Y$31,P$38,$B$38:$C69)</f>
        <v>1.7151479625160801</v>
      </c>
      <c r="Q69" s="605">
        <f>DSUM($B$28:$Y$31,Q$38,$B$38:$C69)</f>
        <v>1.0295154480791131</v>
      </c>
      <c r="R69" s="605">
        <f>DSUM($B$28:$Y$31,R$38,$B$38:$C69)</f>
        <v>0.52868160089124638</v>
      </c>
      <c r="S69" s="605">
        <f>DSUM($B$28:$Y$31,S$38,$B$38:$C69)</f>
        <v>0.22745864872376298</v>
      </c>
      <c r="T69" s="605">
        <f>DSUM($B$28:$Y$31,T$38,$B$38:$C69)</f>
        <v>8.0125201803285653E-2</v>
      </c>
      <c r="U69" s="605">
        <f>DSUM($B$28:$Y$31,U$38,$B$38:$C69)</f>
        <v>2.2535573073247078E-2</v>
      </c>
      <c r="V69" s="605">
        <f>DSUM($B$28:$Y$31,V$38,$B$38:$C69)</f>
        <v>4.9238160098174274E-3</v>
      </c>
      <c r="W69" s="605">
        <f>DSUM($B$28:$Y$31,W$38,$B$38:$C69)</f>
        <v>8.1124785449243901E-4</v>
      </c>
      <c r="X69" s="605">
        <f>DSUM($B$28:$Y$31,X$38,$B$38:$C69)</f>
        <v>9.7598932402355177E-5</v>
      </c>
      <c r="Y69" s="605">
        <f>DSUM($B$28:$Y$31,Y$38,$B$38:$C69)</f>
        <v>36.330233099400537</v>
      </c>
      <c r="Z69"/>
      <c r="AA69"/>
      <c r="AB69"/>
      <c r="AC69"/>
      <c r="AD69"/>
    </row>
    <row r="70" spans="1:30">
      <c r="A70" t="s">
        <v>1302</v>
      </c>
      <c r="B70" s="604" t="s">
        <v>1303</v>
      </c>
      <c r="C70" s="604" t="s">
        <v>1304</v>
      </c>
      <c r="D70" s="604"/>
      <c r="E70" s="605">
        <f>DSUM($B$28:$Y$31,E$38,$B$38:$C70)</f>
        <v>1.4584825083332145</v>
      </c>
      <c r="F70" s="605">
        <f>DSUM($B$28:$Y$31,F$38,$B$38:$C70)</f>
        <v>1.8004327364887311</v>
      </c>
      <c r="G70" s="605">
        <f>DSUM($B$28:$Y$31,G$38,$B$38:$C70)</f>
        <v>2.2149482882553069</v>
      </c>
      <c r="H70" s="605">
        <f>DSUM($B$28:$Y$31,H$38,$B$38:$C70)</f>
        <v>2.5844056983273256</v>
      </c>
      <c r="I70" s="605">
        <f>DSUM($B$28:$Y$31,I$38,$B$38:$C70)</f>
        <v>2.9622407134181237</v>
      </c>
      <c r="J70" s="605">
        <f>DSUM($B$28:$Y$31,J$38,$B$38:$C70)</f>
        <v>3.4791560390502472</v>
      </c>
      <c r="K70" s="605">
        <f>DSUM($B$28:$Y$31,K$38,$B$38:$C70)</f>
        <v>3.8331813717949244</v>
      </c>
      <c r="L70" s="605">
        <f>DSUM($B$28:$Y$31,L$38,$B$38:$C70)</f>
        <v>3.9317196452244216</v>
      </c>
      <c r="M70" s="605">
        <f>DSUM($B$28:$Y$31,M$38,$B$38:$C70)</f>
        <v>3.7192275307807439</v>
      </c>
      <c r="N70" s="605">
        <f>DSUM($B$28:$Y$31,N$38,$B$38:$C70)</f>
        <v>3.2084010189542695</v>
      </c>
      <c r="O70" s="605">
        <f>DSUM($B$28:$Y$31,O$38,$B$38:$C70)</f>
        <v>2.491182030019881</v>
      </c>
      <c r="P70" s="605">
        <f>DSUM($B$28:$Y$31,P$38,$B$38:$C70)</f>
        <v>1.7151479625160801</v>
      </c>
      <c r="Q70" s="605">
        <f>DSUM($B$28:$Y$31,Q$38,$B$38:$C70)</f>
        <v>1.0295154480791131</v>
      </c>
      <c r="R70" s="605">
        <f>DSUM($B$28:$Y$31,R$38,$B$38:$C70)</f>
        <v>0.52868160089124638</v>
      </c>
      <c r="S70" s="605">
        <f>DSUM($B$28:$Y$31,S$38,$B$38:$C70)</f>
        <v>0.22745864872376298</v>
      </c>
      <c r="T70" s="605">
        <f>DSUM($B$28:$Y$31,T$38,$B$38:$C70)</f>
        <v>8.0125201803285653E-2</v>
      </c>
      <c r="U70" s="605">
        <f>DSUM($B$28:$Y$31,U$38,$B$38:$C70)</f>
        <v>2.2535573073247078E-2</v>
      </c>
      <c r="V70" s="605">
        <f>DSUM($B$28:$Y$31,V$38,$B$38:$C70)</f>
        <v>4.9238160098174274E-3</v>
      </c>
      <c r="W70" s="605">
        <f>DSUM($B$28:$Y$31,W$38,$B$38:$C70)</f>
        <v>8.1124785449243901E-4</v>
      </c>
      <c r="X70" s="605">
        <f>DSUM($B$28:$Y$31,X$38,$B$38:$C70)</f>
        <v>9.7598932402355177E-5</v>
      </c>
      <c r="Y70" s="605">
        <f>DSUM($B$28:$Y$31,Y$38,$B$38:$C70)</f>
        <v>36.330233099400537</v>
      </c>
      <c r="Z70"/>
      <c r="AA70"/>
      <c r="AB70"/>
      <c r="AC70"/>
      <c r="AD70"/>
    </row>
    <row r="71" spans="1:30">
      <c r="A71"/>
      <c r="B71"/>
      <c r="C71"/>
      <c r="D71"/>
      <c r="E71"/>
      <c r="F71"/>
      <c r="G71"/>
      <c r="H71"/>
      <c r="I71"/>
      <c r="J71"/>
      <c r="K71"/>
      <c r="L71"/>
      <c r="M71"/>
      <c r="N71"/>
      <c r="O71"/>
      <c r="P71"/>
      <c r="Q71"/>
      <c r="R71"/>
      <c r="S71"/>
      <c r="T71"/>
      <c r="U71"/>
      <c r="V71"/>
      <c r="W71"/>
      <c r="X71"/>
      <c r="Y71"/>
      <c r="Z71"/>
      <c r="AA71"/>
      <c r="AB71"/>
      <c r="AC71"/>
      <c r="AD71"/>
    </row>
    <row r="72" spans="1:30">
      <c r="A72"/>
      <c r="B72"/>
      <c r="C72"/>
      <c r="D72"/>
      <c r="E72"/>
      <c r="F72"/>
      <c r="G72"/>
      <c r="H72"/>
      <c r="I72"/>
      <c r="J72"/>
      <c r="K72"/>
      <c r="L72"/>
      <c r="M72"/>
      <c r="N72"/>
      <c r="O72"/>
      <c r="P72"/>
      <c r="Q72"/>
      <c r="R72"/>
      <c r="S72"/>
      <c r="T72"/>
      <c r="U72"/>
      <c r="V72"/>
      <c r="W72"/>
      <c r="X72"/>
      <c r="Y72"/>
      <c r="Z72"/>
      <c r="AA72"/>
      <c r="AB72"/>
      <c r="AC72"/>
      <c r="AD72"/>
    </row>
    <row r="73" spans="1:30">
      <c r="A73" s="612" t="s">
        <v>1309</v>
      </c>
      <c r="B73" s="613"/>
      <c r="C73" s="614"/>
      <c r="D73"/>
      <c r="E73"/>
      <c r="F73"/>
      <c r="G73"/>
      <c r="H73"/>
      <c r="I73"/>
      <c r="J73"/>
      <c r="K73"/>
      <c r="L73"/>
      <c r="M73"/>
      <c r="N73"/>
      <c r="O73"/>
      <c r="P73"/>
      <c r="Q73"/>
      <c r="R73"/>
      <c r="S73"/>
      <c r="T73"/>
      <c r="U73"/>
      <c r="V73"/>
      <c r="W73"/>
      <c r="X73"/>
      <c r="Y73"/>
      <c r="Z73"/>
      <c r="AA73"/>
      <c r="AB73"/>
      <c r="AC73"/>
      <c r="AD73"/>
    </row>
    <row r="74" spans="1:30">
      <c r="A74"/>
      <c r="B74"/>
      <c r="C74" s="607" t="s">
        <v>1150</v>
      </c>
      <c r="D74" s="479"/>
      <c r="E74" s="479">
        <f>E11</f>
        <v>2016</v>
      </c>
      <c r="F74" s="479">
        <f t="shared" ref="F74:X74" si="15">F11</f>
        <v>2017</v>
      </c>
      <c r="G74" s="479">
        <f t="shared" si="15"/>
        <v>2018</v>
      </c>
      <c r="H74" s="479">
        <f t="shared" si="15"/>
        <v>2019</v>
      </c>
      <c r="I74" s="479">
        <f t="shared" si="15"/>
        <v>2020</v>
      </c>
      <c r="J74" s="479">
        <f t="shared" si="15"/>
        <v>2021</v>
      </c>
      <c r="K74" s="479">
        <f t="shared" si="15"/>
        <v>2022</v>
      </c>
      <c r="L74" s="479">
        <f t="shared" si="15"/>
        <v>2023</v>
      </c>
      <c r="M74" s="479">
        <f t="shared" si="15"/>
        <v>2024</v>
      </c>
      <c r="N74" s="479">
        <f t="shared" si="15"/>
        <v>2025</v>
      </c>
      <c r="O74" s="479">
        <f t="shared" si="15"/>
        <v>2026</v>
      </c>
      <c r="P74" s="479">
        <f t="shared" si="15"/>
        <v>2027</v>
      </c>
      <c r="Q74" s="479">
        <f t="shared" si="15"/>
        <v>2028</v>
      </c>
      <c r="R74" s="479">
        <f t="shared" si="15"/>
        <v>2029</v>
      </c>
      <c r="S74" s="479">
        <f t="shared" si="15"/>
        <v>2030</v>
      </c>
      <c r="T74" s="479">
        <f t="shared" si="15"/>
        <v>2031</v>
      </c>
      <c r="U74" s="479">
        <f t="shared" si="15"/>
        <v>2032</v>
      </c>
      <c r="V74" s="479">
        <f t="shared" si="15"/>
        <v>2033</v>
      </c>
      <c r="W74" s="479">
        <f t="shared" si="15"/>
        <v>2034</v>
      </c>
      <c r="X74" s="479">
        <f t="shared" si="15"/>
        <v>2035</v>
      </c>
      <c r="Y74" s="609" t="s">
        <v>1306</v>
      </c>
      <c r="Z74"/>
      <c r="AA74"/>
      <c r="AB74"/>
      <c r="AC74"/>
      <c r="AD74"/>
    </row>
    <row r="75" spans="1:30">
      <c r="A75"/>
      <c r="B75"/>
      <c r="C75" s="479" t="str">
        <f>C8</f>
        <v>Municipal Sewage Treatment-Retro</v>
      </c>
      <c r="D75" s="479"/>
      <c r="E75" s="596" t="str">
        <f>TEXT(E74,"0000")</f>
        <v>2016</v>
      </c>
      <c r="F75" s="596" t="str">
        <f t="shared" ref="F75:X75" si="16">TEXT(F74,"0000")</f>
        <v>2017</v>
      </c>
      <c r="G75" s="596" t="str">
        <f t="shared" si="16"/>
        <v>2018</v>
      </c>
      <c r="H75" s="596" t="str">
        <f t="shared" si="16"/>
        <v>2019</v>
      </c>
      <c r="I75" s="596" t="str">
        <f t="shared" si="16"/>
        <v>2020</v>
      </c>
      <c r="J75" s="596" t="str">
        <f t="shared" si="16"/>
        <v>2021</v>
      </c>
      <c r="K75" s="596" t="str">
        <f t="shared" si="16"/>
        <v>2022</v>
      </c>
      <c r="L75" s="596" t="str">
        <f t="shared" si="16"/>
        <v>2023</v>
      </c>
      <c r="M75" s="596" t="str">
        <f t="shared" si="16"/>
        <v>2024</v>
      </c>
      <c r="N75" s="596" t="str">
        <f t="shared" si="16"/>
        <v>2025</v>
      </c>
      <c r="O75" s="596" t="str">
        <f t="shared" si="16"/>
        <v>2026</v>
      </c>
      <c r="P75" s="596" t="str">
        <f t="shared" si="16"/>
        <v>2027</v>
      </c>
      <c r="Q75" s="596" t="str">
        <f t="shared" si="16"/>
        <v>2028</v>
      </c>
      <c r="R75" s="596" t="str">
        <f t="shared" si="16"/>
        <v>2029</v>
      </c>
      <c r="S75" s="596" t="str">
        <f t="shared" si="16"/>
        <v>2030</v>
      </c>
      <c r="T75" s="596" t="str">
        <f t="shared" si="16"/>
        <v>2031</v>
      </c>
      <c r="U75" s="596" t="str">
        <f t="shared" si="16"/>
        <v>2032</v>
      </c>
      <c r="V75" s="596" t="str">
        <f t="shared" si="16"/>
        <v>2033</v>
      </c>
      <c r="W75" s="596" t="str">
        <f t="shared" si="16"/>
        <v>2034</v>
      </c>
      <c r="X75" s="596" t="str">
        <f t="shared" si="16"/>
        <v>2035</v>
      </c>
      <c r="Y75" s="609" t="s">
        <v>1306</v>
      </c>
      <c r="Z75"/>
      <c r="AA75"/>
      <c r="AB75"/>
      <c r="AC75"/>
      <c r="AD75"/>
    </row>
    <row r="76" spans="1:30">
      <c r="A76"/>
      <c r="B76"/>
      <c r="C76" t="s">
        <v>764</v>
      </c>
      <c r="D76"/>
      <c r="E76" s="606">
        <f t="shared" ref="E76:X76" si="17">E39</f>
        <v>0.27784336315269464</v>
      </c>
      <c r="F76" s="606">
        <f t="shared" si="17"/>
        <v>0.3429854549355697</v>
      </c>
      <c r="G76" s="606">
        <f t="shared" si="17"/>
        <v>0.42195136253053933</v>
      </c>
      <c r="H76" s="606">
        <f t="shared" si="17"/>
        <v>0.49233361858749131</v>
      </c>
      <c r="I76" s="606">
        <f t="shared" si="17"/>
        <v>0.56431182244654798</v>
      </c>
      <c r="J76" s="606">
        <f t="shared" si="17"/>
        <v>0.66278505864801152</v>
      </c>
      <c r="K76" s="606">
        <f t="shared" si="17"/>
        <v>0.73022747810043598</v>
      </c>
      <c r="L76" s="606">
        <f t="shared" si="17"/>
        <v>0.74899918439960844</v>
      </c>
      <c r="M76" s="606">
        <f t="shared" si="17"/>
        <v>0.70851908033039313</v>
      </c>
      <c r="N76" s="606">
        <f t="shared" si="17"/>
        <v>0.61120577336750892</v>
      </c>
      <c r="O76" s="606">
        <f t="shared" si="17"/>
        <v>0.4745743534746224</v>
      </c>
      <c r="P76" s="606">
        <f t="shared" si="17"/>
        <v>0.32673856250395672</v>
      </c>
      <c r="Q76" s="606">
        <f t="shared" si="17"/>
        <v>0.19612441896121982</v>
      </c>
      <c r="R76" s="606">
        <f t="shared" si="17"/>
        <v>0.10071473136585259</v>
      </c>
      <c r="S76" s="606">
        <f t="shared" si="17"/>
        <v>4.3331253942703485E-2</v>
      </c>
      <c r="T76" s="606">
        <f t="shared" si="17"/>
        <v>1.5263985282727202E-2</v>
      </c>
      <c r="U76" s="606">
        <f t="shared" si="17"/>
        <v>4.2930644539576224E-3</v>
      </c>
      <c r="V76" s="606">
        <f t="shared" si="17"/>
        <v>9.379952052192877E-4</v>
      </c>
      <c r="W76" s="606">
        <f t="shared" si="17"/>
        <v>1.5454407643200255E-4</v>
      </c>
      <c r="X76" s="606">
        <f t="shared" si="17"/>
        <v>1.8592760258587544E-5</v>
      </c>
      <c r="Y76" s="606">
        <f t="shared" ref="Y76" si="18">Y39</f>
        <v>6.9209703172885932</v>
      </c>
      <c r="Z76"/>
      <c r="AA76"/>
      <c r="AB76"/>
      <c r="AC76"/>
      <c r="AD76"/>
    </row>
    <row r="77" spans="1:30">
      <c r="A77"/>
      <c r="B77"/>
      <c r="C77" t="s">
        <v>765</v>
      </c>
      <c r="D77"/>
      <c r="E77" s="606">
        <f t="shared" ref="E77:X89" si="19">E40-E39</f>
        <v>0</v>
      </c>
      <c r="F77" s="606">
        <f t="shared" si="19"/>
        <v>0</v>
      </c>
      <c r="G77" s="606">
        <f t="shared" si="19"/>
        <v>0</v>
      </c>
      <c r="H77" s="606">
        <f t="shared" si="19"/>
        <v>0</v>
      </c>
      <c r="I77" s="606">
        <f t="shared" si="19"/>
        <v>0</v>
      </c>
      <c r="J77" s="606">
        <f t="shared" si="19"/>
        <v>0</v>
      </c>
      <c r="K77" s="606">
        <f t="shared" si="19"/>
        <v>0</v>
      </c>
      <c r="L77" s="606">
        <f t="shared" si="19"/>
        <v>0</v>
      </c>
      <c r="M77" s="606">
        <f t="shared" si="19"/>
        <v>0</v>
      </c>
      <c r="N77" s="606">
        <f t="shared" si="19"/>
        <v>0</v>
      </c>
      <c r="O77" s="606">
        <f t="shared" si="19"/>
        <v>0</v>
      </c>
      <c r="P77" s="606">
        <f t="shared" si="19"/>
        <v>0</v>
      </c>
      <c r="Q77" s="606">
        <f t="shared" si="19"/>
        <v>0</v>
      </c>
      <c r="R77" s="606">
        <f t="shared" si="19"/>
        <v>0</v>
      </c>
      <c r="S77" s="606">
        <f t="shared" si="19"/>
        <v>0</v>
      </c>
      <c r="T77" s="606">
        <f t="shared" si="19"/>
        <v>0</v>
      </c>
      <c r="U77" s="606">
        <f t="shared" si="19"/>
        <v>0</v>
      </c>
      <c r="V77" s="606">
        <f t="shared" si="19"/>
        <v>0</v>
      </c>
      <c r="W77" s="606">
        <f t="shared" si="19"/>
        <v>0</v>
      </c>
      <c r="X77" s="606">
        <f t="shared" si="19"/>
        <v>0</v>
      </c>
      <c r="Y77" s="606">
        <f t="shared" ref="Y77:Y88" si="20">Y40-Y39</f>
        <v>0</v>
      </c>
      <c r="Z77"/>
      <c r="AA77"/>
      <c r="AB77"/>
      <c r="AC77"/>
      <c r="AD77"/>
    </row>
    <row r="78" spans="1:30">
      <c r="A78"/>
      <c r="B78"/>
      <c r="C78" t="s">
        <v>766</v>
      </c>
      <c r="D78"/>
      <c r="E78" s="606">
        <f t="shared" si="19"/>
        <v>0</v>
      </c>
      <c r="F78" s="606">
        <f t="shared" si="19"/>
        <v>0</v>
      </c>
      <c r="G78" s="606">
        <f t="shared" si="19"/>
        <v>0</v>
      </c>
      <c r="H78" s="606">
        <f t="shared" si="19"/>
        <v>0</v>
      </c>
      <c r="I78" s="606">
        <f t="shared" si="19"/>
        <v>0</v>
      </c>
      <c r="J78" s="606">
        <f t="shared" si="19"/>
        <v>0</v>
      </c>
      <c r="K78" s="606">
        <f t="shared" si="19"/>
        <v>0</v>
      </c>
      <c r="L78" s="606">
        <f t="shared" si="19"/>
        <v>0</v>
      </c>
      <c r="M78" s="606">
        <f t="shared" si="19"/>
        <v>0</v>
      </c>
      <c r="N78" s="606">
        <f t="shared" si="19"/>
        <v>0</v>
      </c>
      <c r="O78" s="606">
        <f t="shared" si="19"/>
        <v>0</v>
      </c>
      <c r="P78" s="606">
        <f t="shared" si="19"/>
        <v>0</v>
      </c>
      <c r="Q78" s="606">
        <f t="shared" si="19"/>
        <v>0</v>
      </c>
      <c r="R78" s="606">
        <f t="shared" si="19"/>
        <v>0</v>
      </c>
      <c r="S78" s="606">
        <f t="shared" si="19"/>
        <v>0</v>
      </c>
      <c r="T78" s="606">
        <f t="shared" si="19"/>
        <v>0</v>
      </c>
      <c r="U78" s="606">
        <f t="shared" si="19"/>
        <v>0</v>
      </c>
      <c r="V78" s="606">
        <f t="shared" si="19"/>
        <v>0</v>
      </c>
      <c r="W78" s="606">
        <f t="shared" si="19"/>
        <v>0</v>
      </c>
      <c r="X78" s="606">
        <f t="shared" si="19"/>
        <v>0</v>
      </c>
      <c r="Y78" s="606">
        <f t="shared" si="20"/>
        <v>0</v>
      </c>
      <c r="Z78"/>
      <c r="AA78"/>
      <c r="AB78"/>
      <c r="AC78"/>
      <c r="AD78"/>
    </row>
    <row r="79" spans="1:30">
      <c r="A79"/>
      <c r="B79"/>
      <c r="C79" t="s">
        <v>767</v>
      </c>
      <c r="D79"/>
      <c r="E79" s="606">
        <f t="shared" si="19"/>
        <v>0.65314961111467729</v>
      </c>
      <c r="F79" s="606">
        <f t="shared" si="19"/>
        <v>0.80628456972010754</v>
      </c>
      <c r="G79" s="606">
        <f t="shared" si="19"/>
        <v>0.99191632731090174</v>
      </c>
      <c r="H79" s="606">
        <f t="shared" si="19"/>
        <v>1.1573697779578693</v>
      </c>
      <c r="I79" s="606">
        <f t="shared" si="19"/>
        <v>1.3265749564650093</v>
      </c>
      <c r="J79" s="606">
        <f t="shared" si="19"/>
        <v>1.558064221496841</v>
      </c>
      <c r="K79" s="606">
        <f t="shared" si="19"/>
        <v>1.7166067525767557</v>
      </c>
      <c r="L79" s="606">
        <f t="shared" si="19"/>
        <v>1.7607349711893598</v>
      </c>
      <c r="M79" s="606">
        <f t="shared" si="19"/>
        <v>1.6655750079256009</v>
      </c>
      <c r="N79" s="606">
        <f t="shared" si="19"/>
        <v>1.4368124854817583</v>
      </c>
      <c r="O79" s="606">
        <f t="shared" si="19"/>
        <v>1.115621589444264</v>
      </c>
      <c r="P79" s="606">
        <f t="shared" si="19"/>
        <v>0.76809164204632996</v>
      </c>
      <c r="Q79" s="606">
        <f t="shared" si="19"/>
        <v>0.46104606034520801</v>
      </c>
      <c r="R79" s="606">
        <f t="shared" si="19"/>
        <v>0.23675853502023025</v>
      </c>
      <c r="S79" s="606">
        <f t="shared" si="19"/>
        <v>0.10186239952125209</v>
      </c>
      <c r="T79" s="606">
        <f t="shared" si="19"/>
        <v>3.5882325704481161E-2</v>
      </c>
      <c r="U79" s="606">
        <f t="shared" si="19"/>
        <v>1.0092065352130298E-2</v>
      </c>
      <c r="V79" s="606">
        <f t="shared" si="19"/>
        <v>2.2050237103547962E-3</v>
      </c>
      <c r="W79" s="606">
        <f t="shared" si="19"/>
        <v>3.6329967459458628E-4</v>
      </c>
      <c r="X79" s="606">
        <f t="shared" si="19"/>
        <v>4.3707555201780973E-5</v>
      </c>
      <c r="Y79" s="606">
        <f t="shared" si="20"/>
        <v>16.269703260066617</v>
      </c>
      <c r="Z79"/>
      <c r="AA79"/>
      <c r="AB79"/>
      <c r="AC79"/>
      <c r="AD79"/>
    </row>
    <row r="80" spans="1:30">
      <c r="A80"/>
      <c r="B80"/>
      <c r="C80" t="s">
        <v>768</v>
      </c>
      <c r="D80"/>
      <c r="E80" s="606">
        <f t="shared" si="19"/>
        <v>0.52748953406584254</v>
      </c>
      <c r="F80" s="606">
        <f t="shared" si="19"/>
        <v>0.65116271183305385</v>
      </c>
      <c r="G80" s="606">
        <f t="shared" si="19"/>
        <v>0.80108059841386581</v>
      </c>
      <c r="H80" s="606">
        <f t="shared" si="19"/>
        <v>0.93470230178196489</v>
      </c>
      <c r="I80" s="606">
        <f t="shared" si="19"/>
        <v>1.0713539345065664</v>
      </c>
      <c r="J80" s="606">
        <f t="shared" si="19"/>
        <v>1.2583067589053947</v>
      </c>
      <c r="K80" s="606">
        <f t="shared" si="19"/>
        <v>1.3863471411177328</v>
      </c>
      <c r="L80" s="606">
        <f t="shared" si="19"/>
        <v>1.4219854896354533</v>
      </c>
      <c r="M80" s="606">
        <f t="shared" si="19"/>
        <v>1.3451334425247499</v>
      </c>
      <c r="N80" s="606">
        <f t="shared" si="19"/>
        <v>1.1603827601050023</v>
      </c>
      <c r="O80" s="606">
        <f t="shared" si="19"/>
        <v>0.90098608710099448</v>
      </c>
      <c r="P80" s="606">
        <f t="shared" si="19"/>
        <v>0.62031775796579347</v>
      </c>
      <c r="Q80" s="606">
        <f t="shared" si="19"/>
        <v>0.3723449687726853</v>
      </c>
      <c r="R80" s="606">
        <f t="shared" si="19"/>
        <v>0.19120833450516356</v>
      </c>
      <c r="S80" s="606">
        <f t="shared" si="19"/>
        <v>8.2264995259807405E-2</v>
      </c>
      <c r="T80" s="606">
        <f t="shared" si="19"/>
        <v>2.8978890816077289E-2</v>
      </c>
      <c r="U80" s="606">
        <f t="shared" si="19"/>
        <v>8.1504432671591579E-3</v>
      </c>
      <c r="V80" s="606">
        <f t="shared" si="19"/>
        <v>1.7807970942433434E-3</v>
      </c>
      <c r="W80" s="606">
        <f t="shared" si="19"/>
        <v>2.9340410346585018E-4</v>
      </c>
      <c r="X80" s="606">
        <f t="shared" si="19"/>
        <v>3.529861694198666E-5</v>
      </c>
      <c r="Y80" s="606">
        <f t="shared" si="20"/>
        <v>13.139559522045328</v>
      </c>
      <c r="Z80"/>
      <c r="AA80"/>
      <c r="AB80"/>
      <c r="AC80"/>
      <c r="AD80"/>
    </row>
    <row r="81" spans="1:30">
      <c r="A81"/>
      <c r="B81"/>
      <c r="C81" t="s">
        <v>769</v>
      </c>
      <c r="D81"/>
      <c r="E81" s="606">
        <f t="shared" si="19"/>
        <v>0</v>
      </c>
      <c r="F81" s="606">
        <f t="shared" si="19"/>
        <v>0</v>
      </c>
      <c r="G81" s="606">
        <f t="shared" si="19"/>
        <v>0</v>
      </c>
      <c r="H81" s="606">
        <f t="shared" si="19"/>
        <v>0</v>
      </c>
      <c r="I81" s="606">
        <f t="shared" si="19"/>
        <v>0</v>
      </c>
      <c r="J81" s="606">
        <f t="shared" si="19"/>
        <v>0</v>
      </c>
      <c r="K81" s="606">
        <f t="shared" si="19"/>
        <v>0</v>
      </c>
      <c r="L81" s="606">
        <f t="shared" si="19"/>
        <v>0</v>
      </c>
      <c r="M81" s="606">
        <f t="shared" si="19"/>
        <v>0</v>
      </c>
      <c r="N81" s="606">
        <f t="shared" si="19"/>
        <v>0</v>
      </c>
      <c r="O81" s="606">
        <f t="shared" si="19"/>
        <v>0</v>
      </c>
      <c r="P81" s="606">
        <f t="shared" si="19"/>
        <v>0</v>
      </c>
      <c r="Q81" s="606">
        <f t="shared" si="19"/>
        <v>0</v>
      </c>
      <c r="R81" s="606">
        <f t="shared" si="19"/>
        <v>0</v>
      </c>
      <c r="S81" s="606">
        <f t="shared" si="19"/>
        <v>0</v>
      </c>
      <c r="T81" s="606">
        <f t="shared" si="19"/>
        <v>0</v>
      </c>
      <c r="U81" s="606">
        <f t="shared" si="19"/>
        <v>0</v>
      </c>
      <c r="V81" s="606">
        <f t="shared" si="19"/>
        <v>0</v>
      </c>
      <c r="W81" s="606">
        <f t="shared" si="19"/>
        <v>0</v>
      </c>
      <c r="X81" s="606">
        <f t="shared" si="19"/>
        <v>0</v>
      </c>
      <c r="Y81" s="606">
        <f t="shared" si="20"/>
        <v>0</v>
      </c>
      <c r="Z81"/>
      <c r="AA81"/>
      <c r="AB81"/>
      <c r="AC81"/>
      <c r="AD81"/>
    </row>
    <row r="82" spans="1:30">
      <c r="A82"/>
      <c r="B82"/>
      <c r="C82" t="s">
        <v>770</v>
      </c>
      <c r="D82"/>
      <c r="E82" s="606">
        <f t="shared" si="19"/>
        <v>0</v>
      </c>
      <c r="F82" s="606">
        <f t="shared" si="19"/>
        <v>0</v>
      </c>
      <c r="G82" s="606">
        <f t="shared" si="19"/>
        <v>0</v>
      </c>
      <c r="H82" s="606">
        <f t="shared" si="19"/>
        <v>0</v>
      </c>
      <c r="I82" s="606">
        <f t="shared" si="19"/>
        <v>0</v>
      </c>
      <c r="J82" s="606">
        <f t="shared" si="19"/>
        <v>0</v>
      </c>
      <c r="K82" s="606">
        <f t="shared" si="19"/>
        <v>0</v>
      </c>
      <c r="L82" s="606">
        <f t="shared" si="19"/>
        <v>0</v>
      </c>
      <c r="M82" s="606">
        <f t="shared" si="19"/>
        <v>0</v>
      </c>
      <c r="N82" s="606">
        <f t="shared" si="19"/>
        <v>0</v>
      </c>
      <c r="O82" s="606">
        <f t="shared" si="19"/>
        <v>0</v>
      </c>
      <c r="P82" s="606">
        <f t="shared" si="19"/>
        <v>0</v>
      </c>
      <c r="Q82" s="606">
        <f t="shared" si="19"/>
        <v>0</v>
      </c>
      <c r="R82" s="606">
        <f t="shared" si="19"/>
        <v>0</v>
      </c>
      <c r="S82" s="606">
        <f t="shared" si="19"/>
        <v>0</v>
      </c>
      <c r="T82" s="606">
        <f t="shared" si="19"/>
        <v>0</v>
      </c>
      <c r="U82" s="606">
        <f t="shared" si="19"/>
        <v>0</v>
      </c>
      <c r="V82" s="606">
        <f t="shared" si="19"/>
        <v>0</v>
      </c>
      <c r="W82" s="606">
        <f t="shared" si="19"/>
        <v>0</v>
      </c>
      <c r="X82" s="606">
        <f t="shared" si="19"/>
        <v>0</v>
      </c>
      <c r="Y82" s="606">
        <f t="shared" si="20"/>
        <v>0</v>
      </c>
      <c r="Z82"/>
      <c r="AA82"/>
      <c r="AB82"/>
      <c r="AC82"/>
      <c r="AD82"/>
    </row>
    <row r="83" spans="1:30">
      <c r="A83"/>
      <c r="B83"/>
      <c r="C83" t="s">
        <v>771</v>
      </c>
      <c r="D83"/>
      <c r="E83" s="606">
        <f t="shared" si="19"/>
        <v>0</v>
      </c>
      <c r="F83" s="606">
        <f t="shared" si="19"/>
        <v>0</v>
      </c>
      <c r="G83" s="606">
        <f t="shared" si="19"/>
        <v>0</v>
      </c>
      <c r="H83" s="606">
        <f t="shared" si="19"/>
        <v>0</v>
      </c>
      <c r="I83" s="606">
        <f t="shared" si="19"/>
        <v>0</v>
      </c>
      <c r="J83" s="606">
        <f t="shared" si="19"/>
        <v>0</v>
      </c>
      <c r="K83" s="606">
        <f t="shared" si="19"/>
        <v>0</v>
      </c>
      <c r="L83" s="606">
        <f t="shared" si="19"/>
        <v>0</v>
      </c>
      <c r="M83" s="606">
        <f t="shared" si="19"/>
        <v>0</v>
      </c>
      <c r="N83" s="606">
        <f t="shared" si="19"/>
        <v>0</v>
      </c>
      <c r="O83" s="606">
        <f t="shared" si="19"/>
        <v>0</v>
      </c>
      <c r="P83" s="606">
        <f t="shared" si="19"/>
        <v>0</v>
      </c>
      <c r="Q83" s="606">
        <f t="shared" si="19"/>
        <v>0</v>
      </c>
      <c r="R83" s="606">
        <f t="shared" si="19"/>
        <v>0</v>
      </c>
      <c r="S83" s="606">
        <f t="shared" si="19"/>
        <v>0</v>
      </c>
      <c r="T83" s="606">
        <f t="shared" si="19"/>
        <v>0</v>
      </c>
      <c r="U83" s="606">
        <f t="shared" si="19"/>
        <v>0</v>
      </c>
      <c r="V83" s="606">
        <f t="shared" si="19"/>
        <v>0</v>
      </c>
      <c r="W83" s="606">
        <f t="shared" si="19"/>
        <v>0</v>
      </c>
      <c r="X83" s="606">
        <f t="shared" si="19"/>
        <v>0</v>
      </c>
      <c r="Y83" s="606">
        <f t="shared" si="20"/>
        <v>0</v>
      </c>
      <c r="Z83"/>
      <c r="AA83"/>
      <c r="AB83"/>
      <c r="AC83"/>
      <c r="AD83"/>
    </row>
    <row r="84" spans="1:30">
      <c r="A84"/>
      <c r="B84"/>
      <c r="C84" t="s">
        <v>772</v>
      </c>
      <c r="D84"/>
      <c r="E84" s="606">
        <f t="shared" si="19"/>
        <v>0</v>
      </c>
      <c r="F84" s="606">
        <f t="shared" si="19"/>
        <v>0</v>
      </c>
      <c r="G84" s="606">
        <f t="shared" si="19"/>
        <v>0</v>
      </c>
      <c r="H84" s="606">
        <f t="shared" si="19"/>
        <v>0</v>
      </c>
      <c r="I84" s="606">
        <f t="shared" si="19"/>
        <v>0</v>
      </c>
      <c r="J84" s="606">
        <f t="shared" si="19"/>
        <v>0</v>
      </c>
      <c r="K84" s="606">
        <f t="shared" si="19"/>
        <v>0</v>
      </c>
      <c r="L84" s="606">
        <f t="shared" si="19"/>
        <v>0</v>
      </c>
      <c r="M84" s="606">
        <f t="shared" si="19"/>
        <v>0</v>
      </c>
      <c r="N84" s="606">
        <f t="shared" si="19"/>
        <v>0</v>
      </c>
      <c r="O84" s="606">
        <f t="shared" si="19"/>
        <v>0</v>
      </c>
      <c r="P84" s="606">
        <f t="shared" si="19"/>
        <v>0</v>
      </c>
      <c r="Q84" s="606">
        <f t="shared" si="19"/>
        <v>0</v>
      </c>
      <c r="R84" s="606">
        <f t="shared" si="19"/>
        <v>0</v>
      </c>
      <c r="S84" s="606">
        <f t="shared" si="19"/>
        <v>0</v>
      </c>
      <c r="T84" s="606">
        <f t="shared" si="19"/>
        <v>0</v>
      </c>
      <c r="U84" s="606">
        <f t="shared" si="19"/>
        <v>0</v>
      </c>
      <c r="V84" s="606">
        <f t="shared" si="19"/>
        <v>0</v>
      </c>
      <c r="W84" s="606">
        <f t="shared" si="19"/>
        <v>0</v>
      </c>
      <c r="X84" s="606">
        <f t="shared" si="19"/>
        <v>0</v>
      </c>
      <c r="Y84" s="606">
        <f t="shared" si="20"/>
        <v>0</v>
      </c>
      <c r="Z84"/>
      <c r="AA84"/>
      <c r="AB84"/>
      <c r="AC84"/>
      <c r="AD84"/>
    </row>
    <row r="85" spans="1:30">
      <c r="A85"/>
      <c r="B85"/>
      <c r="C85" t="s">
        <v>773</v>
      </c>
      <c r="D85"/>
      <c r="E85" s="606">
        <f t="shared" si="19"/>
        <v>0</v>
      </c>
      <c r="F85" s="606">
        <f t="shared" si="19"/>
        <v>0</v>
      </c>
      <c r="G85" s="606">
        <f t="shared" si="19"/>
        <v>0</v>
      </c>
      <c r="H85" s="606">
        <f t="shared" si="19"/>
        <v>0</v>
      </c>
      <c r="I85" s="606">
        <f t="shared" si="19"/>
        <v>0</v>
      </c>
      <c r="J85" s="606">
        <f t="shared" si="19"/>
        <v>0</v>
      </c>
      <c r="K85" s="606">
        <f t="shared" si="19"/>
        <v>0</v>
      </c>
      <c r="L85" s="606">
        <f t="shared" si="19"/>
        <v>0</v>
      </c>
      <c r="M85" s="606">
        <f t="shared" si="19"/>
        <v>0</v>
      </c>
      <c r="N85" s="606">
        <f t="shared" si="19"/>
        <v>0</v>
      </c>
      <c r="O85" s="606">
        <f t="shared" si="19"/>
        <v>0</v>
      </c>
      <c r="P85" s="606">
        <f t="shared" si="19"/>
        <v>0</v>
      </c>
      <c r="Q85" s="606">
        <f t="shared" si="19"/>
        <v>0</v>
      </c>
      <c r="R85" s="606">
        <f t="shared" si="19"/>
        <v>0</v>
      </c>
      <c r="S85" s="606">
        <f t="shared" si="19"/>
        <v>0</v>
      </c>
      <c r="T85" s="606">
        <f t="shared" si="19"/>
        <v>0</v>
      </c>
      <c r="U85" s="606">
        <f t="shared" si="19"/>
        <v>0</v>
      </c>
      <c r="V85" s="606">
        <f t="shared" si="19"/>
        <v>0</v>
      </c>
      <c r="W85" s="606">
        <f t="shared" si="19"/>
        <v>0</v>
      </c>
      <c r="X85" s="606">
        <f t="shared" si="19"/>
        <v>0</v>
      </c>
      <c r="Y85" s="606">
        <f t="shared" si="20"/>
        <v>0</v>
      </c>
      <c r="Z85"/>
      <c r="AA85"/>
      <c r="AB85"/>
      <c r="AC85"/>
      <c r="AD85"/>
    </row>
    <row r="86" spans="1:30">
      <c r="A86"/>
      <c r="B86"/>
      <c r="C86" t="s">
        <v>774</v>
      </c>
      <c r="D86"/>
      <c r="E86" s="606">
        <f t="shared" si="19"/>
        <v>0</v>
      </c>
      <c r="F86" s="606">
        <f t="shared" si="19"/>
        <v>0</v>
      </c>
      <c r="G86" s="606">
        <f t="shared" si="19"/>
        <v>0</v>
      </c>
      <c r="H86" s="606">
        <f t="shared" si="19"/>
        <v>0</v>
      </c>
      <c r="I86" s="606">
        <f t="shared" si="19"/>
        <v>0</v>
      </c>
      <c r="J86" s="606">
        <f t="shared" si="19"/>
        <v>0</v>
      </c>
      <c r="K86" s="606">
        <f t="shared" si="19"/>
        <v>0</v>
      </c>
      <c r="L86" s="606">
        <f t="shared" si="19"/>
        <v>0</v>
      </c>
      <c r="M86" s="606">
        <f t="shared" si="19"/>
        <v>0</v>
      </c>
      <c r="N86" s="606">
        <f t="shared" si="19"/>
        <v>0</v>
      </c>
      <c r="O86" s="606">
        <f t="shared" si="19"/>
        <v>0</v>
      </c>
      <c r="P86" s="606">
        <f t="shared" si="19"/>
        <v>0</v>
      </c>
      <c r="Q86" s="606">
        <f t="shared" si="19"/>
        <v>0</v>
      </c>
      <c r="R86" s="606">
        <f t="shared" si="19"/>
        <v>0</v>
      </c>
      <c r="S86" s="606">
        <f t="shared" si="19"/>
        <v>0</v>
      </c>
      <c r="T86" s="606">
        <f t="shared" si="19"/>
        <v>0</v>
      </c>
      <c r="U86" s="606">
        <f t="shared" si="19"/>
        <v>0</v>
      </c>
      <c r="V86" s="606">
        <f t="shared" si="19"/>
        <v>0</v>
      </c>
      <c r="W86" s="606">
        <f t="shared" si="19"/>
        <v>0</v>
      </c>
      <c r="X86" s="606">
        <f t="shared" si="19"/>
        <v>0</v>
      </c>
      <c r="Y86" s="606">
        <f t="shared" si="20"/>
        <v>0</v>
      </c>
      <c r="Z86"/>
      <c r="AA86"/>
      <c r="AB86"/>
      <c r="AC86"/>
      <c r="AD86"/>
    </row>
    <row r="87" spans="1:30">
      <c r="A87"/>
      <c r="B87"/>
      <c r="C87" t="s">
        <v>775</v>
      </c>
      <c r="D87"/>
      <c r="E87" s="606">
        <f t="shared" si="19"/>
        <v>0</v>
      </c>
      <c r="F87" s="606">
        <f t="shared" si="19"/>
        <v>0</v>
      </c>
      <c r="G87" s="606">
        <f t="shared" si="19"/>
        <v>0</v>
      </c>
      <c r="H87" s="606">
        <f t="shared" si="19"/>
        <v>0</v>
      </c>
      <c r="I87" s="606">
        <f t="shared" si="19"/>
        <v>0</v>
      </c>
      <c r="J87" s="606">
        <f t="shared" si="19"/>
        <v>0</v>
      </c>
      <c r="K87" s="606">
        <f t="shared" si="19"/>
        <v>0</v>
      </c>
      <c r="L87" s="606">
        <f t="shared" si="19"/>
        <v>0</v>
      </c>
      <c r="M87" s="606">
        <f t="shared" si="19"/>
        <v>0</v>
      </c>
      <c r="N87" s="606">
        <f t="shared" si="19"/>
        <v>0</v>
      </c>
      <c r="O87" s="606">
        <f t="shared" si="19"/>
        <v>0</v>
      </c>
      <c r="P87" s="606">
        <f t="shared" si="19"/>
        <v>0</v>
      </c>
      <c r="Q87" s="606">
        <f t="shared" si="19"/>
        <v>0</v>
      </c>
      <c r="R87" s="606">
        <f t="shared" si="19"/>
        <v>0</v>
      </c>
      <c r="S87" s="606">
        <f t="shared" si="19"/>
        <v>0</v>
      </c>
      <c r="T87" s="606">
        <f t="shared" si="19"/>
        <v>0</v>
      </c>
      <c r="U87" s="606">
        <f t="shared" si="19"/>
        <v>0</v>
      </c>
      <c r="V87" s="606">
        <f t="shared" si="19"/>
        <v>0</v>
      </c>
      <c r="W87" s="606">
        <f t="shared" si="19"/>
        <v>0</v>
      </c>
      <c r="X87" s="606">
        <f t="shared" si="19"/>
        <v>0</v>
      </c>
      <c r="Y87" s="606">
        <f t="shared" si="20"/>
        <v>0</v>
      </c>
      <c r="Z87"/>
      <c r="AA87"/>
      <c r="AB87"/>
      <c r="AC87"/>
      <c r="AD87"/>
    </row>
    <row r="88" spans="1:30">
      <c r="A88"/>
      <c r="B88"/>
      <c r="C88" t="s">
        <v>776</v>
      </c>
      <c r="D88"/>
      <c r="E88" s="606">
        <f t="shared" si="19"/>
        <v>0</v>
      </c>
      <c r="F88" s="606">
        <f t="shared" si="19"/>
        <v>0</v>
      </c>
      <c r="G88" s="606">
        <f t="shared" si="19"/>
        <v>0</v>
      </c>
      <c r="H88" s="606">
        <f t="shared" si="19"/>
        <v>0</v>
      </c>
      <c r="I88" s="606">
        <f t="shared" si="19"/>
        <v>0</v>
      </c>
      <c r="J88" s="606">
        <f t="shared" si="19"/>
        <v>0</v>
      </c>
      <c r="K88" s="606">
        <f t="shared" si="19"/>
        <v>0</v>
      </c>
      <c r="L88" s="606">
        <f t="shared" si="19"/>
        <v>0</v>
      </c>
      <c r="M88" s="606">
        <f t="shared" si="19"/>
        <v>0</v>
      </c>
      <c r="N88" s="606">
        <f t="shared" si="19"/>
        <v>0</v>
      </c>
      <c r="O88" s="606">
        <f t="shared" si="19"/>
        <v>0</v>
      </c>
      <c r="P88" s="606">
        <f t="shared" si="19"/>
        <v>0</v>
      </c>
      <c r="Q88" s="606">
        <f t="shared" si="19"/>
        <v>0</v>
      </c>
      <c r="R88" s="606">
        <f t="shared" si="19"/>
        <v>0</v>
      </c>
      <c r="S88" s="606">
        <f t="shared" si="19"/>
        <v>0</v>
      </c>
      <c r="T88" s="606">
        <f t="shared" si="19"/>
        <v>0</v>
      </c>
      <c r="U88" s="606">
        <f t="shared" si="19"/>
        <v>0</v>
      </c>
      <c r="V88" s="606">
        <f t="shared" si="19"/>
        <v>0</v>
      </c>
      <c r="W88" s="606">
        <f t="shared" si="19"/>
        <v>0</v>
      </c>
      <c r="X88" s="606">
        <f t="shared" si="19"/>
        <v>0</v>
      </c>
      <c r="Y88" s="606">
        <f t="shared" si="20"/>
        <v>0</v>
      </c>
      <c r="Z88"/>
      <c r="AA88"/>
      <c r="AB88"/>
      <c r="AC88"/>
      <c r="AD88"/>
    </row>
    <row r="89" spans="1:30">
      <c r="A89"/>
      <c r="B89"/>
      <c r="C89" t="s">
        <v>777</v>
      </c>
      <c r="D89"/>
      <c r="E89" s="606">
        <f t="shared" si="19"/>
        <v>0</v>
      </c>
      <c r="F89" s="606">
        <f t="shared" si="19"/>
        <v>0</v>
      </c>
      <c r="G89" s="606">
        <f t="shared" si="19"/>
        <v>0</v>
      </c>
      <c r="H89" s="606">
        <f t="shared" si="19"/>
        <v>0</v>
      </c>
      <c r="I89" s="606">
        <f t="shared" si="19"/>
        <v>0</v>
      </c>
      <c r="J89" s="606">
        <f t="shared" si="19"/>
        <v>0</v>
      </c>
      <c r="K89" s="606">
        <f t="shared" si="19"/>
        <v>0</v>
      </c>
      <c r="L89" s="606">
        <f t="shared" si="19"/>
        <v>0</v>
      </c>
      <c r="M89" s="606">
        <f t="shared" si="19"/>
        <v>0</v>
      </c>
      <c r="N89" s="606">
        <f t="shared" si="19"/>
        <v>0</v>
      </c>
      <c r="O89" s="606">
        <f t="shared" si="19"/>
        <v>0</v>
      </c>
      <c r="P89" s="606">
        <f t="shared" si="19"/>
        <v>0</v>
      </c>
      <c r="Q89" s="606">
        <f t="shared" si="19"/>
        <v>0</v>
      </c>
      <c r="R89" s="606">
        <f t="shared" si="19"/>
        <v>0</v>
      </c>
      <c r="S89" s="606">
        <f t="shared" si="19"/>
        <v>0</v>
      </c>
      <c r="T89" s="606">
        <f t="shared" ref="T89:X89" si="21">T52-T51</f>
        <v>0</v>
      </c>
      <c r="U89" s="606">
        <f t="shared" si="21"/>
        <v>0</v>
      </c>
      <c r="V89" s="606">
        <f t="shared" si="21"/>
        <v>0</v>
      </c>
      <c r="W89" s="606">
        <f t="shared" si="21"/>
        <v>0</v>
      </c>
      <c r="X89" s="606">
        <f t="shared" si="21"/>
        <v>0</v>
      </c>
      <c r="Y89" s="606">
        <f t="shared" ref="Y89:Y101" si="22">Y52-Y51</f>
        <v>0</v>
      </c>
      <c r="Z89"/>
      <c r="AA89"/>
      <c r="AB89"/>
      <c r="AC89"/>
      <c r="AD89"/>
    </row>
    <row r="90" spans="1:30">
      <c r="A90"/>
      <c r="B90"/>
      <c r="C90" t="s">
        <v>778</v>
      </c>
      <c r="D90"/>
      <c r="E90" s="606">
        <f t="shared" ref="E90:X102" si="23">E53-E52</f>
        <v>0</v>
      </c>
      <c r="F90" s="606">
        <f t="shared" si="23"/>
        <v>0</v>
      </c>
      <c r="G90" s="606">
        <f t="shared" si="23"/>
        <v>0</v>
      </c>
      <c r="H90" s="606">
        <f t="shared" si="23"/>
        <v>0</v>
      </c>
      <c r="I90" s="606">
        <f t="shared" si="23"/>
        <v>0</v>
      </c>
      <c r="J90" s="606">
        <f t="shared" si="23"/>
        <v>0</v>
      </c>
      <c r="K90" s="606">
        <f t="shared" si="23"/>
        <v>0</v>
      </c>
      <c r="L90" s="606">
        <f t="shared" si="23"/>
        <v>0</v>
      </c>
      <c r="M90" s="606">
        <f t="shared" si="23"/>
        <v>0</v>
      </c>
      <c r="N90" s="606">
        <f t="shared" si="23"/>
        <v>0</v>
      </c>
      <c r="O90" s="606">
        <f t="shared" si="23"/>
        <v>0</v>
      </c>
      <c r="P90" s="606">
        <f t="shared" si="23"/>
        <v>0</v>
      </c>
      <c r="Q90" s="606">
        <f t="shared" si="23"/>
        <v>0</v>
      </c>
      <c r="R90" s="606">
        <f t="shared" si="23"/>
        <v>0</v>
      </c>
      <c r="S90" s="606">
        <f t="shared" si="23"/>
        <v>0</v>
      </c>
      <c r="T90" s="606">
        <f t="shared" si="23"/>
        <v>0</v>
      </c>
      <c r="U90" s="606">
        <f t="shared" si="23"/>
        <v>0</v>
      </c>
      <c r="V90" s="606">
        <f t="shared" si="23"/>
        <v>0</v>
      </c>
      <c r="W90" s="606">
        <f t="shared" si="23"/>
        <v>0</v>
      </c>
      <c r="X90" s="606">
        <f t="shared" si="23"/>
        <v>0</v>
      </c>
      <c r="Y90" s="606">
        <f t="shared" si="22"/>
        <v>0</v>
      </c>
      <c r="Z90"/>
      <c r="AA90"/>
      <c r="AB90"/>
      <c r="AC90"/>
      <c r="AD90"/>
    </row>
    <row r="91" spans="1:30">
      <c r="A91"/>
      <c r="B91"/>
      <c r="C91" t="s">
        <v>779</v>
      </c>
      <c r="D91"/>
      <c r="E91" s="606">
        <f t="shared" si="23"/>
        <v>0</v>
      </c>
      <c r="F91" s="606">
        <f t="shared" si="23"/>
        <v>0</v>
      </c>
      <c r="G91" s="606">
        <f t="shared" si="23"/>
        <v>0</v>
      </c>
      <c r="H91" s="606">
        <f t="shared" si="23"/>
        <v>0</v>
      </c>
      <c r="I91" s="606">
        <f t="shared" si="23"/>
        <v>0</v>
      </c>
      <c r="J91" s="606">
        <f t="shared" si="23"/>
        <v>0</v>
      </c>
      <c r="K91" s="606">
        <f t="shared" si="23"/>
        <v>0</v>
      </c>
      <c r="L91" s="606">
        <f t="shared" si="23"/>
        <v>0</v>
      </c>
      <c r="M91" s="606">
        <f t="shared" si="23"/>
        <v>0</v>
      </c>
      <c r="N91" s="606">
        <f t="shared" si="23"/>
        <v>0</v>
      </c>
      <c r="O91" s="606">
        <f t="shared" si="23"/>
        <v>0</v>
      </c>
      <c r="P91" s="606">
        <f t="shared" si="23"/>
        <v>0</v>
      </c>
      <c r="Q91" s="606">
        <f t="shared" si="23"/>
        <v>0</v>
      </c>
      <c r="R91" s="606">
        <f t="shared" si="23"/>
        <v>0</v>
      </c>
      <c r="S91" s="606">
        <f t="shared" si="23"/>
        <v>0</v>
      </c>
      <c r="T91" s="606">
        <f t="shared" si="23"/>
        <v>0</v>
      </c>
      <c r="U91" s="606">
        <f t="shared" si="23"/>
        <v>0</v>
      </c>
      <c r="V91" s="606">
        <f t="shared" si="23"/>
        <v>0</v>
      </c>
      <c r="W91" s="606">
        <f t="shared" si="23"/>
        <v>0</v>
      </c>
      <c r="X91" s="606">
        <f t="shared" si="23"/>
        <v>0</v>
      </c>
      <c r="Y91" s="606">
        <f t="shared" si="22"/>
        <v>0</v>
      </c>
      <c r="Z91"/>
      <c r="AA91"/>
      <c r="AB91"/>
      <c r="AC91"/>
      <c r="AD91"/>
    </row>
    <row r="92" spans="1:30">
      <c r="A92"/>
      <c r="B92"/>
      <c r="C92" t="s">
        <v>780</v>
      </c>
      <c r="D92"/>
      <c r="E92" s="606">
        <f t="shared" si="23"/>
        <v>0</v>
      </c>
      <c r="F92" s="606">
        <f t="shared" si="23"/>
        <v>0</v>
      </c>
      <c r="G92" s="606">
        <f t="shared" si="23"/>
        <v>0</v>
      </c>
      <c r="H92" s="606">
        <f t="shared" si="23"/>
        <v>0</v>
      </c>
      <c r="I92" s="606">
        <f t="shared" si="23"/>
        <v>0</v>
      </c>
      <c r="J92" s="606">
        <f t="shared" si="23"/>
        <v>0</v>
      </c>
      <c r="K92" s="606">
        <f t="shared" si="23"/>
        <v>0</v>
      </c>
      <c r="L92" s="606">
        <f t="shared" si="23"/>
        <v>0</v>
      </c>
      <c r="M92" s="606">
        <f t="shared" si="23"/>
        <v>0</v>
      </c>
      <c r="N92" s="606">
        <f t="shared" si="23"/>
        <v>0</v>
      </c>
      <c r="O92" s="606">
        <f t="shared" si="23"/>
        <v>0</v>
      </c>
      <c r="P92" s="606">
        <f t="shared" si="23"/>
        <v>0</v>
      </c>
      <c r="Q92" s="606">
        <f t="shared" si="23"/>
        <v>0</v>
      </c>
      <c r="R92" s="606">
        <f t="shared" si="23"/>
        <v>0</v>
      </c>
      <c r="S92" s="606">
        <f t="shared" si="23"/>
        <v>0</v>
      </c>
      <c r="T92" s="606">
        <f t="shared" si="23"/>
        <v>0</v>
      </c>
      <c r="U92" s="606">
        <f t="shared" si="23"/>
        <v>0</v>
      </c>
      <c r="V92" s="606">
        <f t="shared" si="23"/>
        <v>0</v>
      </c>
      <c r="W92" s="606">
        <f t="shared" si="23"/>
        <v>0</v>
      </c>
      <c r="X92" s="606">
        <f t="shared" si="23"/>
        <v>0</v>
      </c>
      <c r="Y92" s="606">
        <f t="shared" si="22"/>
        <v>0</v>
      </c>
      <c r="Z92"/>
      <c r="AA92"/>
      <c r="AB92"/>
      <c r="AC92"/>
      <c r="AD92"/>
    </row>
    <row r="93" spans="1:30">
      <c r="A93"/>
      <c r="B93"/>
      <c r="C93" t="s">
        <v>781</v>
      </c>
      <c r="D93"/>
      <c r="E93" s="606">
        <f t="shared" si="23"/>
        <v>0</v>
      </c>
      <c r="F93" s="606">
        <f t="shared" si="23"/>
        <v>0</v>
      </c>
      <c r="G93" s="606">
        <f t="shared" si="23"/>
        <v>0</v>
      </c>
      <c r="H93" s="606">
        <f t="shared" si="23"/>
        <v>0</v>
      </c>
      <c r="I93" s="606">
        <f t="shared" si="23"/>
        <v>0</v>
      </c>
      <c r="J93" s="606">
        <f t="shared" si="23"/>
        <v>0</v>
      </c>
      <c r="K93" s="606">
        <f t="shared" si="23"/>
        <v>0</v>
      </c>
      <c r="L93" s="606">
        <f t="shared" si="23"/>
        <v>0</v>
      </c>
      <c r="M93" s="606">
        <f t="shared" si="23"/>
        <v>0</v>
      </c>
      <c r="N93" s="606">
        <f t="shared" si="23"/>
        <v>0</v>
      </c>
      <c r="O93" s="606">
        <f t="shared" si="23"/>
        <v>0</v>
      </c>
      <c r="P93" s="606">
        <f t="shared" si="23"/>
        <v>0</v>
      </c>
      <c r="Q93" s="606">
        <f t="shared" si="23"/>
        <v>0</v>
      </c>
      <c r="R93" s="606">
        <f t="shared" si="23"/>
        <v>0</v>
      </c>
      <c r="S93" s="606">
        <f t="shared" si="23"/>
        <v>0</v>
      </c>
      <c r="T93" s="606">
        <f t="shared" si="23"/>
        <v>0</v>
      </c>
      <c r="U93" s="606">
        <f t="shared" si="23"/>
        <v>0</v>
      </c>
      <c r="V93" s="606">
        <f t="shared" si="23"/>
        <v>0</v>
      </c>
      <c r="W93" s="606">
        <f t="shared" si="23"/>
        <v>0</v>
      </c>
      <c r="X93" s="606">
        <f t="shared" si="23"/>
        <v>0</v>
      </c>
      <c r="Y93" s="606">
        <f t="shared" si="22"/>
        <v>0</v>
      </c>
      <c r="Z93"/>
      <c r="AA93"/>
      <c r="AB93"/>
      <c r="AC93"/>
      <c r="AD93"/>
    </row>
    <row r="94" spans="1:30">
      <c r="A94"/>
      <c r="B94"/>
      <c r="C94" t="s">
        <v>782</v>
      </c>
      <c r="D94"/>
      <c r="E94" s="606">
        <f t="shared" si="23"/>
        <v>0</v>
      </c>
      <c r="F94" s="606">
        <f t="shared" si="23"/>
        <v>0</v>
      </c>
      <c r="G94" s="606">
        <f t="shared" si="23"/>
        <v>0</v>
      </c>
      <c r="H94" s="606">
        <f t="shared" si="23"/>
        <v>0</v>
      </c>
      <c r="I94" s="606">
        <f t="shared" si="23"/>
        <v>0</v>
      </c>
      <c r="J94" s="606">
        <f t="shared" si="23"/>
        <v>0</v>
      </c>
      <c r="K94" s="606">
        <f t="shared" si="23"/>
        <v>0</v>
      </c>
      <c r="L94" s="606">
        <f t="shared" si="23"/>
        <v>0</v>
      </c>
      <c r="M94" s="606">
        <f t="shared" si="23"/>
        <v>0</v>
      </c>
      <c r="N94" s="606">
        <f t="shared" si="23"/>
        <v>0</v>
      </c>
      <c r="O94" s="606">
        <f t="shared" si="23"/>
        <v>0</v>
      </c>
      <c r="P94" s="606">
        <f t="shared" si="23"/>
        <v>0</v>
      </c>
      <c r="Q94" s="606">
        <f t="shared" si="23"/>
        <v>0</v>
      </c>
      <c r="R94" s="606">
        <f t="shared" si="23"/>
        <v>0</v>
      </c>
      <c r="S94" s="606">
        <f t="shared" si="23"/>
        <v>0</v>
      </c>
      <c r="T94" s="606">
        <f t="shared" si="23"/>
        <v>0</v>
      </c>
      <c r="U94" s="606">
        <f t="shared" si="23"/>
        <v>0</v>
      </c>
      <c r="V94" s="606">
        <f t="shared" si="23"/>
        <v>0</v>
      </c>
      <c r="W94" s="606">
        <f t="shared" si="23"/>
        <v>0</v>
      </c>
      <c r="X94" s="606">
        <f t="shared" si="23"/>
        <v>0</v>
      </c>
      <c r="Y94" s="606">
        <f t="shared" si="22"/>
        <v>0</v>
      </c>
      <c r="Z94"/>
      <c r="AA94"/>
      <c r="AB94"/>
      <c r="AC94"/>
      <c r="AD94"/>
    </row>
    <row r="95" spans="1:30">
      <c r="A95"/>
      <c r="B95"/>
      <c r="C95" t="s">
        <v>783</v>
      </c>
      <c r="D95"/>
      <c r="E95" s="606">
        <f t="shared" si="23"/>
        <v>0</v>
      </c>
      <c r="F95" s="606">
        <f t="shared" si="23"/>
        <v>0</v>
      </c>
      <c r="G95" s="606">
        <f t="shared" si="23"/>
        <v>0</v>
      </c>
      <c r="H95" s="606">
        <f t="shared" si="23"/>
        <v>0</v>
      </c>
      <c r="I95" s="606">
        <f t="shared" si="23"/>
        <v>0</v>
      </c>
      <c r="J95" s="606">
        <f t="shared" si="23"/>
        <v>0</v>
      </c>
      <c r="K95" s="606">
        <f t="shared" si="23"/>
        <v>0</v>
      </c>
      <c r="L95" s="606">
        <f t="shared" si="23"/>
        <v>0</v>
      </c>
      <c r="M95" s="606">
        <f t="shared" si="23"/>
        <v>0</v>
      </c>
      <c r="N95" s="606">
        <f t="shared" si="23"/>
        <v>0</v>
      </c>
      <c r="O95" s="606">
        <f t="shared" si="23"/>
        <v>0</v>
      </c>
      <c r="P95" s="606">
        <f t="shared" si="23"/>
        <v>0</v>
      </c>
      <c r="Q95" s="606">
        <f t="shared" si="23"/>
        <v>0</v>
      </c>
      <c r="R95" s="606">
        <f t="shared" si="23"/>
        <v>0</v>
      </c>
      <c r="S95" s="606">
        <f t="shared" si="23"/>
        <v>0</v>
      </c>
      <c r="T95" s="606">
        <f t="shared" si="23"/>
        <v>0</v>
      </c>
      <c r="U95" s="606">
        <f t="shared" si="23"/>
        <v>0</v>
      </c>
      <c r="V95" s="606">
        <f t="shared" si="23"/>
        <v>0</v>
      </c>
      <c r="W95" s="606">
        <f t="shared" si="23"/>
        <v>0</v>
      </c>
      <c r="X95" s="606">
        <f t="shared" si="23"/>
        <v>0</v>
      </c>
      <c r="Y95" s="606">
        <f t="shared" si="22"/>
        <v>0</v>
      </c>
      <c r="Z95"/>
      <c r="AA95"/>
      <c r="AB95"/>
      <c r="AC95"/>
      <c r="AD95"/>
    </row>
    <row r="96" spans="1:30">
      <c r="A96"/>
      <c r="B96"/>
      <c r="C96" t="s">
        <v>784</v>
      </c>
      <c r="D96"/>
      <c r="E96" s="606">
        <f t="shared" si="23"/>
        <v>0</v>
      </c>
      <c r="F96" s="606">
        <f t="shared" si="23"/>
        <v>0</v>
      </c>
      <c r="G96" s="606">
        <f t="shared" si="23"/>
        <v>0</v>
      </c>
      <c r="H96" s="606">
        <f t="shared" si="23"/>
        <v>0</v>
      </c>
      <c r="I96" s="606">
        <f t="shared" si="23"/>
        <v>0</v>
      </c>
      <c r="J96" s="606">
        <f t="shared" si="23"/>
        <v>0</v>
      </c>
      <c r="K96" s="606">
        <f t="shared" si="23"/>
        <v>0</v>
      </c>
      <c r="L96" s="606">
        <f t="shared" si="23"/>
        <v>0</v>
      </c>
      <c r="M96" s="606">
        <f t="shared" si="23"/>
        <v>0</v>
      </c>
      <c r="N96" s="606">
        <f t="shared" si="23"/>
        <v>0</v>
      </c>
      <c r="O96" s="606">
        <f t="shared" si="23"/>
        <v>0</v>
      </c>
      <c r="P96" s="606">
        <f t="shared" si="23"/>
        <v>0</v>
      </c>
      <c r="Q96" s="606">
        <f t="shared" si="23"/>
        <v>0</v>
      </c>
      <c r="R96" s="606">
        <f t="shared" si="23"/>
        <v>0</v>
      </c>
      <c r="S96" s="606">
        <f t="shared" si="23"/>
        <v>0</v>
      </c>
      <c r="T96" s="606">
        <f t="shared" si="23"/>
        <v>0</v>
      </c>
      <c r="U96" s="606">
        <f t="shared" si="23"/>
        <v>0</v>
      </c>
      <c r="V96" s="606">
        <f t="shared" si="23"/>
        <v>0</v>
      </c>
      <c r="W96" s="606">
        <f t="shared" si="23"/>
        <v>0</v>
      </c>
      <c r="X96" s="606">
        <f t="shared" si="23"/>
        <v>0</v>
      </c>
      <c r="Y96" s="606">
        <f t="shared" si="22"/>
        <v>0</v>
      </c>
      <c r="Z96"/>
      <c r="AA96"/>
      <c r="AB96"/>
      <c r="AC96"/>
      <c r="AD96"/>
    </row>
    <row r="97" spans="1:30">
      <c r="A97"/>
      <c r="B97"/>
      <c r="C97" t="s">
        <v>1272</v>
      </c>
      <c r="D97"/>
      <c r="E97" s="606">
        <f t="shared" si="23"/>
        <v>0</v>
      </c>
      <c r="F97" s="606">
        <f t="shared" si="23"/>
        <v>0</v>
      </c>
      <c r="G97" s="606">
        <f t="shared" si="23"/>
        <v>0</v>
      </c>
      <c r="H97" s="606">
        <f t="shared" si="23"/>
        <v>0</v>
      </c>
      <c r="I97" s="606">
        <f t="shared" si="23"/>
        <v>0</v>
      </c>
      <c r="J97" s="606">
        <f t="shared" si="23"/>
        <v>0</v>
      </c>
      <c r="K97" s="606">
        <f t="shared" si="23"/>
        <v>0</v>
      </c>
      <c r="L97" s="606">
        <f t="shared" si="23"/>
        <v>0</v>
      </c>
      <c r="M97" s="606">
        <f t="shared" si="23"/>
        <v>0</v>
      </c>
      <c r="N97" s="606">
        <f t="shared" si="23"/>
        <v>0</v>
      </c>
      <c r="O97" s="606">
        <f t="shared" si="23"/>
        <v>0</v>
      </c>
      <c r="P97" s="606">
        <f t="shared" si="23"/>
        <v>0</v>
      </c>
      <c r="Q97" s="606">
        <f t="shared" si="23"/>
        <v>0</v>
      </c>
      <c r="R97" s="606">
        <f t="shared" si="23"/>
        <v>0</v>
      </c>
      <c r="S97" s="606">
        <f t="shared" si="23"/>
        <v>0</v>
      </c>
      <c r="T97" s="606">
        <f t="shared" si="23"/>
        <v>0</v>
      </c>
      <c r="U97" s="606">
        <f t="shared" si="23"/>
        <v>0</v>
      </c>
      <c r="V97" s="606">
        <f t="shared" si="23"/>
        <v>0</v>
      </c>
      <c r="W97" s="606">
        <f t="shared" si="23"/>
        <v>0</v>
      </c>
      <c r="X97" s="606">
        <f t="shared" si="23"/>
        <v>0</v>
      </c>
      <c r="Y97" s="606">
        <f t="shared" si="22"/>
        <v>0</v>
      </c>
      <c r="Z97"/>
      <c r="AA97"/>
      <c r="AB97"/>
      <c r="AC97"/>
      <c r="AD97"/>
    </row>
    <row r="98" spans="1:30">
      <c r="A98"/>
      <c r="B98"/>
      <c r="C98" t="s">
        <v>1275</v>
      </c>
      <c r="D98"/>
      <c r="E98" s="606">
        <f t="shared" si="23"/>
        <v>0</v>
      </c>
      <c r="F98" s="606">
        <f t="shared" si="23"/>
        <v>0</v>
      </c>
      <c r="G98" s="606">
        <f t="shared" si="23"/>
        <v>0</v>
      </c>
      <c r="H98" s="606">
        <f t="shared" si="23"/>
        <v>0</v>
      </c>
      <c r="I98" s="606">
        <f t="shared" si="23"/>
        <v>0</v>
      </c>
      <c r="J98" s="606">
        <f t="shared" si="23"/>
        <v>0</v>
      </c>
      <c r="K98" s="606">
        <f t="shared" si="23"/>
        <v>0</v>
      </c>
      <c r="L98" s="606">
        <f t="shared" si="23"/>
        <v>0</v>
      </c>
      <c r="M98" s="606">
        <f t="shared" si="23"/>
        <v>0</v>
      </c>
      <c r="N98" s="606">
        <f t="shared" si="23"/>
        <v>0</v>
      </c>
      <c r="O98" s="606">
        <f t="shared" si="23"/>
        <v>0</v>
      </c>
      <c r="P98" s="606">
        <f t="shared" si="23"/>
        <v>0</v>
      </c>
      <c r="Q98" s="606">
        <f t="shared" si="23"/>
        <v>0</v>
      </c>
      <c r="R98" s="606">
        <f t="shared" si="23"/>
        <v>0</v>
      </c>
      <c r="S98" s="606">
        <f t="shared" si="23"/>
        <v>0</v>
      </c>
      <c r="T98" s="606">
        <f t="shared" si="23"/>
        <v>0</v>
      </c>
      <c r="U98" s="606">
        <f t="shared" si="23"/>
        <v>0</v>
      </c>
      <c r="V98" s="606">
        <f t="shared" si="23"/>
        <v>0</v>
      </c>
      <c r="W98" s="606">
        <f t="shared" si="23"/>
        <v>0</v>
      </c>
      <c r="X98" s="606">
        <f t="shared" si="23"/>
        <v>0</v>
      </c>
      <c r="Y98" s="606">
        <f t="shared" si="22"/>
        <v>0</v>
      </c>
      <c r="Z98"/>
      <c r="AA98"/>
      <c r="AB98"/>
      <c r="AC98"/>
      <c r="AD98"/>
    </row>
    <row r="99" spans="1:30">
      <c r="A99"/>
      <c r="B99"/>
      <c r="C99" t="s">
        <v>1278</v>
      </c>
      <c r="D99"/>
      <c r="E99" s="606">
        <f t="shared" si="23"/>
        <v>0</v>
      </c>
      <c r="F99" s="606">
        <f t="shared" si="23"/>
        <v>0</v>
      </c>
      <c r="G99" s="606">
        <f t="shared" si="23"/>
        <v>0</v>
      </c>
      <c r="H99" s="606">
        <f t="shared" si="23"/>
        <v>0</v>
      </c>
      <c r="I99" s="606">
        <f t="shared" si="23"/>
        <v>0</v>
      </c>
      <c r="J99" s="606">
        <f t="shared" si="23"/>
        <v>0</v>
      </c>
      <c r="K99" s="606">
        <f t="shared" si="23"/>
        <v>0</v>
      </c>
      <c r="L99" s="606">
        <f t="shared" si="23"/>
        <v>0</v>
      </c>
      <c r="M99" s="606">
        <f t="shared" si="23"/>
        <v>0</v>
      </c>
      <c r="N99" s="606">
        <f t="shared" si="23"/>
        <v>0</v>
      </c>
      <c r="O99" s="606">
        <f t="shared" si="23"/>
        <v>0</v>
      </c>
      <c r="P99" s="606">
        <f t="shared" si="23"/>
        <v>0</v>
      </c>
      <c r="Q99" s="606">
        <f t="shared" si="23"/>
        <v>0</v>
      </c>
      <c r="R99" s="606">
        <f t="shared" si="23"/>
        <v>0</v>
      </c>
      <c r="S99" s="606">
        <f t="shared" si="23"/>
        <v>0</v>
      </c>
      <c r="T99" s="606">
        <f t="shared" si="23"/>
        <v>0</v>
      </c>
      <c r="U99" s="606">
        <f t="shared" si="23"/>
        <v>0</v>
      </c>
      <c r="V99" s="606">
        <f t="shared" si="23"/>
        <v>0</v>
      </c>
      <c r="W99" s="606">
        <f t="shared" si="23"/>
        <v>0</v>
      </c>
      <c r="X99" s="606">
        <f t="shared" si="23"/>
        <v>0</v>
      </c>
      <c r="Y99" s="606">
        <f t="shared" si="22"/>
        <v>0</v>
      </c>
      <c r="Z99"/>
      <c r="AA99"/>
      <c r="AB99"/>
      <c r="AC99"/>
      <c r="AD99"/>
    </row>
    <row r="100" spans="1:30">
      <c r="A100"/>
      <c r="B100"/>
      <c r="C100" t="s">
        <v>1281</v>
      </c>
      <c r="D100"/>
      <c r="E100" s="606">
        <f t="shared" si="23"/>
        <v>0</v>
      </c>
      <c r="F100" s="606">
        <f t="shared" si="23"/>
        <v>0</v>
      </c>
      <c r="G100" s="606">
        <f t="shared" si="23"/>
        <v>0</v>
      </c>
      <c r="H100" s="606">
        <f t="shared" si="23"/>
        <v>0</v>
      </c>
      <c r="I100" s="606">
        <f t="shared" si="23"/>
        <v>0</v>
      </c>
      <c r="J100" s="606">
        <f t="shared" si="23"/>
        <v>0</v>
      </c>
      <c r="K100" s="606">
        <f t="shared" si="23"/>
        <v>0</v>
      </c>
      <c r="L100" s="606">
        <f t="shared" si="23"/>
        <v>0</v>
      </c>
      <c r="M100" s="606">
        <f t="shared" si="23"/>
        <v>0</v>
      </c>
      <c r="N100" s="606">
        <f t="shared" si="23"/>
        <v>0</v>
      </c>
      <c r="O100" s="606">
        <f t="shared" si="23"/>
        <v>0</v>
      </c>
      <c r="P100" s="606">
        <f t="shared" si="23"/>
        <v>0</v>
      </c>
      <c r="Q100" s="606">
        <f t="shared" si="23"/>
        <v>0</v>
      </c>
      <c r="R100" s="606">
        <f t="shared" si="23"/>
        <v>0</v>
      </c>
      <c r="S100" s="606">
        <f t="shared" si="23"/>
        <v>0</v>
      </c>
      <c r="T100" s="606">
        <f t="shared" si="23"/>
        <v>0</v>
      </c>
      <c r="U100" s="606">
        <f t="shared" si="23"/>
        <v>0</v>
      </c>
      <c r="V100" s="606">
        <f t="shared" si="23"/>
        <v>0</v>
      </c>
      <c r="W100" s="606">
        <f t="shared" si="23"/>
        <v>0</v>
      </c>
      <c r="X100" s="606">
        <f t="shared" si="23"/>
        <v>0</v>
      </c>
      <c r="Y100" s="606">
        <f t="shared" si="22"/>
        <v>0</v>
      </c>
      <c r="Z100"/>
      <c r="AA100"/>
      <c r="AB100"/>
      <c r="AC100"/>
      <c r="AD100"/>
    </row>
    <row r="101" spans="1:30">
      <c r="A101"/>
      <c r="B101"/>
      <c r="C101" t="s">
        <v>1284</v>
      </c>
      <c r="D101"/>
      <c r="E101" s="606">
        <f t="shared" si="23"/>
        <v>0</v>
      </c>
      <c r="F101" s="606">
        <f t="shared" si="23"/>
        <v>0</v>
      </c>
      <c r="G101" s="606">
        <f t="shared" si="23"/>
        <v>0</v>
      </c>
      <c r="H101" s="606">
        <f t="shared" si="23"/>
        <v>0</v>
      </c>
      <c r="I101" s="606">
        <f t="shared" si="23"/>
        <v>0</v>
      </c>
      <c r="J101" s="606">
        <f t="shared" si="23"/>
        <v>0</v>
      </c>
      <c r="K101" s="606">
        <f t="shared" si="23"/>
        <v>0</v>
      </c>
      <c r="L101" s="606">
        <f t="shared" si="23"/>
        <v>0</v>
      </c>
      <c r="M101" s="606">
        <f t="shared" si="23"/>
        <v>0</v>
      </c>
      <c r="N101" s="606">
        <f t="shared" si="23"/>
        <v>0</v>
      </c>
      <c r="O101" s="606">
        <f t="shared" si="23"/>
        <v>0</v>
      </c>
      <c r="P101" s="606">
        <f t="shared" si="23"/>
        <v>0</v>
      </c>
      <c r="Q101" s="606">
        <f t="shared" si="23"/>
        <v>0</v>
      </c>
      <c r="R101" s="606">
        <f t="shared" si="23"/>
        <v>0</v>
      </c>
      <c r="S101" s="606">
        <f t="shared" si="23"/>
        <v>0</v>
      </c>
      <c r="T101" s="606">
        <f t="shared" si="23"/>
        <v>0</v>
      </c>
      <c r="U101" s="606">
        <f t="shared" si="23"/>
        <v>0</v>
      </c>
      <c r="V101" s="606">
        <f t="shared" si="23"/>
        <v>0</v>
      </c>
      <c r="W101" s="606">
        <f t="shared" si="23"/>
        <v>0</v>
      </c>
      <c r="X101" s="606">
        <f t="shared" si="23"/>
        <v>0</v>
      </c>
      <c r="Y101" s="606">
        <f t="shared" si="22"/>
        <v>0</v>
      </c>
      <c r="Z101"/>
      <c r="AA101"/>
      <c r="AB101"/>
      <c r="AC101"/>
      <c r="AD101"/>
    </row>
    <row r="102" spans="1:30">
      <c r="A102"/>
      <c r="B102"/>
      <c r="C102" t="s">
        <v>1287</v>
      </c>
      <c r="D102"/>
      <c r="E102" s="606">
        <f t="shared" si="23"/>
        <v>0</v>
      </c>
      <c r="F102" s="606">
        <f t="shared" si="23"/>
        <v>0</v>
      </c>
      <c r="G102" s="606">
        <f t="shared" si="23"/>
        <v>0</v>
      </c>
      <c r="H102" s="606">
        <f t="shared" si="23"/>
        <v>0</v>
      </c>
      <c r="I102" s="606">
        <f t="shared" si="23"/>
        <v>0</v>
      </c>
      <c r="J102" s="606">
        <f t="shared" si="23"/>
        <v>0</v>
      </c>
      <c r="K102" s="606">
        <f t="shared" si="23"/>
        <v>0</v>
      </c>
      <c r="L102" s="606">
        <f t="shared" si="23"/>
        <v>0</v>
      </c>
      <c r="M102" s="606">
        <f t="shared" si="23"/>
        <v>0</v>
      </c>
      <c r="N102" s="606">
        <f t="shared" si="23"/>
        <v>0</v>
      </c>
      <c r="O102" s="606">
        <f t="shared" si="23"/>
        <v>0</v>
      </c>
      <c r="P102" s="606">
        <f t="shared" si="23"/>
        <v>0</v>
      </c>
      <c r="Q102" s="606">
        <f t="shared" si="23"/>
        <v>0</v>
      </c>
      <c r="R102" s="606">
        <f t="shared" si="23"/>
        <v>0</v>
      </c>
      <c r="S102" s="606">
        <f t="shared" si="23"/>
        <v>0</v>
      </c>
      <c r="T102" s="606">
        <f t="shared" ref="T102:X102" si="24">T65-T64</f>
        <v>0</v>
      </c>
      <c r="U102" s="606">
        <f t="shared" si="24"/>
        <v>0</v>
      </c>
      <c r="V102" s="606">
        <f t="shared" si="24"/>
        <v>0</v>
      </c>
      <c r="W102" s="606">
        <f t="shared" si="24"/>
        <v>0</v>
      </c>
      <c r="X102" s="606">
        <f t="shared" si="24"/>
        <v>0</v>
      </c>
      <c r="Y102" s="606">
        <f t="shared" ref="Y102" si="25">Y65-Y64</f>
        <v>0</v>
      </c>
      <c r="Z102"/>
      <c r="AA102"/>
      <c r="AB102"/>
      <c r="AC102"/>
      <c r="AD102"/>
    </row>
    <row r="103" spans="1:30">
      <c r="A103"/>
      <c r="B103"/>
      <c r="C103" t="s">
        <v>1290</v>
      </c>
      <c r="D103"/>
      <c r="E103" s="606">
        <f t="shared" ref="E103:X107" si="26">E66-E65</f>
        <v>0</v>
      </c>
      <c r="F103" s="606">
        <f t="shared" si="26"/>
        <v>0</v>
      </c>
      <c r="G103" s="606">
        <f t="shared" si="26"/>
        <v>0</v>
      </c>
      <c r="H103" s="606">
        <f t="shared" si="26"/>
        <v>0</v>
      </c>
      <c r="I103" s="606">
        <f t="shared" si="26"/>
        <v>0</v>
      </c>
      <c r="J103" s="606">
        <f t="shared" si="26"/>
        <v>0</v>
      </c>
      <c r="K103" s="606">
        <f t="shared" si="26"/>
        <v>0</v>
      </c>
      <c r="L103" s="606">
        <f t="shared" si="26"/>
        <v>0</v>
      </c>
      <c r="M103" s="606">
        <f t="shared" si="26"/>
        <v>0</v>
      </c>
      <c r="N103" s="606">
        <f t="shared" si="26"/>
        <v>0</v>
      </c>
      <c r="O103" s="606">
        <f t="shared" si="26"/>
        <v>0</v>
      </c>
      <c r="P103" s="606">
        <f t="shared" si="26"/>
        <v>0</v>
      </c>
      <c r="Q103" s="606">
        <f t="shared" si="26"/>
        <v>0</v>
      </c>
      <c r="R103" s="606">
        <f t="shared" si="26"/>
        <v>0</v>
      </c>
      <c r="S103" s="606">
        <f t="shared" si="26"/>
        <v>0</v>
      </c>
      <c r="T103" s="606">
        <f t="shared" si="26"/>
        <v>0</v>
      </c>
      <c r="U103" s="606">
        <f t="shared" si="26"/>
        <v>0</v>
      </c>
      <c r="V103" s="606">
        <f t="shared" si="26"/>
        <v>0</v>
      </c>
      <c r="W103" s="606">
        <f t="shared" si="26"/>
        <v>0</v>
      </c>
      <c r="X103" s="606">
        <f t="shared" si="26"/>
        <v>0</v>
      </c>
      <c r="Y103" s="606">
        <f t="shared" ref="Y103" si="27">Y66-Y65</f>
        <v>0</v>
      </c>
      <c r="Z103"/>
      <c r="AA103"/>
      <c r="AB103"/>
      <c r="AC103"/>
      <c r="AD103"/>
    </row>
    <row r="104" spans="1:30">
      <c r="A104"/>
      <c r="B104"/>
      <c r="C104" t="s">
        <v>1293</v>
      </c>
      <c r="D104"/>
      <c r="E104" s="606">
        <f t="shared" si="26"/>
        <v>0</v>
      </c>
      <c r="F104" s="606">
        <f t="shared" si="26"/>
        <v>0</v>
      </c>
      <c r="G104" s="606">
        <f t="shared" si="26"/>
        <v>0</v>
      </c>
      <c r="H104" s="606">
        <f t="shared" si="26"/>
        <v>0</v>
      </c>
      <c r="I104" s="606">
        <f t="shared" si="26"/>
        <v>0</v>
      </c>
      <c r="J104" s="606">
        <f t="shared" si="26"/>
        <v>0</v>
      </c>
      <c r="K104" s="606">
        <f t="shared" si="26"/>
        <v>0</v>
      </c>
      <c r="L104" s="606">
        <f t="shared" si="26"/>
        <v>0</v>
      </c>
      <c r="M104" s="606">
        <f t="shared" si="26"/>
        <v>0</v>
      </c>
      <c r="N104" s="606">
        <f t="shared" si="26"/>
        <v>0</v>
      </c>
      <c r="O104" s="606">
        <f t="shared" si="26"/>
        <v>0</v>
      </c>
      <c r="P104" s="606">
        <f t="shared" si="26"/>
        <v>0</v>
      </c>
      <c r="Q104" s="606">
        <f t="shared" si="26"/>
        <v>0</v>
      </c>
      <c r="R104" s="606">
        <f t="shared" si="26"/>
        <v>0</v>
      </c>
      <c r="S104" s="606">
        <f t="shared" si="26"/>
        <v>0</v>
      </c>
      <c r="T104" s="606">
        <f t="shared" si="26"/>
        <v>0</v>
      </c>
      <c r="U104" s="606">
        <f t="shared" si="26"/>
        <v>0</v>
      </c>
      <c r="V104" s="606">
        <f t="shared" si="26"/>
        <v>0</v>
      </c>
      <c r="W104" s="606">
        <f t="shared" si="26"/>
        <v>0</v>
      </c>
      <c r="X104" s="606">
        <f t="shared" si="26"/>
        <v>0</v>
      </c>
      <c r="Y104" s="606">
        <f t="shared" ref="Y104" si="28">Y67-Y66</f>
        <v>0</v>
      </c>
      <c r="Z104"/>
      <c r="AA104"/>
      <c r="AB104"/>
      <c r="AC104"/>
      <c r="AD104"/>
    </row>
    <row r="105" spans="1:30">
      <c r="A105"/>
      <c r="B105"/>
      <c r="C105" t="s">
        <v>1296</v>
      </c>
      <c r="D105"/>
      <c r="E105" s="606">
        <f t="shared" si="26"/>
        <v>0</v>
      </c>
      <c r="F105" s="606">
        <f t="shared" si="26"/>
        <v>0</v>
      </c>
      <c r="G105" s="606">
        <f t="shared" si="26"/>
        <v>0</v>
      </c>
      <c r="H105" s="606">
        <f t="shared" si="26"/>
        <v>0</v>
      </c>
      <c r="I105" s="606">
        <f t="shared" si="26"/>
        <v>0</v>
      </c>
      <c r="J105" s="606">
        <f t="shared" si="26"/>
        <v>0</v>
      </c>
      <c r="K105" s="606">
        <f t="shared" si="26"/>
        <v>0</v>
      </c>
      <c r="L105" s="606">
        <f t="shared" si="26"/>
        <v>0</v>
      </c>
      <c r="M105" s="606">
        <f t="shared" si="26"/>
        <v>0</v>
      </c>
      <c r="N105" s="606">
        <f t="shared" si="26"/>
        <v>0</v>
      </c>
      <c r="O105" s="606">
        <f t="shared" si="26"/>
        <v>0</v>
      </c>
      <c r="P105" s="606">
        <f t="shared" si="26"/>
        <v>0</v>
      </c>
      <c r="Q105" s="606">
        <f t="shared" si="26"/>
        <v>0</v>
      </c>
      <c r="R105" s="606">
        <f t="shared" si="26"/>
        <v>0</v>
      </c>
      <c r="S105" s="606">
        <f t="shared" si="26"/>
        <v>0</v>
      </c>
      <c r="T105" s="606">
        <f t="shared" si="26"/>
        <v>0</v>
      </c>
      <c r="U105" s="606">
        <f t="shared" si="26"/>
        <v>0</v>
      </c>
      <c r="V105" s="606">
        <f t="shared" si="26"/>
        <v>0</v>
      </c>
      <c r="W105" s="606">
        <f t="shared" si="26"/>
        <v>0</v>
      </c>
      <c r="X105" s="606">
        <f t="shared" si="26"/>
        <v>0</v>
      </c>
      <c r="Y105" s="606">
        <f t="shared" ref="Y105" si="29">Y68-Y67</f>
        <v>0</v>
      </c>
      <c r="Z105"/>
      <c r="AA105"/>
      <c r="AB105"/>
      <c r="AC105"/>
      <c r="AD105"/>
    </row>
    <row r="106" spans="1:30">
      <c r="A106"/>
      <c r="B106"/>
      <c r="C106" t="s">
        <v>1299</v>
      </c>
      <c r="D106"/>
      <c r="E106" s="606">
        <f t="shared" si="26"/>
        <v>0</v>
      </c>
      <c r="F106" s="606">
        <f t="shared" si="26"/>
        <v>0</v>
      </c>
      <c r="G106" s="606">
        <f t="shared" si="26"/>
        <v>0</v>
      </c>
      <c r="H106" s="606">
        <f t="shared" si="26"/>
        <v>0</v>
      </c>
      <c r="I106" s="606">
        <f t="shared" si="26"/>
        <v>0</v>
      </c>
      <c r="J106" s="606">
        <f t="shared" si="26"/>
        <v>0</v>
      </c>
      <c r="K106" s="606">
        <f t="shared" si="26"/>
        <v>0</v>
      </c>
      <c r="L106" s="606">
        <f t="shared" si="26"/>
        <v>0</v>
      </c>
      <c r="M106" s="606">
        <f t="shared" si="26"/>
        <v>0</v>
      </c>
      <c r="N106" s="606">
        <f t="shared" si="26"/>
        <v>0</v>
      </c>
      <c r="O106" s="606">
        <f t="shared" si="26"/>
        <v>0</v>
      </c>
      <c r="P106" s="606">
        <f t="shared" si="26"/>
        <v>0</v>
      </c>
      <c r="Q106" s="606">
        <f t="shared" si="26"/>
        <v>0</v>
      </c>
      <c r="R106" s="606">
        <f t="shared" si="26"/>
        <v>0</v>
      </c>
      <c r="S106" s="606">
        <f t="shared" si="26"/>
        <v>0</v>
      </c>
      <c r="T106" s="606">
        <f t="shared" si="26"/>
        <v>0</v>
      </c>
      <c r="U106" s="606">
        <f t="shared" si="26"/>
        <v>0</v>
      </c>
      <c r="V106" s="606">
        <f t="shared" si="26"/>
        <v>0</v>
      </c>
      <c r="W106" s="606">
        <f t="shared" si="26"/>
        <v>0</v>
      </c>
      <c r="X106" s="606">
        <f t="shared" si="26"/>
        <v>0</v>
      </c>
      <c r="Y106" s="606">
        <f t="shared" ref="Y106" si="30">Y69-Y68</f>
        <v>0</v>
      </c>
      <c r="Z106"/>
      <c r="AA106"/>
      <c r="AB106"/>
      <c r="AC106"/>
      <c r="AD106"/>
    </row>
    <row r="107" spans="1:30">
      <c r="A107"/>
      <c r="B107"/>
      <c r="C107" t="s">
        <v>1302</v>
      </c>
      <c r="D107"/>
      <c r="E107" s="606">
        <f t="shared" si="26"/>
        <v>0</v>
      </c>
      <c r="F107" s="606">
        <f t="shared" si="26"/>
        <v>0</v>
      </c>
      <c r="G107" s="606">
        <f t="shared" si="26"/>
        <v>0</v>
      </c>
      <c r="H107" s="606">
        <f t="shared" si="26"/>
        <v>0</v>
      </c>
      <c r="I107" s="606">
        <f t="shared" si="26"/>
        <v>0</v>
      </c>
      <c r="J107" s="606">
        <f t="shared" si="26"/>
        <v>0</v>
      </c>
      <c r="K107" s="606">
        <f t="shared" si="26"/>
        <v>0</v>
      </c>
      <c r="L107" s="606">
        <f t="shared" si="26"/>
        <v>0</v>
      </c>
      <c r="M107" s="606">
        <f t="shared" si="26"/>
        <v>0</v>
      </c>
      <c r="N107" s="606">
        <f t="shared" si="26"/>
        <v>0</v>
      </c>
      <c r="O107" s="606">
        <f t="shared" si="26"/>
        <v>0</v>
      </c>
      <c r="P107" s="606">
        <f t="shared" si="26"/>
        <v>0</v>
      </c>
      <c r="Q107" s="606">
        <f t="shared" si="26"/>
        <v>0</v>
      </c>
      <c r="R107" s="606">
        <f t="shared" si="26"/>
        <v>0</v>
      </c>
      <c r="S107" s="606">
        <f t="shared" si="26"/>
        <v>0</v>
      </c>
      <c r="T107" s="606">
        <f t="shared" si="26"/>
        <v>0</v>
      </c>
      <c r="U107" s="606">
        <f t="shared" si="26"/>
        <v>0</v>
      </c>
      <c r="V107" s="606">
        <f t="shared" si="26"/>
        <v>0</v>
      </c>
      <c r="W107" s="606">
        <f t="shared" si="26"/>
        <v>0</v>
      </c>
      <c r="X107" s="606">
        <f t="shared" si="26"/>
        <v>0</v>
      </c>
      <c r="Y107" s="606">
        <f t="shared" ref="Y107" si="31">Y70-Y69</f>
        <v>0</v>
      </c>
      <c r="Z107"/>
      <c r="AA107"/>
      <c r="AB107"/>
      <c r="AC107"/>
      <c r="AD107"/>
    </row>
    <row r="108" spans="1:30">
      <c r="A108"/>
      <c r="B108"/>
      <c r="C108"/>
      <c r="D108"/>
      <c r="E108" s="599"/>
      <c r="F108"/>
      <c r="G108"/>
      <c r="H108"/>
      <c r="I108"/>
      <c r="J108"/>
      <c r="K108"/>
      <c r="L108"/>
      <c r="M108"/>
      <c r="N108"/>
      <c r="O108"/>
      <c r="P108"/>
      <c r="Q108"/>
      <c r="R108"/>
      <c r="S108"/>
      <c r="T108"/>
      <c r="U108"/>
      <c r="V108"/>
      <c r="W108"/>
      <c r="X108"/>
      <c r="Y108"/>
      <c r="Z108"/>
      <c r="AA108"/>
      <c r="AB108"/>
      <c r="AC108"/>
      <c r="AD108"/>
    </row>
    <row r="109" spans="1:30" ht="15">
      <c r="A109"/>
      <c r="B109"/>
      <c r="C109" s="610" t="s">
        <v>1307</v>
      </c>
      <c r="D109" s="611"/>
      <c r="E109" s="611">
        <f t="shared" ref="E109:X109" si="32">SUM(E76:E107)</f>
        <v>1.4584825083332145</v>
      </c>
      <c r="F109" s="611">
        <f t="shared" si="32"/>
        <v>1.8004327364887311</v>
      </c>
      <c r="G109" s="611">
        <f t="shared" si="32"/>
        <v>2.2149482882553069</v>
      </c>
      <c r="H109" s="611">
        <f t="shared" si="32"/>
        <v>2.5844056983273256</v>
      </c>
      <c r="I109" s="611">
        <f t="shared" si="32"/>
        <v>2.9622407134181237</v>
      </c>
      <c r="J109" s="611">
        <f t="shared" si="32"/>
        <v>3.4791560390502472</v>
      </c>
      <c r="K109" s="611">
        <f t="shared" si="32"/>
        <v>3.8331813717949244</v>
      </c>
      <c r="L109" s="611">
        <f t="shared" si="32"/>
        <v>3.9317196452244216</v>
      </c>
      <c r="M109" s="611">
        <f t="shared" si="32"/>
        <v>3.7192275307807439</v>
      </c>
      <c r="N109" s="611">
        <f t="shared" si="32"/>
        <v>3.2084010189542695</v>
      </c>
      <c r="O109" s="611">
        <f t="shared" si="32"/>
        <v>2.491182030019881</v>
      </c>
      <c r="P109" s="611">
        <f t="shared" si="32"/>
        <v>1.7151479625160801</v>
      </c>
      <c r="Q109" s="611">
        <f t="shared" si="32"/>
        <v>1.0295154480791131</v>
      </c>
      <c r="R109" s="611">
        <f t="shared" si="32"/>
        <v>0.52868160089124638</v>
      </c>
      <c r="S109" s="611">
        <f t="shared" si="32"/>
        <v>0.22745864872376298</v>
      </c>
      <c r="T109" s="611">
        <f t="shared" si="32"/>
        <v>8.0125201803285653E-2</v>
      </c>
      <c r="U109" s="611">
        <f t="shared" si="32"/>
        <v>2.2535573073247078E-2</v>
      </c>
      <c r="V109" s="611">
        <f t="shared" si="32"/>
        <v>4.9238160098174274E-3</v>
      </c>
      <c r="W109" s="611">
        <f t="shared" si="32"/>
        <v>8.1124785449243901E-4</v>
      </c>
      <c r="X109" s="611">
        <f t="shared" si="32"/>
        <v>9.7598932402355177E-5</v>
      </c>
      <c r="Y109" s="611"/>
      <c r="Z109"/>
      <c r="AA109"/>
      <c r="AB109"/>
      <c r="AC109"/>
      <c r="AD109"/>
    </row>
    <row r="110" spans="1:30" ht="15">
      <c r="A110"/>
      <c r="B110"/>
      <c r="C110" s="610" t="s">
        <v>1308</v>
      </c>
      <c r="D110" s="611"/>
      <c r="E110" s="611">
        <f t="shared" ref="E110:X110" si="33">D110+E109</f>
        <v>1.4584825083332145</v>
      </c>
      <c r="F110" s="611">
        <f t="shared" si="33"/>
        <v>3.2589152448219458</v>
      </c>
      <c r="G110" s="611">
        <f t="shared" si="33"/>
        <v>5.4738635330772532</v>
      </c>
      <c r="H110" s="611">
        <f t="shared" si="33"/>
        <v>8.0582692314045783</v>
      </c>
      <c r="I110" s="611">
        <f t="shared" si="33"/>
        <v>11.020509944822702</v>
      </c>
      <c r="J110" s="611">
        <f t="shared" si="33"/>
        <v>14.49966598387295</v>
      </c>
      <c r="K110" s="611">
        <f t="shared" si="33"/>
        <v>18.332847355667873</v>
      </c>
      <c r="L110" s="611">
        <f t="shared" si="33"/>
        <v>22.264567000892296</v>
      </c>
      <c r="M110" s="611">
        <f t="shared" si="33"/>
        <v>25.983794531673041</v>
      </c>
      <c r="N110" s="611">
        <f t="shared" si="33"/>
        <v>29.192195550627311</v>
      </c>
      <c r="O110" s="611">
        <f t="shared" si="33"/>
        <v>31.683377580647193</v>
      </c>
      <c r="P110" s="611">
        <f t="shared" si="33"/>
        <v>33.398525543163274</v>
      </c>
      <c r="Q110" s="611">
        <f t="shared" si="33"/>
        <v>34.428040991242383</v>
      </c>
      <c r="R110" s="611">
        <f t="shared" si="33"/>
        <v>34.95672259213363</v>
      </c>
      <c r="S110" s="611">
        <f t="shared" si="33"/>
        <v>35.184181240857392</v>
      </c>
      <c r="T110" s="611">
        <f t="shared" si="33"/>
        <v>35.264306442660676</v>
      </c>
      <c r="U110" s="611">
        <f t="shared" si="33"/>
        <v>35.286842015733924</v>
      </c>
      <c r="V110" s="611">
        <f t="shared" si="33"/>
        <v>35.291765831743739</v>
      </c>
      <c r="W110" s="611">
        <f t="shared" si="33"/>
        <v>35.292577079598232</v>
      </c>
      <c r="X110" s="611">
        <f t="shared" si="33"/>
        <v>35.292674678530631</v>
      </c>
      <c r="Y110" s="611">
        <f>SUM(Y76:Y107)</f>
        <v>36.330233099400537</v>
      </c>
      <c r="Z110"/>
      <c r="AA110"/>
      <c r="AB110"/>
      <c r="AC110"/>
      <c r="AD110"/>
    </row>
    <row r="111" spans="1:30" s="427" customFormat="1">
      <c r="A111" s="98"/>
      <c r="B111" s="98"/>
      <c r="C111" s="98"/>
      <c r="D111" s="98"/>
      <c r="E111" s="601"/>
      <c r="F111" s="601"/>
      <c r="G111" s="601"/>
      <c r="H111" s="601"/>
      <c r="I111" s="601"/>
      <c r="J111" s="601"/>
      <c r="K111" s="601"/>
      <c r="L111" s="601"/>
      <c r="M111" s="601"/>
      <c r="N111" s="601"/>
      <c r="O111" s="601"/>
      <c r="P111" s="601"/>
      <c r="Q111" s="601"/>
      <c r="R111" s="601"/>
      <c r="S111" s="601"/>
      <c r="T111" s="601"/>
      <c r="U111" s="601"/>
      <c r="V111" s="601"/>
      <c r="W111" s="601"/>
      <c r="X111" s="601"/>
      <c r="Y111" s="98"/>
      <c r="Z111" s="98"/>
      <c r="AA111" s="98"/>
      <c r="AB111" s="98"/>
      <c r="AC111" s="98"/>
      <c r="AD111" s="98"/>
    </row>
  </sheetData>
  <mergeCells count="1">
    <mergeCell ref="B1:T6"/>
  </mergeCells>
  <pageMargins left="0.75" right="0.75" top="1" bottom="1" header="0.5" footer="0.5"/>
  <headerFooter alignWithMargins="0"/>
  <legacyDrawing r:id="rId1"/>
</worksheet>
</file>

<file path=xl/worksheets/sheet4.xml><?xml version="1.0" encoding="utf-8"?>
<worksheet xmlns="http://schemas.openxmlformats.org/spreadsheetml/2006/main" xmlns:r="http://schemas.openxmlformats.org/officeDocument/2006/relationships">
  <sheetPr codeName="Sheet17"/>
  <dimension ref="A1:CW7"/>
  <sheetViews>
    <sheetView workbookViewId="0">
      <selection sqref="A1:EA7"/>
    </sheetView>
  </sheetViews>
  <sheetFormatPr defaultRowHeight="12.75"/>
  <sheetData>
    <row r="1" spans="1:101" ht="13.5" thickBot="1">
      <c r="A1" s="201" t="s">
        <v>786</v>
      </c>
      <c r="B1" s="200"/>
      <c r="C1" s="215"/>
      <c r="D1" s="215"/>
      <c r="E1" s="215"/>
      <c r="F1" s="215"/>
      <c r="G1" s="215"/>
      <c r="H1" s="215"/>
      <c r="I1" s="215"/>
      <c r="J1" s="215"/>
      <c r="K1" s="215"/>
      <c r="L1" s="215"/>
      <c r="M1" s="215"/>
      <c r="N1" s="215"/>
      <c r="O1" s="215"/>
      <c r="P1" s="215"/>
      <c r="Q1" s="215"/>
      <c r="R1" s="215"/>
      <c r="S1" s="215"/>
      <c r="T1" s="215"/>
      <c r="U1" s="215"/>
      <c r="V1" s="215"/>
      <c r="W1" s="215"/>
      <c r="X1" s="215"/>
      <c r="Y1" s="215"/>
      <c r="Z1" s="215"/>
      <c r="AA1" s="215"/>
      <c r="AB1" s="215"/>
      <c r="AC1" s="215"/>
      <c r="AD1" s="215"/>
      <c r="AE1" s="215"/>
      <c r="AF1" s="215"/>
      <c r="AG1" s="215"/>
      <c r="AH1" s="215"/>
      <c r="AI1" s="215"/>
      <c r="AJ1" s="215"/>
      <c r="AK1" s="215"/>
      <c r="AL1" s="215"/>
      <c r="AM1" s="215"/>
      <c r="AN1" s="215"/>
      <c r="AO1" s="215"/>
      <c r="AP1" s="215"/>
      <c r="AQ1" s="215"/>
      <c r="AR1" s="215"/>
      <c r="AS1" s="215"/>
      <c r="AT1" s="215"/>
      <c r="AU1" s="215"/>
      <c r="AV1" s="215"/>
      <c r="AW1" s="215"/>
      <c r="AX1" s="215"/>
      <c r="AY1" s="215"/>
      <c r="AZ1" s="215"/>
      <c r="BA1" s="215"/>
      <c r="BB1" s="215"/>
      <c r="BC1" s="215"/>
      <c r="BD1" s="215"/>
      <c r="BE1" s="215"/>
      <c r="BF1" s="215"/>
      <c r="BG1" s="215"/>
      <c r="BH1" s="215"/>
      <c r="BI1" s="215"/>
      <c r="BJ1" s="215"/>
      <c r="BK1" s="215"/>
      <c r="BL1" s="215"/>
      <c r="BM1" s="215"/>
      <c r="BN1" s="215"/>
      <c r="BO1" s="215"/>
      <c r="BP1" s="215"/>
      <c r="BQ1" s="215"/>
      <c r="BR1" s="215"/>
      <c r="BS1" s="215"/>
      <c r="BT1" s="215"/>
      <c r="BU1" s="215"/>
      <c r="BV1" s="215"/>
      <c r="BW1" s="215"/>
      <c r="BX1" s="215"/>
      <c r="BY1" s="215"/>
      <c r="BZ1" s="215"/>
      <c r="CA1" s="215"/>
      <c r="CB1" s="215"/>
      <c r="CC1" s="215"/>
      <c r="CD1" s="215"/>
      <c r="CE1" s="215"/>
      <c r="CF1" s="215"/>
      <c r="CG1" s="215"/>
      <c r="CH1" s="215"/>
      <c r="CI1" s="215"/>
      <c r="CJ1" s="215"/>
      <c r="CK1" s="215"/>
      <c r="CL1" s="215"/>
      <c r="CM1" s="215"/>
      <c r="CN1" s="215"/>
      <c r="CO1" s="215"/>
      <c r="CP1" s="215"/>
      <c r="CQ1" s="215"/>
      <c r="CR1" s="215"/>
      <c r="CS1" s="215"/>
      <c r="CT1" s="215"/>
      <c r="CU1" s="215"/>
      <c r="CV1" s="215"/>
      <c r="CW1" s="215"/>
    </row>
    <row r="2" spans="1:101" ht="13.5" thickBot="1">
      <c r="A2" s="235"/>
      <c r="B2" s="236"/>
      <c r="C2" s="225"/>
      <c r="D2" s="225"/>
      <c r="E2" s="225"/>
      <c r="F2" s="225"/>
      <c r="G2" s="225"/>
      <c r="H2" s="225"/>
      <c r="I2" s="225"/>
      <c r="J2" s="225"/>
      <c r="K2" s="225"/>
      <c r="L2" s="225"/>
      <c r="M2" s="225"/>
      <c r="N2" s="225"/>
      <c r="O2" s="237" t="s">
        <v>1318</v>
      </c>
      <c r="P2" s="238"/>
      <c r="Q2" s="238"/>
      <c r="R2" s="238"/>
      <c r="S2" s="238"/>
      <c r="T2" s="238"/>
      <c r="U2" s="238"/>
      <c r="V2" s="238"/>
      <c r="W2" s="238"/>
      <c r="X2" s="238"/>
      <c r="Y2" s="238"/>
      <c r="Z2" s="229"/>
      <c r="AA2" s="225"/>
      <c r="AB2" s="237" t="s">
        <v>1319</v>
      </c>
      <c r="AC2" s="238"/>
      <c r="AD2" s="238"/>
      <c r="AE2" s="238"/>
      <c r="AF2" s="238"/>
      <c r="AG2" s="238"/>
      <c r="AH2" s="238"/>
      <c r="AI2" s="238"/>
      <c r="AJ2" s="238"/>
      <c r="AK2" s="238"/>
      <c r="AL2" s="238"/>
      <c r="AM2" s="229"/>
      <c r="AN2" s="215"/>
      <c r="AO2" s="215"/>
      <c r="AP2" s="215"/>
      <c r="AQ2" s="215"/>
      <c r="AR2" s="215"/>
      <c r="AS2" s="215"/>
      <c r="AT2" s="215"/>
      <c r="AU2" s="215"/>
      <c r="AV2" s="215"/>
      <c r="AW2" s="215"/>
      <c r="AX2" s="215"/>
      <c r="AY2" s="215"/>
      <c r="AZ2" s="215"/>
      <c r="BA2" s="215"/>
      <c r="BB2" s="215"/>
      <c r="BC2" s="215"/>
      <c r="BD2" s="215"/>
      <c r="BE2" s="215"/>
      <c r="BF2" s="215"/>
      <c r="BG2" s="215"/>
      <c r="BH2" s="215"/>
      <c r="BI2" s="215"/>
      <c r="BJ2" s="215"/>
      <c r="BK2" s="215"/>
      <c r="BL2" s="215"/>
      <c r="BM2" s="215"/>
      <c r="BN2" s="215"/>
      <c r="BO2" s="215"/>
      <c r="BP2" s="215"/>
      <c r="BQ2" s="215"/>
      <c r="BR2" s="215"/>
      <c r="BS2" s="215"/>
      <c r="BT2" s="215"/>
      <c r="BU2" s="215"/>
      <c r="BV2" s="215"/>
      <c r="BW2" s="215"/>
      <c r="BX2" s="215"/>
      <c r="BY2" s="215"/>
      <c r="BZ2" s="215"/>
      <c r="CA2" s="215"/>
      <c r="CB2" s="215"/>
      <c r="CC2" s="215"/>
      <c r="CD2" s="215"/>
      <c r="CE2" s="215"/>
      <c r="CF2" s="215"/>
      <c r="CG2" s="215"/>
      <c r="CH2" s="215"/>
      <c r="CI2" s="215"/>
      <c r="CJ2" s="215"/>
      <c r="CK2" s="215"/>
      <c r="CL2" s="215"/>
      <c r="CM2" s="215"/>
      <c r="CN2" s="215"/>
      <c r="CO2" s="215"/>
      <c r="CP2" s="215"/>
      <c r="CQ2" s="215"/>
      <c r="CR2" s="215"/>
      <c r="CS2" s="215"/>
      <c r="CT2" s="215"/>
      <c r="CU2" s="215"/>
      <c r="CV2" s="215"/>
      <c r="CW2" s="215"/>
    </row>
    <row r="3" spans="1:101" ht="204">
      <c r="A3" s="214" t="s">
        <v>88</v>
      </c>
      <c r="B3" s="213" t="s">
        <v>195</v>
      </c>
      <c r="C3" s="220" t="s">
        <v>787</v>
      </c>
      <c r="D3" s="220" t="s">
        <v>741</v>
      </c>
      <c r="E3" s="220" t="s">
        <v>742</v>
      </c>
      <c r="F3" s="220" t="s">
        <v>743</v>
      </c>
      <c r="G3" s="220" t="s">
        <v>744</v>
      </c>
      <c r="H3" s="220" t="s">
        <v>745</v>
      </c>
      <c r="I3" s="220" t="s">
        <v>746</v>
      </c>
      <c r="J3" s="220" t="s">
        <v>747</v>
      </c>
      <c r="K3" s="220" t="s">
        <v>722</v>
      </c>
      <c r="L3" s="220" t="s">
        <v>721</v>
      </c>
      <c r="M3" s="220" t="s">
        <v>748</v>
      </c>
      <c r="N3" s="220" t="s">
        <v>1317</v>
      </c>
      <c r="O3" s="220" t="s">
        <v>749</v>
      </c>
      <c r="P3" s="220" t="s">
        <v>750</v>
      </c>
      <c r="Q3" s="220" t="s">
        <v>751</v>
      </c>
      <c r="R3" s="220" t="s">
        <v>752</v>
      </c>
      <c r="S3" s="220" t="s">
        <v>753</v>
      </c>
      <c r="T3" s="220" t="s">
        <v>754</v>
      </c>
      <c r="U3" s="220" t="s">
        <v>755</v>
      </c>
      <c r="V3" s="220" t="s">
        <v>756</v>
      </c>
      <c r="W3" s="220" t="s">
        <v>757</v>
      </c>
      <c r="X3" s="220" t="s">
        <v>758</v>
      </c>
      <c r="Y3" s="220" t="s">
        <v>759</v>
      </c>
      <c r="Z3" s="220" t="s">
        <v>760</v>
      </c>
      <c r="AA3" s="220"/>
      <c r="AB3" s="220" t="s">
        <v>749</v>
      </c>
      <c r="AC3" s="220" t="s">
        <v>750</v>
      </c>
      <c r="AD3" s="220" t="s">
        <v>751</v>
      </c>
      <c r="AE3" s="220" t="s">
        <v>752</v>
      </c>
      <c r="AF3" s="220" t="s">
        <v>753</v>
      </c>
      <c r="AG3" s="220" t="s">
        <v>754</v>
      </c>
      <c r="AH3" s="220" t="s">
        <v>755</v>
      </c>
      <c r="AI3" s="220" t="s">
        <v>756</v>
      </c>
      <c r="AJ3" s="220" t="s">
        <v>757</v>
      </c>
      <c r="AK3" s="220" t="s">
        <v>758</v>
      </c>
      <c r="AL3" s="220" t="s">
        <v>759</v>
      </c>
      <c r="AM3" s="220" t="s">
        <v>760</v>
      </c>
      <c r="AN3" s="215"/>
      <c r="AO3" s="215"/>
      <c r="AP3" s="215"/>
      <c r="AQ3" s="215"/>
      <c r="AR3" s="215"/>
      <c r="AS3" s="215"/>
      <c r="AT3" s="215"/>
      <c r="AU3" s="215"/>
      <c r="AV3" s="215"/>
      <c r="AW3" s="215"/>
      <c r="AX3" s="215"/>
      <c r="AY3" s="215"/>
      <c r="AZ3" s="215"/>
      <c r="BA3" s="215"/>
      <c r="BB3" s="215"/>
      <c r="BC3" s="215"/>
      <c r="BD3" s="215"/>
      <c r="BE3" s="215"/>
      <c r="BF3" s="215"/>
      <c r="BG3" s="215"/>
      <c r="BH3" s="215"/>
      <c r="BI3" s="215"/>
      <c r="BJ3" s="215"/>
      <c r="BK3" s="215"/>
      <c r="BL3" s="215"/>
      <c r="BM3" s="215"/>
      <c r="BN3" s="215"/>
      <c r="BO3" s="215"/>
      <c r="BP3" s="215"/>
      <c r="BQ3" s="215"/>
      <c r="BR3" s="215"/>
      <c r="BS3" s="215"/>
      <c r="BT3" s="215"/>
      <c r="BU3" s="215"/>
      <c r="BV3" s="215"/>
      <c r="BW3" s="215"/>
      <c r="BX3" s="215"/>
      <c r="BY3" s="215"/>
      <c r="BZ3" s="215"/>
      <c r="CA3" s="215"/>
      <c r="CB3" s="215"/>
      <c r="CC3" s="215"/>
      <c r="CD3" s="215"/>
      <c r="CE3" s="215"/>
      <c r="CF3" s="215"/>
      <c r="CG3" s="215"/>
      <c r="CH3" s="215"/>
      <c r="CI3" s="215"/>
      <c r="CJ3" s="215"/>
      <c r="CK3" s="215"/>
      <c r="CL3" s="215"/>
      <c r="CM3" s="215"/>
      <c r="CN3" s="215"/>
      <c r="CO3" s="215"/>
      <c r="CP3" s="215"/>
      <c r="CQ3" s="215"/>
      <c r="CR3" s="215"/>
      <c r="CS3" s="215"/>
      <c r="CT3" s="215"/>
      <c r="CU3" s="215"/>
      <c r="CV3" s="215"/>
      <c r="CW3" s="215"/>
    </row>
    <row r="4" spans="1:101">
      <c r="A4" t="s">
        <v>818</v>
      </c>
      <c r="C4" s="231">
        <v>42563.483804441617</v>
      </c>
      <c r="D4" s="231">
        <v>8953.6568683722271</v>
      </c>
      <c r="E4" s="231">
        <v>1790.7313736744454</v>
      </c>
      <c r="F4" s="231">
        <v>10744.388242046673</v>
      </c>
      <c r="G4" s="231">
        <v>-476.57184088134454</v>
      </c>
      <c r="H4" s="231">
        <v>27174.390768459165</v>
      </c>
      <c r="I4" s="231">
        <v>2211.304916504675</v>
      </c>
      <c r="J4" s="231">
        <v>4.3940275477090278</v>
      </c>
      <c r="K4" s="231">
        <v>-9.7450143525555504</v>
      </c>
      <c r="L4" s="222">
        <v>2.7221180311715329</v>
      </c>
      <c r="M4" s="231">
        <v>404.35727122094892</v>
      </c>
      <c r="N4" s="231">
        <v>6.6879149448802169</v>
      </c>
      <c r="O4" s="231">
        <v>2156.9232322531584</v>
      </c>
      <c r="P4" s="231">
        <v>2043.8649469647689</v>
      </c>
      <c r="Q4" s="231">
        <v>2452.985272102103</v>
      </c>
      <c r="R4" s="231">
        <v>2330.9485961970258</v>
      </c>
      <c r="S4" s="231">
        <v>2594.3144096299889</v>
      </c>
      <c r="T4" s="231">
        <v>2899.0377082920072</v>
      </c>
      <c r="U4" s="231">
        <v>3061.779185390456</v>
      </c>
      <c r="V4" s="231">
        <v>3293.2725792015813</v>
      </c>
      <c r="W4" s="231">
        <v>2813.2916882334562</v>
      </c>
      <c r="X4" s="231">
        <v>2747.0820577325276</v>
      </c>
      <c r="Y4" s="231">
        <v>2178.41187784774</v>
      </c>
      <c r="Z4" s="231">
        <v>2153.250493189777</v>
      </c>
      <c r="AA4" s="231"/>
      <c r="AB4" s="231">
        <v>815.53385639239559</v>
      </c>
      <c r="AC4" s="231">
        <v>705.44252109230706</v>
      </c>
      <c r="AD4" s="231">
        <v>751.14005581817707</v>
      </c>
      <c r="AE4" s="231">
        <v>900.57227633526657</v>
      </c>
      <c r="AF4" s="231">
        <v>1006.7000189914651</v>
      </c>
      <c r="AG4" s="231">
        <v>1123.1077073732017</v>
      </c>
      <c r="AH4" s="231">
        <v>1383.311799333841</v>
      </c>
      <c r="AI4" s="231">
        <v>1284.9253318931012</v>
      </c>
      <c r="AJ4" s="231">
        <v>1313.190672426671</v>
      </c>
      <c r="AK4" s="231">
        <v>968.37837828161787</v>
      </c>
      <c r="AL4" s="231">
        <v>769.11117636943504</v>
      </c>
      <c r="AM4" s="215">
        <v>816.90796309954362</v>
      </c>
      <c r="AN4" s="215"/>
      <c r="AO4" s="215"/>
      <c r="AP4" s="215"/>
      <c r="AQ4" s="215"/>
      <c r="AR4" s="215"/>
      <c r="AS4" s="215"/>
      <c r="AT4" s="215"/>
      <c r="AU4" s="215"/>
      <c r="AV4" s="215"/>
      <c r="AW4" s="215"/>
      <c r="AX4" s="215"/>
      <c r="AY4" s="215"/>
      <c r="AZ4" s="215"/>
      <c r="BA4" s="215"/>
      <c r="BB4" s="215"/>
      <c r="BC4" s="215"/>
      <c r="BD4" s="215"/>
      <c r="BE4" s="215"/>
      <c r="BF4" s="215"/>
      <c r="BG4" s="215"/>
      <c r="BH4" s="215"/>
      <c r="BI4" s="215"/>
      <c r="BJ4" s="215"/>
      <c r="BK4" s="215"/>
      <c r="BL4" s="215"/>
      <c r="BM4" s="215"/>
      <c r="BN4" s="215"/>
      <c r="BO4" s="215"/>
      <c r="BP4" s="215"/>
      <c r="BQ4" s="215"/>
      <c r="BR4" s="215"/>
      <c r="BS4" s="215"/>
      <c r="BT4" s="215"/>
      <c r="BU4" s="215"/>
      <c r="BV4" s="215"/>
      <c r="BW4" s="215"/>
      <c r="BX4" s="215"/>
      <c r="BY4" s="215"/>
      <c r="BZ4" s="215"/>
      <c r="CA4" s="215"/>
      <c r="CB4" s="215"/>
      <c r="CC4" s="215"/>
      <c r="CD4" s="215"/>
      <c r="CE4" s="215"/>
      <c r="CF4" s="215"/>
      <c r="CG4" s="215"/>
      <c r="CH4" s="215"/>
      <c r="CI4" s="215"/>
      <c r="CJ4" s="215"/>
      <c r="CK4" s="215"/>
      <c r="CL4" s="215"/>
      <c r="CM4" s="215"/>
      <c r="CN4" s="215"/>
      <c r="CO4" s="215"/>
      <c r="CP4" s="215"/>
      <c r="CQ4" s="215"/>
      <c r="CR4" s="215"/>
      <c r="CS4" s="215"/>
      <c r="CT4" s="215"/>
      <c r="CU4" s="215"/>
      <c r="CV4" s="215"/>
      <c r="CW4" s="215"/>
    </row>
    <row r="5" spans="1:101">
      <c r="A5" t="s">
        <v>814</v>
      </c>
      <c r="C5" s="231">
        <v>100057.53810026644</v>
      </c>
      <c r="D5" s="231">
        <v>50893.141158028397</v>
      </c>
      <c r="E5" s="231">
        <v>10178.62823160568</v>
      </c>
      <c r="F5" s="231">
        <v>61071.769389634079</v>
      </c>
      <c r="G5" s="231">
        <v>52400.032096529234</v>
      </c>
      <c r="H5" s="231">
        <v>63881.111145861963</v>
      </c>
      <c r="I5" s="231">
        <v>5346.810545319323</v>
      </c>
      <c r="J5" s="231">
        <v>23.274183085514689</v>
      </c>
      <c r="K5" s="231">
        <v>29.613549308799605</v>
      </c>
      <c r="L5" s="222">
        <v>1.1257988168114799</v>
      </c>
      <c r="M5" s="231">
        <v>950.55642665903974</v>
      </c>
      <c r="N5" s="231">
        <v>15.721840521401663</v>
      </c>
      <c r="O5" s="231">
        <v>5070.4596804643888</v>
      </c>
      <c r="P5" s="231">
        <v>4804.6841217773126</v>
      </c>
      <c r="Q5" s="231">
        <v>5766.4374572914139</v>
      </c>
      <c r="R5" s="231">
        <v>5479.5556455228043</v>
      </c>
      <c r="S5" s="231">
        <v>6098.671670727641</v>
      </c>
      <c r="T5" s="231">
        <v>6815.0101924050432</v>
      </c>
      <c r="U5" s="231">
        <v>7197.580181743474</v>
      </c>
      <c r="V5" s="231">
        <v>7741.7710467966663</v>
      </c>
      <c r="W5" s="231">
        <v>6613.4398578813598</v>
      </c>
      <c r="X5" s="231">
        <v>6457.7953468049445</v>
      </c>
      <c r="Y5" s="231">
        <v>5120.9748353135938</v>
      </c>
      <c r="Z5" s="231">
        <v>5061.8258658439736</v>
      </c>
      <c r="AA5" s="231"/>
      <c r="AB5" s="231">
        <v>1917.1435844620435</v>
      </c>
      <c r="AC5" s="231">
        <v>1658.3426830389246</v>
      </c>
      <c r="AD5" s="231">
        <v>1765.7676965300627</v>
      </c>
      <c r="AE5" s="231">
        <v>2117.0505042647965</v>
      </c>
      <c r="AF5" s="231">
        <v>2366.5338572512769</v>
      </c>
      <c r="AG5" s="231">
        <v>2640.183137675172</v>
      </c>
      <c r="AH5" s="231">
        <v>3251.8666400129209</v>
      </c>
      <c r="AI5" s="231">
        <v>3020.5813495575567</v>
      </c>
      <c r="AJ5" s="231">
        <v>3087.0270474790118</v>
      </c>
      <c r="AK5" s="231">
        <v>2276.4479741734885</v>
      </c>
      <c r="AL5" s="231">
        <v>1808.0139113259095</v>
      </c>
      <c r="AM5" s="215">
        <v>1920.3738119226527</v>
      </c>
      <c r="AN5" s="215"/>
      <c r="AO5" s="215"/>
      <c r="AP5" s="215"/>
      <c r="AQ5" s="215"/>
      <c r="AR5" s="215"/>
      <c r="AS5" s="215"/>
      <c r="AT5" s="215"/>
      <c r="AU5" s="215"/>
      <c r="AV5" s="215"/>
      <c r="AW5" s="215"/>
      <c r="AX5" s="215"/>
      <c r="AY5" s="215"/>
      <c r="AZ5" s="215"/>
      <c r="BA5" s="215"/>
      <c r="BB5" s="215"/>
      <c r="BC5" s="215"/>
      <c r="BD5" s="215"/>
      <c r="BE5" s="215"/>
      <c r="BF5" s="215"/>
      <c r="BG5" s="215"/>
      <c r="BH5" s="215"/>
      <c r="BI5" s="215"/>
      <c r="BJ5" s="215"/>
      <c r="BK5" s="215"/>
      <c r="BL5" s="215"/>
      <c r="BM5" s="215"/>
      <c r="BN5" s="215"/>
      <c r="BO5" s="215"/>
      <c r="BP5" s="215"/>
      <c r="BQ5" s="215"/>
      <c r="BR5" s="215"/>
      <c r="BS5" s="215"/>
      <c r="BT5" s="215"/>
      <c r="BU5" s="215"/>
      <c r="BV5" s="215"/>
      <c r="BW5" s="215"/>
      <c r="BX5" s="215"/>
      <c r="BY5" s="215"/>
      <c r="BZ5" s="215"/>
      <c r="CA5" s="215"/>
      <c r="CB5" s="215"/>
      <c r="CC5" s="215"/>
      <c r="CD5" s="215"/>
      <c r="CE5" s="215"/>
      <c r="CF5" s="215"/>
      <c r="CG5" s="215"/>
      <c r="CH5" s="215"/>
      <c r="CI5" s="215"/>
      <c r="CJ5" s="215"/>
      <c r="CK5" s="215"/>
      <c r="CL5" s="215"/>
      <c r="CM5" s="215"/>
      <c r="CN5" s="215"/>
      <c r="CO5" s="215"/>
      <c r="CP5" s="215"/>
      <c r="CQ5" s="215"/>
      <c r="CR5" s="215"/>
      <c r="CS5" s="215"/>
      <c r="CT5" s="215"/>
      <c r="CU5" s="215"/>
      <c r="CV5" s="215"/>
      <c r="CW5" s="215"/>
    </row>
    <row r="6" spans="1:101">
      <c r="A6" t="s">
        <v>816</v>
      </c>
      <c r="C6" s="231">
        <v>80807.37285016627</v>
      </c>
      <c r="D6" s="231">
        <v>47324.287442737863</v>
      </c>
      <c r="E6" s="231">
        <v>9464.8574885475737</v>
      </c>
      <c r="F6" s="231">
        <v>56789.144931285438</v>
      </c>
      <c r="G6" s="231">
        <v>53477.440735304051</v>
      </c>
      <c r="H6" s="231">
        <v>51590.963204328888</v>
      </c>
      <c r="I6" s="231">
        <v>6156.2811913274172</v>
      </c>
      <c r="J6" s="231">
        <v>28.14833529862949</v>
      </c>
      <c r="K6" s="231">
        <v>39.77446296180814</v>
      </c>
      <c r="L6" s="223">
        <v>0.97777096246276696</v>
      </c>
      <c r="M6" s="231">
        <v>767.6779685223346</v>
      </c>
      <c r="N6" s="231">
        <v>12.697100618552732</v>
      </c>
      <c r="O6" s="231">
        <v>4094.9491032892979</v>
      </c>
      <c r="P6" s="231">
        <v>3880.3063579944214</v>
      </c>
      <c r="Q6" s="231">
        <v>4657.0270513908554</v>
      </c>
      <c r="R6" s="231">
        <v>4425.3387051886257</v>
      </c>
      <c r="S6" s="231">
        <v>4925.3424074195027</v>
      </c>
      <c r="T6" s="231">
        <v>5503.8638772373633</v>
      </c>
      <c r="U6" s="231">
        <v>5812.8308612018864</v>
      </c>
      <c r="V6" s="231">
        <v>6252.3243263513232</v>
      </c>
      <c r="W6" s="231">
        <v>5341.0738517515711</v>
      </c>
      <c r="X6" s="231">
        <v>5215.3739367083863</v>
      </c>
      <c r="Y6" s="231">
        <v>4135.745599285362</v>
      </c>
      <c r="Z6" s="231">
        <v>4087.9763565038229</v>
      </c>
      <c r="AA6" s="231"/>
      <c r="AB6" s="231">
        <v>1548.3025005241063</v>
      </c>
      <c r="AC6" s="231">
        <v>1339.292551525557</v>
      </c>
      <c r="AD6" s="231">
        <v>1426.0499641446211</v>
      </c>
      <c r="AE6" s="231">
        <v>1709.7491372346922</v>
      </c>
      <c r="AF6" s="231">
        <v>1911.2341498330034</v>
      </c>
      <c r="AG6" s="231">
        <v>2132.2357840250656</v>
      </c>
      <c r="AH6" s="231">
        <v>2626.2369135568583</v>
      </c>
      <c r="AI6" s="231">
        <v>2439.4488208710577</v>
      </c>
      <c r="AJ6" s="231">
        <v>2493.1109675535795</v>
      </c>
      <c r="AK6" s="231">
        <v>1838.4799757785856</v>
      </c>
      <c r="AL6" s="231">
        <v>1460.1683893560755</v>
      </c>
      <c r="AM6" s="215">
        <v>1550.9112614406374</v>
      </c>
      <c r="AN6" s="215"/>
      <c r="AO6" s="215"/>
      <c r="AP6" s="215"/>
      <c r="AQ6" s="215"/>
      <c r="AR6" s="215"/>
      <c r="AS6" s="215"/>
      <c r="AT6" s="215"/>
      <c r="AU6" s="215"/>
      <c r="AV6" s="215"/>
      <c r="AW6" s="215"/>
      <c r="AX6" s="215"/>
      <c r="AY6" s="215"/>
      <c r="AZ6" s="215"/>
      <c r="BA6" s="215"/>
      <c r="BB6" s="215"/>
      <c r="BC6" s="215"/>
      <c r="BD6" s="215"/>
      <c r="BE6" s="215"/>
      <c r="BF6" s="215"/>
      <c r="BG6" s="215"/>
      <c r="BH6" s="215"/>
      <c r="BI6" s="215"/>
      <c r="BJ6" s="215"/>
      <c r="BK6" s="215"/>
      <c r="BL6" s="215"/>
      <c r="BM6" s="215"/>
      <c r="BN6" s="215"/>
      <c r="BO6" s="215"/>
      <c r="BP6" s="215"/>
      <c r="BQ6" s="215"/>
      <c r="BR6" s="215"/>
      <c r="BS6" s="215"/>
      <c r="BT6" s="215"/>
      <c r="BU6" s="215"/>
      <c r="BV6" s="215"/>
      <c r="BW6" s="215"/>
      <c r="BX6" s="215"/>
      <c r="BY6" s="215"/>
      <c r="BZ6" s="215"/>
      <c r="CA6" s="215"/>
      <c r="CB6" s="215"/>
      <c r="CC6" s="215"/>
      <c r="CD6" s="215"/>
      <c r="CE6" s="215"/>
      <c r="CF6" s="215"/>
      <c r="CG6" s="215"/>
      <c r="CH6" s="215"/>
      <c r="CI6" s="215"/>
      <c r="CJ6" s="215"/>
      <c r="CK6" s="215"/>
      <c r="CL6" s="215"/>
      <c r="CM6" s="215"/>
      <c r="CN6" s="215"/>
      <c r="CO6" s="215"/>
      <c r="CP6" s="215"/>
      <c r="CQ6" s="215"/>
      <c r="CR6" s="215"/>
      <c r="CS6" s="215"/>
      <c r="CT6" s="215"/>
      <c r="CU6" s="215"/>
      <c r="CV6" s="215"/>
      <c r="CW6" s="215"/>
    </row>
    <row r="7" spans="1:101">
      <c r="C7" s="215"/>
      <c r="D7" s="215"/>
      <c r="E7" s="215"/>
      <c r="F7" s="215"/>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19">
    <tabColor rgb="FFFFC000"/>
  </sheetPr>
  <dimension ref="A1:DA88"/>
  <sheetViews>
    <sheetView zoomScale="90" zoomScaleNormal="90" workbookViewId="0">
      <selection activeCell="A13" sqref="A13:EA88"/>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5" t="s">
        <v>30</v>
      </c>
      <c r="B1" s="62"/>
      <c r="C1" s="62"/>
      <c r="D1" s="62"/>
      <c r="E1" s="62"/>
      <c r="F1" s="62"/>
      <c r="G1" s="62"/>
      <c r="H1" s="6"/>
      <c r="I1" s="7"/>
      <c r="J1" s="7"/>
      <c r="K1" s="7"/>
      <c r="L1" s="7"/>
      <c r="M1" s="7"/>
      <c r="N1" s="8"/>
      <c r="O1" s="91" t="e">
        <f ca="1">IF(AND('ProCost 6th Plan Inputs'!G66=TRUE,'ProCost 6th Plan Inputs'!G69=TRUE,'ProCost 6th Plan Inputs'!G72=TRUE),"","Re-run ProCost")</f>
        <v>#REF!</v>
      </c>
      <c r="P1" s="8"/>
      <c r="Q1" s="8"/>
      <c r="R1" s="8"/>
      <c r="S1" s="6"/>
      <c r="T1" s="6"/>
      <c r="U1" s="6"/>
      <c r="V1" s="8"/>
      <c r="W1" s="6"/>
      <c r="X1" s="6"/>
      <c r="Y1" s="6"/>
      <c r="Z1" s="6"/>
      <c r="AA1" s="6"/>
      <c r="AB1" s="6"/>
      <c r="AC1" s="6"/>
      <c r="AD1" s="6"/>
      <c r="AE1" s="6"/>
      <c r="AF1" s="6"/>
      <c r="AG1" s="6"/>
      <c r="AH1" s="6"/>
      <c r="AI1" s="6"/>
      <c r="AJ1" s="6"/>
      <c r="AK1" s="6"/>
      <c r="AL1" s="6"/>
      <c r="AM1" s="6"/>
      <c r="AN1" s="6"/>
      <c r="AO1" s="6"/>
      <c r="AP1" s="20"/>
      <c r="AQ1" s="6"/>
      <c r="AR1" s="6"/>
      <c r="AS1" s="6"/>
      <c r="AT1" s="6"/>
      <c r="AU1" s="6"/>
      <c r="AV1" s="20"/>
      <c r="AW1" s="6"/>
      <c r="AX1" s="6"/>
      <c r="AY1" s="6"/>
      <c r="AZ1" s="6"/>
      <c r="BA1" s="6"/>
      <c r="BB1" s="6"/>
      <c r="BC1" s="6"/>
      <c r="BD1" s="6"/>
      <c r="BE1" s="6"/>
      <c r="BF1" s="6"/>
      <c r="BG1" s="6"/>
      <c r="BH1" s="6"/>
      <c r="BI1" s="6"/>
      <c r="BJ1" s="6"/>
      <c r="BK1" s="6"/>
      <c r="BL1" s="6"/>
      <c r="BM1" s="18"/>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20"/>
      <c r="CQ1" s="6"/>
      <c r="CR1" s="6"/>
      <c r="CS1" s="6"/>
      <c r="CT1" s="6"/>
      <c r="CU1" s="6"/>
      <c r="CV1" s="6"/>
      <c r="CW1" s="6"/>
      <c r="CX1" s="6"/>
      <c r="CY1" s="6"/>
      <c r="CZ1" s="6"/>
      <c r="DA1" s="6"/>
    </row>
    <row r="2" spans="1:105">
      <c r="A2" s="17" t="s">
        <v>43</v>
      </c>
      <c r="B2" s="6" t="str">
        <f>'SC-Retro'!C8</f>
        <v>Municipal Sewage Treatment-Retro</v>
      </c>
      <c r="C2" s="6"/>
      <c r="D2" s="6"/>
      <c r="E2" s="6"/>
      <c r="F2" s="6" t="s">
        <v>633</v>
      </c>
      <c r="G2" s="6"/>
      <c r="H2" s="6"/>
      <c r="I2" s="7"/>
      <c r="J2" s="7"/>
      <c r="K2" s="7"/>
      <c r="L2" s="7"/>
      <c r="M2" s="7"/>
      <c r="N2" s="8"/>
      <c r="O2" s="8"/>
      <c r="P2" s="8"/>
      <c r="Q2" s="8"/>
      <c r="R2" s="8"/>
      <c r="S2" s="6"/>
      <c r="T2" s="6"/>
      <c r="U2" s="6"/>
      <c r="V2" s="8"/>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20"/>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row>
    <row r="3" spans="1:105">
      <c r="A3" s="17" t="s">
        <v>2</v>
      </c>
      <c r="C3" s="17">
        <v>2012</v>
      </c>
      <c r="J3" s="21"/>
      <c r="K3" s="22"/>
      <c r="CO3" s="22"/>
      <c r="CP3" s="22"/>
    </row>
    <row r="4" spans="1:105">
      <c r="B4" s="95" t="s">
        <v>1168</v>
      </c>
    </row>
    <row r="5" spans="1:105">
      <c r="A5" s="9">
        <v>1</v>
      </c>
      <c r="B5" s="9">
        <v>2</v>
      </c>
      <c r="C5" s="9">
        <v>3</v>
      </c>
      <c r="D5" s="9">
        <v>4</v>
      </c>
      <c r="E5" s="9">
        <v>5</v>
      </c>
      <c r="F5" s="9">
        <v>6</v>
      </c>
      <c r="G5" s="9">
        <v>7</v>
      </c>
      <c r="H5" s="9">
        <v>8</v>
      </c>
      <c r="I5" s="9">
        <v>9</v>
      </c>
      <c r="J5" s="9">
        <v>10</v>
      </c>
      <c r="K5" s="9">
        <v>11</v>
      </c>
      <c r="L5" s="9">
        <v>12</v>
      </c>
      <c r="M5" s="9">
        <v>13</v>
      </c>
      <c r="N5" s="9">
        <v>14</v>
      </c>
      <c r="O5" s="9">
        <v>15</v>
      </c>
      <c r="P5" s="9">
        <v>16</v>
      </c>
      <c r="Q5" s="9">
        <v>17</v>
      </c>
      <c r="R5" s="9">
        <v>18</v>
      </c>
      <c r="S5" s="9">
        <v>19</v>
      </c>
      <c r="T5" s="9">
        <v>20</v>
      </c>
      <c r="U5" s="9">
        <v>21</v>
      </c>
      <c r="V5" s="9">
        <v>22</v>
      </c>
      <c r="W5" s="9">
        <v>23</v>
      </c>
      <c r="X5" s="9">
        <v>24</v>
      </c>
      <c r="Y5" s="9">
        <v>25</v>
      </c>
      <c r="Z5" s="9">
        <v>26</v>
      </c>
      <c r="AA5" s="9">
        <v>27</v>
      </c>
      <c r="AB5" s="9">
        <v>28</v>
      </c>
      <c r="AC5" s="9">
        <v>29</v>
      </c>
      <c r="AD5" s="9">
        <v>30</v>
      </c>
      <c r="AE5" s="9">
        <v>31</v>
      </c>
      <c r="AF5" s="9">
        <v>32</v>
      </c>
      <c r="AG5" s="9">
        <v>33</v>
      </c>
      <c r="AH5" s="9">
        <v>34</v>
      </c>
      <c r="AI5" s="9">
        <v>35</v>
      </c>
      <c r="AJ5" s="9">
        <v>36</v>
      </c>
      <c r="AK5" s="9">
        <v>37</v>
      </c>
      <c r="AL5" s="9">
        <v>38</v>
      </c>
      <c r="AM5" s="9">
        <v>39</v>
      </c>
      <c r="AN5" s="9">
        <v>40</v>
      </c>
      <c r="AO5" s="9">
        <v>41</v>
      </c>
      <c r="AP5" s="9">
        <v>42</v>
      </c>
      <c r="AQ5" s="9">
        <v>43</v>
      </c>
      <c r="AR5" s="9">
        <v>44</v>
      </c>
      <c r="AS5" s="9">
        <v>45</v>
      </c>
      <c r="AT5" s="9">
        <v>46</v>
      </c>
      <c r="AU5" s="9">
        <v>47</v>
      </c>
      <c r="AV5" s="9">
        <v>48</v>
      </c>
      <c r="AW5" s="9">
        <v>49</v>
      </c>
      <c r="AX5" s="9">
        <v>50</v>
      </c>
      <c r="AY5" s="9">
        <v>51</v>
      </c>
      <c r="AZ5" s="9">
        <v>52</v>
      </c>
      <c r="BA5" s="9">
        <v>53</v>
      </c>
      <c r="BB5" s="9">
        <v>54</v>
      </c>
      <c r="BC5" s="9">
        <v>55</v>
      </c>
      <c r="BD5" s="9">
        <v>56</v>
      </c>
      <c r="BE5" s="9">
        <v>57</v>
      </c>
      <c r="BF5" s="9">
        <v>58</v>
      </c>
      <c r="BG5" s="9">
        <v>59</v>
      </c>
      <c r="BH5" s="9">
        <v>60</v>
      </c>
      <c r="BI5" s="9">
        <v>61</v>
      </c>
      <c r="BJ5" s="9">
        <v>62</v>
      </c>
      <c r="BK5" s="9">
        <v>63</v>
      </c>
      <c r="BL5" s="9">
        <v>64</v>
      </c>
      <c r="BM5" s="9">
        <v>65</v>
      </c>
      <c r="BN5" s="9">
        <v>66</v>
      </c>
      <c r="BO5" s="9">
        <v>67</v>
      </c>
      <c r="BP5" s="9">
        <v>68</v>
      </c>
      <c r="BQ5" s="9">
        <v>69</v>
      </c>
      <c r="BR5" s="9">
        <v>70</v>
      </c>
      <c r="BS5" s="9">
        <v>71</v>
      </c>
      <c r="BT5" s="9">
        <v>72</v>
      </c>
      <c r="BU5" s="9">
        <v>73</v>
      </c>
      <c r="BV5" s="9">
        <v>74</v>
      </c>
      <c r="BW5" s="9">
        <v>75</v>
      </c>
      <c r="BX5" s="9">
        <v>76</v>
      </c>
      <c r="BY5" s="9">
        <v>77</v>
      </c>
      <c r="BZ5" s="9">
        <v>78</v>
      </c>
      <c r="CA5" s="9">
        <v>79</v>
      </c>
      <c r="CB5" s="9">
        <v>80</v>
      </c>
      <c r="CC5" s="9">
        <v>81</v>
      </c>
      <c r="CD5" s="9">
        <v>82</v>
      </c>
      <c r="CE5" s="9">
        <v>83</v>
      </c>
      <c r="CF5" s="9">
        <v>84</v>
      </c>
      <c r="CG5" s="9">
        <v>85</v>
      </c>
      <c r="CH5" s="9">
        <v>86</v>
      </c>
      <c r="CI5" s="9">
        <v>87</v>
      </c>
      <c r="CJ5" s="9">
        <v>88</v>
      </c>
      <c r="CK5" s="9">
        <v>89</v>
      </c>
      <c r="CL5" s="9">
        <v>90</v>
      </c>
      <c r="CM5" s="9">
        <v>91</v>
      </c>
      <c r="CN5" s="9">
        <v>92</v>
      </c>
      <c r="CO5" s="9">
        <v>93</v>
      </c>
      <c r="CP5" s="9">
        <v>94</v>
      </c>
      <c r="CQ5" s="9">
        <v>95</v>
      </c>
      <c r="CR5" s="9">
        <v>96</v>
      </c>
      <c r="CS5" s="9">
        <v>97</v>
      </c>
      <c r="CT5" s="9">
        <v>98</v>
      </c>
      <c r="CU5" s="9">
        <v>99</v>
      </c>
      <c r="CV5" s="9">
        <v>100</v>
      </c>
      <c r="CW5" s="9">
        <v>101</v>
      </c>
      <c r="CX5" s="9">
        <v>102</v>
      </c>
      <c r="CY5" s="9">
        <v>103</v>
      </c>
      <c r="CZ5" s="9">
        <v>104</v>
      </c>
      <c r="DA5" s="9">
        <v>105</v>
      </c>
    </row>
    <row r="6" spans="1:105">
      <c r="A6" s="1" t="s">
        <v>20</v>
      </c>
      <c r="B6" s="2"/>
      <c r="C6" s="2"/>
      <c r="D6" s="2"/>
      <c r="E6" s="2"/>
      <c r="F6" s="2"/>
      <c r="G6" s="3"/>
      <c r="H6" s="4"/>
      <c r="I6" s="694" t="s">
        <v>4</v>
      </c>
      <c r="J6" s="695"/>
      <c r="K6" s="695"/>
      <c r="L6" s="695"/>
      <c r="M6" s="695"/>
      <c r="N6" s="696"/>
      <c r="O6" s="697" t="s">
        <v>42</v>
      </c>
      <c r="P6" s="698"/>
      <c r="Q6" s="92" t="s">
        <v>180</v>
      </c>
      <c r="R6" s="699" t="s">
        <v>179</v>
      </c>
      <c r="S6" s="699"/>
      <c r="T6" s="699"/>
      <c r="U6" s="13"/>
      <c r="V6" s="13"/>
      <c r="W6" s="13"/>
      <c r="X6" s="14"/>
      <c r="Y6" s="15"/>
      <c r="Z6" s="13"/>
      <c r="AA6" s="13"/>
      <c r="AB6" s="13"/>
      <c r="AC6" s="13"/>
      <c r="AD6" s="13"/>
      <c r="AE6" s="12"/>
      <c r="AF6" s="12"/>
      <c r="AG6" s="12"/>
      <c r="AH6" s="12"/>
      <c r="AI6" s="12"/>
      <c r="AJ6" s="12"/>
      <c r="AK6" s="12"/>
      <c r="AL6" s="12"/>
      <c r="AM6" s="12"/>
      <c r="AN6" s="12"/>
      <c r="AO6" s="12"/>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row>
    <row r="7" spans="1:105" ht="25.5">
      <c r="A7" s="51" t="s">
        <v>21</v>
      </c>
      <c r="B7" s="51" t="s">
        <v>22</v>
      </c>
      <c r="C7" s="51" t="s">
        <v>31</v>
      </c>
      <c r="D7" s="51" t="s">
        <v>32</v>
      </c>
      <c r="E7" s="51" t="s">
        <v>33</v>
      </c>
      <c r="F7" s="10" t="s">
        <v>34</v>
      </c>
      <c r="G7" s="51" t="s">
        <v>23</v>
      </c>
      <c r="H7" s="11" t="s">
        <v>35</v>
      </c>
      <c r="I7" s="11" t="s">
        <v>24</v>
      </c>
      <c r="J7" s="11" t="s">
        <v>25</v>
      </c>
      <c r="K7" s="11" t="s">
        <v>26</v>
      </c>
      <c r="L7" s="11" t="s">
        <v>27</v>
      </c>
      <c r="M7" s="11" t="s">
        <v>28</v>
      </c>
      <c r="N7" s="11" t="s">
        <v>29</v>
      </c>
      <c r="O7" s="19" t="s">
        <v>5</v>
      </c>
      <c r="P7" s="11" t="s">
        <v>23</v>
      </c>
      <c r="Q7" s="93" t="s">
        <v>184</v>
      </c>
      <c r="R7" s="94" t="s">
        <v>181</v>
      </c>
      <c r="S7" s="94" t="s">
        <v>182</v>
      </c>
      <c r="T7" s="94" t="s">
        <v>183</v>
      </c>
      <c r="U7" s="16"/>
      <c r="V7" s="16"/>
      <c r="W7" s="16"/>
      <c r="X7" s="16"/>
      <c r="Y7" s="16"/>
      <c r="Z7" s="16"/>
      <c r="AA7" s="16"/>
      <c r="AB7" s="16"/>
      <c r="AC7" s="16"/>
      <c r="AD7" s="16"/>
      <c r="AE7" s="12"/>
      <c r="AF7" s="12"/>
      <c r="AG7" s="12"/>
      <c r="AH7" s="12"/>
      <c r="AI7" s="12"/>
      <c r="AJ7" s="12"/>
      <c r="AK7" s="12"/>
      <c r="AL7" s="12"/>
      <c r="AM7" s="12"/>
      <c r="AN7" s="12"/>
      <c r="AO7" s="12"/>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row>
    <row r="8" spans="1:105" s="98" customFormat="1">
      <c r="A8" s="215" t="s">
        <v>814</v>
      </c>
      <c r="B8" s="215" t="s">
        <v>814</v>
      </c>
      <c r="C8" s="460">
        <f>'Savings and Cost'!Y3</f>
        <v>93173.917685940076</v>
      </c>
      <c r="D8" s="240">
        <v>12</v>
      </c>
      <c r="E8" s="461">
        <f>'Savings and Cost'!Z3</f>
        <v>50893.141158028397</v>
      </c>
      <c r="F8" s="461">
        <f>-'Savings and Cost'!AA3</f>
        <v>-2859.7816299287219</v>
      </c>
      <c r="G8" s="97" t="s">
        <v>1214</v>
      </c>
      <c r="H8" s="240"/>
      <c r="I8" s="240"/>
      <c r="J8" s="240"/>
      <c r="K8" s="240"/>
      <c r="L8" s="240"/>
      <c r="M8" s="240"/>
      <c r="N8" s="240"/>
      <c r="O8"/>
      <c r="P8" s="462"/>
      <c r="Q8" s="463" t="s">
        <v>788</v>
      </c>
      <c r="R8" s="240"/>
      <c r="S8" s="240"/>
      <c r="T8" s="240"/>
      <c r="U8" s="16"/>
      <c r="V8" s="16"/>
      <c r="W8" s="16"/>
      <c r="X8" s="16"/>
      <c r="Y8" s="16"/>
      <c r="Z8" s="16"/>
      <c r="AA8" s="16"/>
      <c r="AB8" s="16"/>
      <c r="AC8" s="16"/>
      <c r="AD8" s="16"/>
      <c r="AE8" s="12"/>
      <c r="AF8" s="12"/>
      <c r="AG8" s="12"/>
      <c r="AH8" s="12"/>
      <c r="AI8" s="12"/>
      <c r="AJ8" s="12"/>
      <c r="AK8" s="12"/>
      <c r="AL8" s="12"/>
      <c r="AM8" s="12"/>
      <c r="AN8" s="12"/>
      <c r="AO8" s="12"/>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row>
    <row r="9" spans="1:105">
      <c r="A9" s="215" t="s">
        <v>816</v>
      </c>
      <c r="B9" s="215" t="s">
        <v>816</v>
      </c>
      <c r="C9" s="460">
        <f>'Savings and Cost'!Y4</f>
        <v>75248.098737084671</v>
      </c>
      <c r="D9" s="240">
        <v>12</v>
      </c>
      <c r="E9" s="461">
        <f>'Savings and Cost'!Z4</f>
        <v>47324.287442737863</v>
      </c>
      <c r="F9" s="461">
        <f>-'Savings and Cost'!AA4</f>
        <v>-2309.5855127689874</v>
      </c>
      <c r="G9" s="96" t="s">
        <v>1214</v>
      </c>
      <c r="P9" s="462"/>
      <c r="Q9" s="464" t="s">
        <v>788</v>
      </c>
    </row>
    <row r="10" spans="1:105">
      <c r="A10" s="215" t="s">
        <v>818</v>
      </c>
      <c r="B10" s="215" t="s">
        <v>818</v>
      </c>
      <c r="C10" s="460">
        <f>'Savings and Cost'!Y5</f>
        <v>39635.259988585771</v>
      </c>
      <c r="D10" s="240">
        <v>12</v>
      </c>
      <c r="E10" s="461">
        <f>'Savings and Cost'!Z5</f>
        <v>8953.6568683722271</v>
      </c>
      <c r="F10" s="461">
        <f>-'Savings and Cost'!AA5</f>
        <v>-1216.5227268307797</v>
      </c>
      <c r="G10" s="96" t="s">
        <v>1214</v>
      </c>
      <c r="P10" s="462"/>
      <c r="Q10" s="464" t="s">
        <v>788</v>
      </c>
    </row>
    <row r="14" spans="1:105">
      <c r="A14" s="198" t="s">
        <v>77</v>
      </c>
      <c r="B14" s="197"/>
    </row>
    <row r="15" spans="1:105">
      <c r="A15" t="s">
        <v>634</v>
      </c>
      <c r="B15" t="s">
        <v>635</v>
      </c>
    </row>
    <row r="16" spans="1:105">
      <c r="A16" t="s">
        <v>636</v>
      </c>
      <c r="B16" t="s">
        <v>1359</v>
      </c>
    </row>
    <row r="18" spans="1:35" ht="13.5" thickBot="1">
      <c r="A18" s="201" t="s">
        <v>637</v>
      </c>
      <c r="B18" s="199"/>
      <c r="C18" s="199"/>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200"/>
    </row>
    <row r="19" spans="1:35">
      <c r="B19" s="202" t="s">
        <v>40</v>
      </c>
      <c r="C19" s="203"/>
      <c r="D19" s="203" t="s">
        <v>40</v>
      </c>
      <c r="E19" s="204"/>
      <c r="G19" s="202" t="s">
        <v>51</v>
      </c>
      <c r="H19" s="203"/>
      <c r="I19" s="203"/>
      <c r="J19" s="203"/>
      <c r="K19" s="203"/>
      <c r="L19" s="203"/>
      <c r="M19" s="203"/>
      <c r="N19" s="203"/>
      <c r="O19" s="204"/>
      <c r="Q19" s="202" t="s">
        <v>45</v>
      </c>
      <c r="R19" s="203"/>
      <c r="S19" s="203"/>
      <c r="T19" s="203"/>
      <c r="U19" s="204"/>
      <c r="W19" s="202" t="s">
        <v>44</v>
      </c>
      <c r="X19" s="204"/>
      <c r="Z19" s="202" t="s">
        <v>55</v>
      </c>
      <c r="AA19" s="203"/>
      <c r="AB19" s="204"/>
    </row>
    <row r="20" spans="1:35">
      <c r="B20" s="205" t="s">
        <v>41</v>
      </c>
      <c r="C20" s="206" t="s">
        <v>38</v>
      </c>
      <c r="D20" s="206" t="s">
        <v>41</v>
      </c>
      <c r="E20" s="207" t="s">
        <v>38</v>
      </c>
      <c r="G20" s="205" t="s">
        <v>37</v>
      </c>
      <c r="H20" s="206" t="s">
        <v>1350</v>
      </c>
      <c r="I20" s="206"/>
      <c r="J20" s="206"/>
      <c r="K20" s="206" t="s">
        <v>64</v>
      </c>
      <c r="L20" s="206"/>
      <c r="M20" s="206"/>
      <c r="N20" s="206"/>
      <c r="O20" s="207"/>
      <c r="Q20" s="205"/>
      <c r="R20" s="206" t="s">
        <v>6</v>
      </c>
      <c r="S20" s="206" t="s">
        <v>52</v>
      </c>
      <c r="T20" s="206" t="s">
        <v>53</v>
      </c>
      <c r="U20" s="207" t="s">
        <v>54</v>
      </c>
      <c r="W20" s="205" t="s">
        <v>46</v>
      </c>
      <c r="X20" s="207">
        <v>20</v>
      </c>
      <c r="Z20" s="205"/>
      <c r="AA20" s="206" t="s">
        <v>38</v>
      </c>
      <c r="AB20" s="207" t="s">
        <v>39</v>
      </c>
    </row>
    <row r="21" spans="1:35">
      <c r="B21" s="205" t="s">
        <v>7</v>
      </c>
      <c r="C21" s="206" t="s">
        <v>190</v>
      </c>
      <c r="D21" s="206" t="s">
        <v>7</v>
      </c>
      <c r="E21" s="207" t="s">
        <v>190</v>
      </c>
      <c r="G21" s="205" t="s">
        <v>78</v>
      </c>
      <c r="H21" s="206" t="s">
        <v>1158</v>
      </c>
      <c r="I21" s="206"/>
      <c r="J21" s="206"/>
      <c r="K21" s="206" t="s">
        <v>1313</v>
      </c>
      <c r="L21" s="206"/>
      <c r="M21" s="206"/>
      <c r="N21" s="206"/>
      <c r="O21" s="207"/>
      <c r="Q21" s="205" t="s">
        <v>17</v>
      </c>
      <c r="R21" s="206">
        <v>6.8012888465852586E-2</v>
      </c>
      <c r="S21" s="206">
        <v>4.387844424080023E-2</v>
      </c>
      <c r="T21" s="206">
        <v>5.3289007766645871E-2</v>
      </c>
      <c r="U21" s="207">
        <v>5.447903102274565E-2</v>
      </c>
      <c r="W21" s="205" t="s">
        <v>47</v>
      </c>
      <c r="X21" s="207">
        <v>2016</v>
      </c>
      <c r="Z21" s="205" t="s">
        <v>187</v>
      </c>
      <c r="AA21" s="206">
        <v>4.03890184699085E-3</v>
      </c>
      <c r="AB21" s="207">
        <v>0.01</v>
      </c>
    </row>
    <row r="22" spans="1:35">
      <c r="B22" s="205" t="s">
        <v>9</v>
      </c>
      <c r="C22" s="206" t="s">
        <v>191</v>
      </c>
      <c r="D22" s="206" t="s">
        <v>9</v>
      </c>
      <c r="E22" s="207" t="s">
        <v>191</v>
      </c>
      <c r="G22" s="205" t="s">
        <v>79</v>
      </c>
      <c r="H22" s="206" t="s">
        <v>189</v>
      </c>
      <c r="I22" s="206"/>
      <c r="J22" s="206"/>
      <c r="K22" s="206" t="s">
        <v>65</v>
      </c>
      <c r="L22" s="206"/>
      <c r="M22" s="206"/>
      <c r="N22" s="206"/>
      <c r="O22" s="207"/>
      <c r="Q22" s="205" t="s">
        <v>0</v>
      </c>
      <c r="R22" s="206">
        <v>12</v>
      </c>
      <c r="S22" s="206">
        <v>12</v>
      </c>
      <c r="T22" s="206">
        <v>1</v>
      </c>
      <c r="U22" s="207">
        <v>1</v>
      </c>
      <c r="W22" s="205" t="s">
        <v>48</v>
      </c>
      <c r="X22" s="207">
        <v>2016</v>
      </c>
      <c r="Z22" s="205" t="s">
        <v>10</v>
      </c>
      <c r="AA22" s="206">
        <v>26</v>
      </c>
      <c r="AB22" s="207">
        <v>0</v>
      </c>
    </row>
    <row r="23" spans="1:35" ht="13.5" thickBot="1">
      <c r="B23" s="208" t="s">
        <v>3</v>
      </c>
      <c r="C23" s="209" t="s">
        <v>191</v>
      </c>
      <c r="D23" s="209" t="s">
        <v>3</v>
      </c>
      <c r="E23" s="210" t="s">
        <v>191</v>
      </c>
      <c r="G23" s="205" t="s">
        <v>80</v>
      </c>
      <c r="H23" s="206" t="s">
        <v>1206</v>
      </c>
      <c r="I23" s="206"/>
      <c r="J23" s="206"/>
      <c r="K23" s="206" t="s">
        <v>1313</v>
      </c>
      <c r="L23" s="206"/>
      <c r="M23" s="206"/>
      <c r="N23" s="206"/>
      <c r="O23" s="207"/>
      <c r="Q23" s="205"/>
      <c r="R23" s="206" t="s">
        <v>6</v>
      </c>
      <c r="S23" s="206" t="s">
        <v>52</v>
      </c>
      <c r="T23" s="206" t="s">
        <v>53</v>
      </c>
      <c r="U23" s="207" t="s">
        <v>54</v>
      </c>
      <c r="W23" s="205" t="s">
        <v>1</v>
      </c>
      <c r="X23" s="207">
        <v>2012</v>
      </c>
      <c r="Z23" s="205" t="s">
        <v>185</v>
      </c>
      <c r="AA23" s="206">
        <v>0.9</v>
      </c>
      <c r="AB23" s="207" t="s">
        <v>178</v>
      </c>
    </row>
    <row r="24" spans="1:35">
      <c r="G24" s="205" t="s">
        <v>81</v>
      </c>
      <c r="H24" s="206" t="s">
        <v>189</v>
      </c>
      <c r="I24" s="206"/>
      <c r="J24" s="206"/>
      <c r="K24" s="206"/>
      <c r="L24" s="206"/>
      <c r="M24" s="206"/>
      <c r="N24" s="206"/>
      <c r="O24" s="207"/>
      <c r="Q24" s="205" t="s">
        <v>16</v>
      </c>
      <c r="R24" s="206">
        <v>0.35</v>
      </c>
      <c r="S24" s="206">
        <v>0.19500000000000001</v>
      </c>
      <c r="T24" s="206">
        <v>0.45499999999999996</v>
      </c>
      <c r="U24" s="207">
        <v>0</v>
      </c>
      <c r="W24" s="205" t="s">
        <v>49</v>
      </c>
      <c r="X24" s="207">
        <v>0.04</v>
      </c>
      <c r="Z24" s="205" t="s">
        <v>188</v>
      </c>
      <c r="AA24" s="206">
        <v>4.7399348199455904E-2</v>
      </c>
      <c r="AB24" s="207">
        <v>0</v>
      </c>
    </row>
    <row r="25" spans="1:35">
      <c r="B25" t="s">
        <v>638</v>
      </c>
      <c r="C25" t="s">
        <v>38</v>
      </c>
      <c r="G25" s="205" t="s">
        <v>82</v>
      </c>
      <c r="H25" s="206" t="s">
        <v>1207</v>
      </c>
      <c r="I25" s="206"/>
      <c r="J25" s="206"/>
      <c r="K25" s="206" t="s">
        <v>12</v>
      </c>
      <c r="L25" s="206"/>
      <c r="M25" s="206"/>
      <c r="N25" s="206"/>
      <c r="O25" s="207"/>
      <c r="Q25" s="205" t="s">
        <v>15</v>
      </c>
      <c r="R25" s="206">
        <v>1</v>
      </c>
      <c r="S25" s="206">
        <v>0</v>
      </c>
      <c r="T25" s="206">
        <v>0</v>
      </c>
      <c r="U25" s="207">
        <v>0</v>
      </c>
      <c r="W25" s="205" t="s">
        <v>36</v>
      </c>
      <c r="X25" s="207">
        <v>0</v>
      </c>
      <c r="Z25" s="205" t="s">
        <v>11</v>
      </c>
      <c r="AA25" s="206">
        <v>31</v>
      </c>
      <c r="AB25" s="207">
        <v>0</v>
      </c>
    </row>
    <row r="26" spans="1:35">
      <c r="B26" t="s">
        <v>639</v>
      </c>
      <c r="C26" t="s">
        <v>640</v>
      </c>
      <c r="G26" s="205" t="s">
        <v>83</v>
      </c>
      <c r="H26" s="206" t="s">
        <v>12</v>
      </c>
      <c r="I26" s="206"/>
      <c r="J26" s="206"/>
      <c r="K26" s="206" t="s">
        <v>56</v>
      </c>
      <c r="L26" s="206"/>
      <c r="M26" s="206"/>
      <c r="N26" s="206"/>
      <c r="O26" s="207"/>
      <c r="Q26" s="205" t="s">
        <v>14</v>
      </c>
      <c r="R26" s="206">
        <v>1</v>
      </c>
      <c r="S26" s="206">
        <v>0</v>
      </c>
      <c r="T26" s="206">
        <v>0</v>
      </c>
      <c r="U26" s="207">
        <v>0</v>
      </c>
      <c r="W26" s="205" t="s">
        <v>192</v>
      </c>
      <c r="X26" s="207">
        <v>0.2</v>
      </c>
      <c r="Z26" s="205" t="s">
        <v>186</v>
      </c>
      <c r="AA26" s="206">
        <v>0.7</v>
      </c>
      <c r="AB26" s="207" t="s">
        <v>178</v>
      </c>
    </row>
    <row r="27" spans="1:35">
      <c r="B27" t="s">
        <v>641</v>
      </c>
      <c r="C27" t="s">
        <v>642</v>
      </c>
      <c r="G27" s="205" t="s">
        <v>84</v>
      </c>
      <c r="H27" s="206" t="s">
        <v>56</v>
      </c>
      <c r="I27" s="206"/>
      <c r="J27" s="206"/>
      <c r="K27" s="206" t="s">
        <v>57</v>
      </c>
      <c r="L27" s="206"/>
      <c r="M27" s="206"/>
      <c r="N27" s="206"/>
      <c r="O27" s="207"/>
      <c r="Q27" s="205" t="s">
        <v>13</v>
      </c>
      <c r="R27" s="206"/>
      <c r="S27" s="206">
        <v>0.3</v>
      </c>
      <c r="T27" s="206">
        <v>0.7</v>
      </c>
      <c r="U27" s="207">
        <v>0</v>
      </c>
      <c r="W27" s="205" t="s">
        <v>50</v>
      </c>
      <c r="X27" s="207">
        <v>0</v>
      </c>
      <c r="Z27" s="205" t="s">
        <v>194</v>
      </c>
      <c r="AA27" s="206">
        <v>0</v>
      </c>
      <c r="AB27" s="207">
        <v>0</v>
      </c>
    </row>
    <row r="28" spans="1:35" ht="13.5" thickBot="1">
      <c r="B28" t="s">
        <v>643</v>
      </c>
      <c r="C28" t="s">
        <v>644</v>
      </c>
      <c r="G28" s="208" t="s">
        <v>85</v>
      </c>
      <c r="H28" s="209" t="s">
        <v>57</v>
      </c>
      <c r="I28" s="209"/>
      <c r="J28" s="209"/>
      <c r="K28" s="209"/>
      <c r="L28" s="209"/>
      <c r="M28" s="209"/>
      <c r="N28" s="209"/>
      <c r="O28" s="210"/>
      <c r="Q28" s="208" t="s">
        <v>71</v>
      </c>
      <c r="R28" s="209"/>
      <c r="S28" s="209">
        <v>20</v>
      </c>
      <c r="T28" s="209"/>
      <c r="U28" s="210"/>
      <c r="W28" s="208" t="s">
        <v>19</v>
      </c>
      <c r="X28" s="210">
        <v>2018</v>
      </c>
      <c r="Z28" s="208" t="s">
        <v>193</v>
      </c>
      <c r="AA28" s="209">
        <v>0</v>
      </c>
      <c r="AB28" s="210">
        <v>0</v>
      </c>
    </row>
    <row r="36" spans="1:101" ht="13.5" thickBot="1">
      <c r="A36" s="201" t="s">
        <v>86</v>
      </c>
      <c r="B36" s="200"/>
      <c r="C36" s="215"/>
      <c r="D36" s="215"/>
      <c r="E36" s="215"/>
      <c r="F36" s="215"/>
      <c r="G36" s="215"/>
      <c r="H36" s="215"/>
      <c r="I36" s="215"/>
      <c r="J36" s="215"/>
      <c r="K36" s="215"/>
      <c r="L36" s="215"/>
      <c r="M36" s="215"/>
      <c r="N36" s="215"/>
      <c r="O36" s="215"/>
      <c r="P36" s="215"/>
      <c r="Q36" s="215"/>
      <c r="R36" s="215"/>
      <c r="S36" s="215"/>
      <c r="T36" s="215"/>
      <c r="U36" s="215"/>
      <c r="V36" s="215"/>
      <c r="W36" s="215"/>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5"/>
      <c r="AU36" s="215"/>
      <c r="AV36" s="215"/>
      <c r="AW36" s="215"/>
      <c r="AX36" s="215"/>
      <c r="AY36" s="215"/>
      <c r="AZ36" s="215"/>
      <c r="BA36" s="215"/>
      <c r="BB36" s="215"/>
      <c r="BC36" s="215"/>
      <c r="BD36" s="215"/>
      <c r="BE36" s="215"/>
      <c r="BF36" s="215"/>
      <c r="BG36" s="215"/>
      <c r="BH36" s="215"/>
      <c r="BI36" s="215"/>
      <c r="BJ36" s="215"/>
      <c r="BK36" s="215"/>
      <c r="BL36" s="215"/>
      <c r="BM36" s="215"/>
      <c r="BN36" s="215"/>
      <c r="BO36" s="215"/>
      <c r="BP36" s="215"/>
      <c r="BQ36" s="215"/>
      <c r="BR36" s="215"/>
      <c r="BS36" s="215"/>
      <c r="BT36" s="215"/>
      <c r="BU36" s="215"/>
      <c r="BV36" s="215"/>
      <c r="BW36" s="215"/>
      <c r="BX36" s="215"/>
      <c r="BY36" s="215"/>
      <c r="BZ36" s="215"/>
      <c r="CA36" s="215"/>
      <c r="CB36" s="215"/>
      <c r="CC36" s="215"/>
      <c r="CD36" s="215"/>
      <c r="CE36" s="215"/>
      <c r="CF36" s="215"/>
      <c r="CG36" s="215"/>
      <c r="CH36" s="215"/>
      <c r="CI36" s="215"/>
      <c r="CJ36" s="215"/>
      <c r="CK36" s="215"/>
      <c r="CL36" s="215"/>
      <c r="CM36" s="215"/>
      <c r="CN36" s="215"/>
      <c r="CO36" s="215"/>
      <c r="CP36" s="215"/>
      <c r="CQ36" s="215"/>
      <c r="CR36" s="215"/>
      <c r="CS36" s="215"/>
      <c r="CT36" s="215"/>
      <c r="CU36" s="215"/>
      <c r="CV36" s="215"/>
      <c r="CW36" s="215"/>
    </row>
    <row r="37" spans="1:101" ht="26.25" thickBot="1">
      <c r="A37" s="211" t="s">
        <v>645</v>
      </c>
      <c r="B37" s="212"/>
      <c r="C37" s="216" t="s">
        <v>646</v>
      </c>
      <c r="D37" s="217"/>
      <c r="E37" s="217"/>
      <c r="F37" s="217"/>
      <c r="G37" s="217"/>
      <c r="H37" s="217"/>
      <c r="I37" s="217"/>
      <c r="J37" s="217"/>
      <c r="K37" s="218"/>
      <c r="L37" s="216" t="s">
        <v>87</v>
      </c>
      <c r="M37" s="217"/>
      <c r="N37" s="217"/>
      <c r="O37" s="217"/>
      <c r="P37" s="217"/>
      <c r="Q37" s="218"/>
      <c r="R37" s="216" t="s">
        <v>647</v>
      </c>
      <c r="S37" s="217"/>
      <c r="T37" s="217"/>
      <c r="U37" s="218"/>
      <c r="V37" s="216" t="s">
        <v>648</v>
      </c>
      <c r="W37" s="217"/>
      <c r="X37" s="217"/>
      <c r="Y37" s="218"/>
      <c r="Z37" s="216" t="s">
        <v>649</v>
      </c>
      <c r="AA37" s="217"/>
      <c r="AB37" s="217"/>
      <c r="AC37" s="218"/>
      <c r="AD37" s="216" t="s">
        <v>650</v>
      </c>
      <c r="AE37" s="217"/>
      <c r="AF37" s="217"/>
      <c r="AG37" s="218"/>
      <c r="AH37" s="216" t="s">
        <v>651</v>
      </c>
      <c r="AI37" s="217"/>
      <c r="AJ37" s="217"/>
      <c r="AK37" s="217"/>
      <c r="AL37" s="218"/>
      <c r="AM37" s="216" t="s">
        <v>652</v>
      </c>
      <c r="AN37" s="217"/>
      <c r="AO37" s="217"/>
      <c r="AP37" s="217"/>
      <c r="AQ37" s="217"/>
      <c r="AR37" s="217"/>
      <c r="AS37" s="218"/>
      <c r="AT37" s="216" t="s">
        <v>653</v>
      </c>
      <c r="AU37" s="217"/>
      <c r="AV37" s="217"/>
      <c r="AW37" s="217"/>
      <c r="AX37" s="217"/>
      <c r="AY37" s="217"/>
      <c r="AZ37" s="218"/>
      <c r="BA37" s="216" t="s">
        <v>654</v>
      </c>
      <c r="BB37" s="217"/>
      <c r="BC37" s="217"/>
      <c r="BD37" s="217"/>
      <c r="BE37" s="217"/>
      <c r="BF37" s="218"/>
      <c r="BG37" s="216" t="s">
        <v>655</v>
      </c>
      <c r="BH37" s="218"/>
      <c r="BI37" s="216" t="s">
        <v>656</v>
      </c>
      <c r="BJ37" s="217"/>
      <c r="BK37" s="217"/>
      <c r="BL37" s="217"/>
      <c r="BM37" s="218"/>
      <c r="BN37" s="216" t="s">
        <v>657</v>
      </c>
      <c r="BO37" s="217"/>
      <c r="BP37" s="217"/>
      <c r="BQ37" s="217"/>
      <c r="BR37" s="217"/>
      <c r="BS37" s="217"/>
      <c r="BT37" s="217"/>
      <c r="BU37" s="217"/>
      <c r="BV37" s="217"/>
      <c r="BW37" s="217"/>
      <c r="BX37" s="217"/>
      <c r="BY37" s="217"/>
      <c r="BZ37" s="217"/>
      <c r="CA37" s="217"/>
      <c r="CB37" s="217"/>
      <c r="CC37" s="218"/>
      <c r="CD37" s="216" t="s">
        <v>658</v>
      </c>
      <c r="CE37" s="218"/>
      <c r="CF37" s="216" t="s">
        <v>659</v>
      </c>
      <c r="CG37" s="217"/>
      <c r="CH37" s="217"/>
      <c r="CI37" s="217"/>
      <c r="CJ37" s="217"/>
      <c r="CK37" s="218"/>
      <c r="CL37" s="219"/>
      <c r="CM37" s="216" t="s">
        <v>42</v>
      </c>
      <c r="CN37" s="217"/>
      <c r="CO37" s="217"/>
      <c r="CP37" s="218"/>
      <c r="CQ37" s="216" t="s">
        <v>660</v>
      </c>
      <c r="CR37" s="217"/>
      <c r="CS37" s="217"/>
      <c r="CT37" s="217"/>
      <c r="CU37" s="218"/>
      <c r="CV37" s="216" t="s">
        <v>661</v>
      </c>
      <c r="CW37" s="218"/>
    </row>
    <row r="38" spans="1:101" ht="127.5">
      <c r="A38" s="214" t="s">
        <v>88</v>
      </c>
      <c r="B38" s="213" t="s">
        <v>195</v>
      </c>
      <c r="C38" s="220" t="s">
        <v>662</v>
      </c>
      <c r="D38" s="220" t="s">
        <v>663</v>
      </c>
      <c r="E38" s="220" t="s">
        <v>664</v>
      </c>
      <c r="F38" s="220" t="s">
        <v>665</v>
      </c>
      <c r="G38" s="220" t="s">
        <v>666</v>
      </c>
      <c r="H38" s="220" t="s">
        <v>667</v>
      </c>
      <c r="I38" s="220" t="s">
        <v>668</v>
      </c>
      <c r="J38" s="220" t="s">
        <v>669</v>
      </c>
      <c r="K38" s="220" t="s">
        <v>670</v>
      </c>
      <c r="L38" s="220" t="s">
        <v>671</v>
      </c>
      <c r="M38" s="220" t="s">
        <v>672</v>
      </c>
      <c r="N38" s="220" t="s">
        <v>673</v>
      </c>
      <c r="O38" s="220" t="s">
        <v>674</v>
      </c>
      <c r="P38" s="220" t="s">
        <v>675</v>
      </c>
      <c r="Q38" s="220" t="s">
        <v>676</v>
      </c>
      <c r="R38" s="220" t="s">
        <v>67</v>
      </c>
      <c r="S38" s="220" t="s">
        <v>68</v>
      </c>
      <c r="T38" s="220" t="s">
        <v>69</v>
      </c>
      <c r="U38" s="220" t="s">
        <v>6</v>
      </c>
      <c r="V38" s="220" t="s">
        <v>67</v>
      </c>
      <c r="W38" s="220" t="s">
        <v>68</v>
      </c>
      <c r="X38" s="220" t="s">
        <v>69</v>
      </c>
      <c r="Y38" s="220" t="s">
        <v>6</v>
      </c>
      <c r="Z38" s="220" t="s">
        <v>67</v>
      </c>
      <c r="AA38" s="220" t="s">
        <v>68</v>
      </c>
      <c r="AB38" s="220" t="s">
        <v>69</v>
      </c>
      <c r="AC38" s="220" t="s">
        <v>6</v>
      </c>
      <c r="AD38" s="220" t="s">
        <v>67</v>
      </c>
      <c r="AE38" s="220" t="s">
        <v>68</v>
      </c>
      <c r="AF38" s="220" t="s">
        <v>69</v>
      </c>
      <c r="AG38" s="220" t="s">
        <v>6</v>
      </c>
      <c r="AH38" s="220" t="s">
        <v>67</v>
      </c>
      <c r="AI38" s="220" t="s">
        <v>68</v>
      </c>
      <c r="AJ38" s="220" t="s">
        <v>69</v>
      </c>
      <c r="AK38" s="220" t="s">
        <v>6</v>
      </c>
      <c r="AL38" s="220" t="s">
        <v>677</v>
      </c>
      <c r="AM38" s="220" t="s">
        <v>678</v>
      </c>
      <c r="AN38" s="220" t="s">
        <v>679</v>
      </c>
      <c r="AO38" s="220" t="s">
        <v>680</v>
      </c>
      <c r="AP38" s="220" t="s">
        <v>681</v>
      </c>
      <c r="AQ38" s="220" t="s">
        <v>682</v>
      </c>
      <c r="AR38" s="220" t="s">
        <v>683</v>
      </c>
      <c r="AS38" s="220" t="s">
        <v>684</v>
      </c>
      <c r="AT38" s="220" t="s">
        <v>685</v>
      </c>
      <c r="AU38" s="220" t="s">
        <v>686</v>
      </c>
      <c r="AV38" s="220" t="s">
        <v>687</v>
      </c>
      <c r="AW38" s="220" t="s">
        <v>688</v>
      </c>
      <c r="AX38" s="220" t="s">
        <v>689</v>
      </c>
      <c r="AY38" s="220" t="s">
        <v>690</v>
      </c>
      <c r="AZ38" s="220" t="s">
        <v>691</v>
      </c>
      <c r="BA38" s="220" t="s">
        <v>692</v>
      </c>
      <c r="BB38" s="220" t="s">
        <v>693</v>
      </c>
      <c r="BC38" s="220" t="s">
        <v>694</v>
      </c>
      <c r="BD38" s="220" t="s">
        <v>695</v>
      </c>
      <c r="BE38" s="220" t="s">
        <v>696</v>
      </c>
      <c r="BF38" s="220" t="s">
        <v>697</v>
      </c>
      <c r="BG38" s="220" t="s">
        <v>698</v>
      </c>
      <c r="BH38" s="220" t="s">
        <v>699</v>
      </c>
      <c r="BI38" s="220" t="s">
        <v>700</v>
      </c>
      <c r="BJ38" s="220" t="s">
        <v>701</v>
      </c>
      <c r="BK38" s="220" t="s">
        <v>702</v>
      </c>
      <c r="BL38" s="220" t="s">
        <v>703</v>
      </c>
      <c r="BM38" s="220" t="s">
        <v>704</v>
      </c>
      <c r="BN38" s="220" t="s">
        <v>705</v>
      </c>
      <c r="BO38" s="220" t="s">
        <v>706</v>
      </c>
      <c r="BP38" s="220" t="s">
        <v>707</v>
      </c>
      <c r="BQ38" s="220" t="s">
        <v>708</v>
      </c>
      <c r="BR38" s="220" t="s">
        <v>709</v>
      </c>
      <c r="BS38" s="220" t="s">
        <v>710</v>
      </c>
      <c r="BT38" s="220" t="s">
        <v>711</v>
      </c>
      <c r="BU38" s="220" t="s">
        <v>712</v>
      </c>
      <c r="BV38" s="220" t="s">
        <v>713</v>
      </c>
      <c r="BW38" s="220" t="s">
        <v>714</v>
      </c>
      <c r="BX38" s="220" t="s">
        <v>715</v>
      </c>
      <c r="BY38" s="220" t="s">
        <v>716</v>
      </c>
      <c r="BZ38" s="220" t="s">
        <v>717</v>
      </c>
      <c r="CA38" s="220" t="s">
        <v>718</v>
      </c>
      <c r="CB38" s="220" t="s">
        <v>719</v>
      </c>
      <c r="CC38" s="220" t="s">
        <v>720</v>
      </c>
      <c r="CD38" s="220" t="s">
        <v>721</v>
      </c>
      <c r="CE38" s="220" t="s">
        <v>722</v>
      </c>
      <c r="CF38" s="220" t="s">
        <v>723</v>
      </c>
      <c r="CG38" s="220" t="s">
        <v>724</v>
      </c>
      <c r="CH38" s="220" t="s">
        <v>725</v>
      </c>
      <c r="CI38" s="220" t="s">
        <v>1314</v>
      </c>
      <c r="CJ38" s="220" t="s">
        <v>1315</v>
      </c>
      <c r="CK38" s="220" t="s">
        <v>1316</v>
      </c>
      <c r="CL38" s="220"/>
      <c r="CM38" s="220" t="s">
        <v>726</v>
      </c>
      <c r="CN38" s="220" t="s">
        <v>727</v>
      </c>
      <c r="CO38" s="220" t="s">
        <v>728</v>
      </c>
      <c r="CP38" s="220" t="s">
        <v>729</v>
      </c>
      <c r="CQ38" s="220" t="s">
        <v>730</v>
      </c>
      <c r="CR38" s="220" t="s">
        <v>731</v>
      </c>
      <c r="CS38" s="220" t="s">
        <v>732</v>
      </c>
      <c r="CT38" s="220" t="s">
        <v>733</v>
      </c>
      <c r="CU38" s="220" t="s">
        <v>734</v>
      </c>
      <c r="CV38" s="220" t="s">
        <v>735</v>
      </c>
      <c r="CW38" s="221" t="s">
        <v>736</v>
      </c>
    </row>
    <row r="39" spans="1:101">
      <c r="A39" t="s">
        <v>814</v>
      </c>
      <c r="B39" t="s">
        <v>814</v>
      </c>
      <c r="C39" s="215">
        <v>12</v>
      </c>
      <c r="D39" s="215">
        <v>93173.917685940076</v>
      </c>
      <c r="E39" s="215">
        <v>0</v>
      </c>
      <c r="F39" s="215">
        <v>50893.141158028397</v>
      </c>
      <c r="G39" s="215">
        <v>-2859.7816299287219</v>
      </c>
      <c r="H39" s="215">
        <v>0</v>
      </c>
      <c r="I39" s="215" t="s">
        <v>1214</v>
      </c>
      <c r="J39" s="215"/>
      <c r="K39" s="215"/>
      <c r="L39" s="215">
        <v>100057.53810026644</v>
      </c>
      <c r="M39" s="215">
        <v>15.721840521401663</v>
      </c>
      <c r="N39" s="215">
        <v>15.608367326876602</v>
      </c>
      <c r="O39" s="215">
        <v>0</v>
      </c>
      <c r="P39" s="215">
        <v>0</v>
      </c>
      <c r="Q39" s="215">
        <v>0</v>
      </c>
      <c r="R39" s="215">
        <v>10148.772203047574</v>
      </c>
      <c r="S39" s="215">
        <v>23452.268941704566</v>
      </c>
      <c r="T39" s="215">
        <v>0</v>
      </c>
      <c r="U39" s="215">
        <v>47485.728346246346</v>
      </c>
      <c r="V39" s="215" t="s">
        <v>737</v>
      </c>
      <c r="W39" s="215" t="s">
        <v>737</v>
      </c>
      <c r="X39" s="215" t="s">
        <v>737</v>
      </c>
      <c r="Y39" s="215" t="s">
        <v>737</v>
      </c>
      <c r="Z39" s="215">
        <v>0</v>
      </c>
      <c r="AA39" s="215">
        <v>0</v>
      </c>
      <c r="AB39" s="215">
        <v>0</v>
      </c>
      <c r="AC39" s="215">
        <v>-38865.365626074934</v>
      </c>
      <c r="AD39" s="215">
        <v>0</v>
      </c>
      <c r="AE39" s="215">
        <v>0</v>
      </c>
      <c r="AF39" s="215">
        <v>0</v>
      </c>
      <c r="AG39" s="215">
        <v>0</v>
      </c>
      <c r="AH39" s="215">
        <v>10148.772203047574</v>
      </c>
      <c r="AI39" s="215">
        <v>23452.268941704566</v>
      </c>
      <c r="AJ39" s="215">
        <v>0</v>
      </c>
      <c r="AK39" s="215">
        <v>8620.3627201714116</v>
      </c>
      <c r="AL39" s="215">
        <v>42221.403864923552</v>
      </c>
      <c r="AM39" s="215">
        <v>51750.015640482045</v>
      </c>
      <c r="AN39" s="215">
        <v>5555.2885291640223</v>
      </c>
      <c r="AO39" s="215">
        <v>0</v>
      </c>
      <c r="AP39" s="215">
        <v>0</v>
      </c>
      <c r="AQ39" s="215">
        <v>57305.304169646064</v>
      </c>
      <c r="AR39" s="215">
        <v>10148.772203047574</v>
      </c>
      <c r="AS39" s="222">
        <v>5.6465258085542462</v>
      </c>
      <c r="AT39" s="215">
        <v>51750.015640482045</v>
      </c>
      <c r="AU39" s="215">
        <v>6575.8069762159002</v>
      </c>
      <c r="AV39" s="215">
        <v>0</v>
      </c>
      <c r="AW39" s="215">
        <v>0</v>
      </c>
      <c r="AX39" s="215">
        <v>58325.822616697944</v>
      </c>
      <c r="AY39" s="215">
        <v>23452.268941704566</v>
      </c>
      <c r="AZ39" s="222">
        <v>2.4870012689040348</v>
      </c>
      <c r="BA39" s="215">
        <v>51750.015640482045</v>
      </c>
      <c r="BB39" s="215">
        <v>12131.095505379923</v>
      </c>
      <c r="BC39" s="215">
        <v>0</v>
      </c>
      <c r="BD39" s="215">
        <v>0</v>
      </c>
      <c r="BE39" s="215">
        <v>63881.111145861963</v>
      </c>
      <c r="BF39" s="215">
        <v>33601.04114475214</v>
      </c>
      <c r="BG39" s="215">
        <v>15.78887717607469</v>
      </c>
      <c r="BH39" s="222">
        <v>1.9011646356630532</v>
      </c>
      <c r="BI39" s="215">
        <v>7.4633499540879322</v>
      </c>
      <c r="BJ39" s="215">
        <v>17.246666574777208</v>
      </c>
      <c r="BK39" s="215">
        <v>0</v>
      </c>
      <c r="BL39" s="215">
        <v>6.3393662232849159</v>
      </c>
      <c r="BM39" s="215">
        <v>31.049382752150056</v>
      </c>
      <c r="BN39" s="215">
        <v>51750.015640482045</v>
      </c>
      <c r="BO39" s="215">
        <v>0</v>
      </c>
      <c r="BP39" s="215">
        <v>12131.095505379923</v>
      </c>
      <c r="BQ39" s="215">
        <v>0</v>
      </c>
      <c r="BR39" s="215">
        <v>0</v>
      </c>
      <c r="BS39" s="215">
        <v>0</v>
      </c>
      <c r="BT39" s="215">
        <v>0</v>
      </c>
      <c r="BU39" s="215">
        <v>0</v>
      </c>
      <c r="BV39" s="215">
        <v>0</v>
      </c>
      <c r="BW39" s="215">
        <v>0</v>
      </c>
      <c r="BX39" s="215">
        <v>81086.769490998486</v>
      </c>
      <c r="BY39" s="215"/>
      <c r="BZ39" s="215">
        <v>-38865.365626074934</v>
      </c>
      <c r="CA39" s="215">
        <v>0</v>
      </c>
      <c r="CB39" s="215">
        <v>63881.111145861963</v>
      </c>
      <c r="CC39" s="215">
        <v>42221.403864923552</v>
      </c>
      <c r="CD39" s="222">
        <v>1.2671176496104322</v>
      </c>
      <c r="CE39" s="215">
        <v>22.128243399359604</v>
      </c>
      <c r="CF39" s="215">
        <v>950.55642665903974</v>
      </c>
      <c r="CG39" s="215">
        <v>0</v>
      </c>
      <c r="CH39" s="215">
        <v>950.55642665903974</v>
      </c>
      <c r="CI39" s="215">
        <v>47.527330597626545</v>
      </c>
      <c r="CJ39" s="215">
        <v>0</v>
      </c>
      <c r="CK39" s="215">
        <v>47.527330597626545</v>
      </c>
      <c r="CL39" s="215"/>
      <c r="CM39" s="215">
        <v>0</v>
      </c>
      <c r="CN39" s="215"/>
      <c r="CO39" s="215">
        <v>0</v>
      </c>
      <c r="CP39" s="215">
        <v>0</v>
      </c>
      <c r="CQ39" s="215">
        <v>0</v>
      </c>
      <c r="CR39" s="215">
        <v>0</v>
      </c>
      <c r="CS39" s="215">
        <v>0</v>
      </c>
      <c r="CT39" s="215">
        <v>0</v>
      </c>
      <c r="CU39" s="215">
        <v>0</v>
      </c>
      <c r="CV39" s="215">
        <v>9999</v>
      </c>
      <c r="CW39" s="222">
        <v>9999</v>
      </c>
    </row>
    <row r="40" spans="1:101">
      <c r="A40" t="s">
        <v>816</v>
      </c>
      <c r="B40" t="s">
        <v>816</v>
      </c>
      <c r="C40" s="215">
        <v>12</v>
      </c>
      <c r="D40" s="215">
        <v>75248.098737084671</v>
      </c>
      <c r="E40" s="215">
        <v>0</v>
      </c>
      <c r="F40" s="215">
        <v>47324.287442737863</v>
      </c>
      <c r="G40" s="215">
        <v>-2309.5855127689874</v>
      </c>
      <c r="H40" s="215">
        <v>0</v>
      </c>
      <c r="I40" s="215" t="s">
        <v>1214</v>
      </c>
      <c r="J40" s="215"/>
      <c r="K40" s="215"/>
      <c r="L40" s="215">
        <v>80807.37285016627</v>
      </c>
      <c r="M40" s="215">
        <v>12.697100618552732</v>
      </c>
      <c r="N40" s="215">
        <v>12.605458640221251</v>
      </c>
      <c r="O40" s="215">
        <v>0</v>
      </c>
      <c r="P40" s="215">
        <v>0</v>
      </c>
      <c r="Q40" s="215">
        <v>0</v>
      </c>
      <c r="R40" s="215">
        <v>9437.0950976785334</v>
      </c>
      <c r="S40" s="215">
        <v>21807.691396673396</v>
      </c>
      <c r="T40" s="215">
        <v>0</v>
      </c>
      <c r="U40" s="215">
        <v>44155.817592544627</v>
      </c>
      <c r="V40" s="215" t="s">
        <v>737</v>
      </c>
      <c r="W40" s="215" t="s">
        <v>737</v>
      </c>
      <c r="X40" s="215" t="s">
        <v>737</v>
      </c>
      <c r="Y40" s="215" t="s">
        <v>737</v>
      </c>
      <c r="Z40" s="215">
        <v>0</v>
      </c>
      <c r="AA40" s="215">
        <v>0</v>
      </c>
      <c r="AB40" s="215">
        <v>0</v>
      </c>
      <c r="AC40" s="215">
        <v>-31388.020840140071</v>
      </c>
      <c r="AD40" s="215">
        <v>0</v>
      </c>
      <c r="AE40" s="215">
        <v>0</v>
      </c>
      <c r="AF40" s="215">
        <v>0</v>
      </c>
      <c r="AG40" s="215">
        <v>0</v>
      </c>
      <c r="AH40" s="215">
        <v>9437.0950976785334</v>
      </c>
      <c r="AI40" s="215">
        <v>21807.691396673396</v>
      </c>
      <c r="AJ40" s="215">
        <v>0</v>
      </c>
      <c r="AK40" s="215">
        <v>12767.796752404556</v>
      </c>
      <c r="AL40" s="215">
        <v>44012.583246756491</v>
      </c>
      <c r="AM40" s="215">
        <v>41793.780741155715</v>
      </c>
      <c r="AN40" s="215">
        <v>4486.5012670665901</v>
      </c>
      <c r="AO40" s="215">
        <v>0</v>
      </c>
      <c r="AP40" s="215">
        <v>0</v>
      </c>
      <c r="AQ40" s="215">
        <v>46280.282008222304</v>
      </c>
      <c r="AR40" s="215">
        <v>9437.0950976785334</v>
      </c>
      <c r="AS40" s="222">
        <v>4.9040813438032389</v>
      </c>
      <c r="AT40" s="215">
        <v>41793.780741155715</v>
      </c>
      <c r="AU40" s="215">
        <v>5310.6811961065805</v>
      </c>
      <c r="AV40" s="215">
        <v>0</v>
      </c>
      <c r="AW40" s="215">
        <v>0</v>
      </c>
      <c r="AX40" s="215">
        <v>47104.461937262298</v>
      </c>
      <c r="AY40" s="215">
        <v>21807.691396673396</v>
      </c>
      <c r="AZ40" s="222">
        <v>2.1599930538474026</v>
      </c>
      <c r="BA40" s="215">
        <v>41793.780741155715</v>
      </c>
      <c r="BB40" s="215">
        <v>9797.1824631731706</v>
      </c>
      <c r="BC40" s="215">
        <v>0</v>
      </c>
      <c r="BD40" s="215">
        <v>0</v>
      </c>
      <c r="BE40" s="215">
        <v>51590.963204328888</v>
      </c>
      <c r="BF40" s="215">
        <v>31244.786494351931</v>
      </c>
      <c r="BG40" s="215">
        <v>19.529805131713815</v>
      </c>
      <c r="BH40" s="222">
        <v>1.6511862935486821</v>
      </c>
      <c r="BI40" s="215">
        <v>8.5932502296847062</v>
      </c>
      <c r="BJ40" s="215">
        <v>19.857694254819563</v>
      </c>
      <c r="BK40" s="215">
        <v>0</v>
      </c>
      <c r="BL40" s="215">
        <v>11.626127663178659</v>
      </c>
      <c r="BM40" s="215">
        <v>40.077072147682934</v>
      </c>
      <c r="BN40" s="215">
        <v>41793.780741155715</v>
      </c>
      <c r="BO40" s="215">
        <v>0</v>
      </c>
      <c r="BP40" s="215">
        <v>9797.1824631731706</v>
      </c>
      <c r="BQ40" s="215">
        <v>0</v>
      </c>
      <c r="BR40" s="215">
        <v>0</v>
      </c>
      <c r="BS40" s="215">
        <v>0</v>
      </c>
      <c r="BT40" s="215">
        <v>0</v>
      </c>
      <c r="BU40" s="215">
        <v>0</v>
      </c>
      <c r="BV40" s="215">
        <v>0</v>
      </c>
      <c r="BW40" s="215">
        <v>0</v>
      </c>
      <c r="BX40" s="215">
        <v>75400.60408689655</v>
      </c>
      <c r="BY40" s="215"/>
      <c r="BZ40" s="215">
        <v>-31388.020840140071</v>
      </c>
      <c r="CA40" s="215">
        <v>0</v>
      </c>
      <c r="CB40" s="215">
        <v>51590.963204328888</v>
      </c>
      <c r="CC40" s="215">
        <v>44012.583246756476</v>
      </c>
      <c r="CD40" s="222">
        <v>1.1005082127570038</v>
      </c>
      <c r="CE40" s="215">
        <v>31.155932794892465</v>
      </c>
      <c r="CF40" s="215">
        <v>767.6779685223346</v>
      </c>
      <c r="CG40" s="215">
        <v>0</v>
      </c>
      <c r="CH40" s="215">
        <v>767.6779685223346</v>
      </c>
      <c r="CI40" s="215">
        <v>38.383502103828974</v>
      </c>
      <c r="CJ40" s="215">
        <v>0</v>
      </c>
      <c r="CK40" s="215">
        <v>38.383502103828974</v>
      </c>
      <c r="CL40" s="215"/>
      <c r="CM40" s="215">
        <v>0</v>
      </c>
      <c r="CN40" s="215"/>
      <c r="CO40" s="215">
        <v>0</v>
      </c>
      <c r="CP40" s="215">
        <v>0</v>
      </c>
      <c r="CQ40" s="215">
        <v>0</v>
      </c>
      <c r="CR40" s="215">
        <v>0</v>
      </c>
      <c r="CS40" s="215">
        <v>0</v>
      </c>
      <c r="CT40" s="215">
        <v>0</v>
      </c>
      <c r="CU40" s="215">
        <v>0</v>
      </c>
      <c r="CV40" s="215">
        <v>9999</v>
      </c>
      <c r="CW40" s="222">
        <v>9999</v>
      </c>
    </row>
    <row r="41" spans="1:101">
      <c r="A41" t="s">
        <v>818</v>
      </c>
      <c r="B41" t="s">
        <v>818</v>
      </c>
      <c r="C41" s="215">
        <v>12</v>
      </c>
      <c r="D41" s="215">
        <v>39635.259988585771</v>
      </c>
      <c r="E41" s="215">
        <v>0</v>
      </c>
      <c r="F41" s="215">
        <v>8953.6568683722271</v>
      </c>
      <c r="G41" s="215">
        <v>-1216.5227268307797</v>
      </c>
      <c r="H41" s="215">
        <v>0</v>
      </c>
      <c r="I41" s="215" t="s">
        <v>1214</v>
      </c>
      <c r="J41" s="215"/>
      <c r="K41" s="215"/>
      <c r="L41" s="215">
        <v>42563.483804441617</v>
      </c>
      <c r="M41" s="215">
        <v>6.6879149448802169</v>
      </c>
      <c r="N41" s="215">
        <v>6.6396445739605792</v>
      </c>
      <c r="O41" s="215">
        <v>0</v>
      </c>
      <c r="P41" s="215">
        <v>0</v>
      </c>
      <c r="Q41" s="215">
        <v>0</v>
      </c>
      <c r="R41" s="215">
        <v>1785.4787869981478</v>
      </c>
      <c r="S41" s="215">
        <v>4125.9699069622238</v>
      </c>
      <c r="T41" s="215">
        <v>0</v>
      </c>
      <c r="U41" s="215">
        <v>8354.188955184105</v>
      </c>
      <c r="V41" s="215" t="s">
        <v>737</v>
      </c>
      <c r="W41" s="215" t="s">
        <v>737</v>
      </c>
      <c r="X41" s="215" t="s">
        <v>737</v>
      </c>
      <c r="Y41" s="215" t="s">
        <v>737</v>
      </c>
      <c r="Z41" s="215">
        <v>0</v>
      </c>
      <c r="AA41" s="215">
        <v>0</v>
      </c>
      <c r="AB41" s="215">
        <v>0</v>
      </c>
      <c r="AC41" s="215">
        <v>-16532.940863700267</v>
      </c>
      <c r="AD41" s="215">
        <v>0</v>
      </c>
      <c r="AE41" s="215">
        <v>0</v>
      </c>
      <c r="AF41" s="215">
        <v>0</v>
      </c>
      <c r="AG41" s="215">
        <v>0</v>
      </c>
      <c r="AH41" s="215">
        <v>1785.4787869981478</v>
      </c>
      <c r="AI41" s="215">
        <v>4125.9699069622238</v>
      </c>
      <c r="AJ41" s="215">
        <v>0</v>
      </c>
      <c r="AK41" s="215">
        <v>-8178.7519085161621</v>
      </c>
      <c r="AL41" s="215">
        <v>-2267.30321455579</v>
      </c>
      <c r="AM41" s="215">
        <v>22013.943121266875</v>
      </c>
      <c r="AN41" s="215">
        <v>2363.1646133760264</v>
      </c>
      <c r="AO41" s="215">
        <v>0</v>
      </c>
      <c r="AP41" s="215">
        <v>0</v>
      </c>
      <c r="AQ41" s="215">
        <v>24377.107734642901</v>
      </c>
      <c r="AR41" s="215">
        <v>1785.4787869981478</v>
      </c>
      <c r="AS41" s="222">
        <v>13.65298087670206</v>
      </c>
      <c r="AT41" s="215">
        <v>22013.943121266875</v>
      </c>
      <c r="AU41" s="215">
        <v>2797.2830338162644</v>
      </c>
      <c r="AV41" s="215">
        <v>0</v>
      </c>
      <c r="AW41" s="215">
        <v>0</v>
      </c>
      <c r="AX41" s="215">
        <v>24811.226155083139</v>
      </c>
      <c r="AY41" s="215">
        <v>4125.9699069622238</v>
      </c>
      <c r="AZ41" s="222">
        <v>6.0134287730059066</v>
      </c>
      <c r="BA41" s="215">
        <v>22013.943121266875</v>
      </c>
      <c r="BB41" s="215">
        <v>5160.4476471922908</v>
      </c>
      <c r="BC41" s="215">
        <v>0</v>
      </c>
      <c r="BD41" s="215">
        <v>0</v>
      </c>
      <c r="BE41" s="215">
        <v>27174.390768459165</v>
      </c>
      <c r="BF41" s="215">
        <v>5911.4486939603721</v>
      </c>
      <c r="BG41" s="215">
        <v>1.2982953128019392</v>
      </c>
      <c r="BH41" s="222">
        <v>4.5969088416893111</v>
      </c>
      <c r="BI41" s="215">
        <v>3.0866518099312881</v>
      </c>
      <c r="BJ41" s="215">
        <v>7.1327828556611061</v>
      </c>
      <c r="BK41" s="215">
        <v>0</v>
      </c>
      <c r="BL41" s="215">
        <v>-14.13904190026458</v>
      </c>
      <c r="BM41" s="215">
        <v>-3.9196072346721853</v>
      </c>
      <c r="BN41" s="215">
        <v>22013.943121266875</v>
      </c>
      <c r="BO41" s="215">
        <v>0</v>
      </c>
      <c r="BP41" s="215">
        <v>5160.4476471922908</v>
      </c>
      <c r="BQ41" s="215">
        <v>0</v>
      </c>
      <c r="BR41" s="215">
        <v>0</v>
      </c>
      <c r="BS41" s="215">
        <v>0</v>
      </c>
      <c r="BT41" s="215">
        <v>0</v>
      </c>
      <c r="BU41" s="215">
        <v>0</v>
      </c>
      <c r="BV41" s="215">
        <v>0</v>
      </c>
      <c r="BW41" s="215">
        <v>0</v>
      </c>
      <c r="BX41" s="215">
        <v>14265.637649144477</v>
      </c>
      <c r="BY41" s="215"/>
      <c r="BZ41" s="215">
        <v>-16532.940863700267</v>
      </c>
      <c r="CA41" s="215">
        <v>0</v>
      </c>
      <c r="CB41" s="215">
        <v>27174.390768459165</v>
      </c>
      <c r="CC41" s="215">
        <v>-2267.30321455579</v>
      </c>
      <c r="CD41" s="222">
        <v>3.0638189968872935</v>
      </c>
      <c r="CE41" s="215">
        <v>-12.840746587462641</v>
      </c>
      <c r="CF41" s="215">
        <v>404.35727122094892</v>
      </c>
      <c r="CG41" s="215">
        <v>0</v>
      </c>
      <c r="CH41" s="215">
        <v>404.35727122094892</v>
      </c>
      <c r="CI41" s="215">
        <v>20.217654807109763</v>
      </c>
      <c r="CJ41" s="215">
        <v>0</v>
      </c>
      <c r="CK41" s="215">
        <v>20.217654807109763</v>
      </c>
      <c r="CL41" s="215"/>
      <c r="CM41" s="215">
        <v>0</v>
      </c>
      <c r="CN41" s="215"/>
      <c r="CO41" s="215">
        <v>0</v>
      </c>
      <c r="CP41" s="215">
        <v>0</v>
      </c>
      <c r="CQ41" s="215">
        <v>0</v>
      </c>
      <c r="CR41" s="215">
        <v>0</v>
      </c>
      <c r="CS41" s="215">
        <v>0</v>
      </c>
      <c r="CT41" s="215">
        <v>0</v>
      </c>
      <c r="CU41" s="215">
        <v>0</v>
      </c>
      <c r="CV41" s="215">
        <v>9999</v>
      </c>
      <c r="CW41" s="222">
        <v>9999</v>
      </c>
    </row>
    <row r="42" spans="1:101">
      <c r="C42" s="215"/>
      <c r="D42" s="215"/>
      <c r="E42" s="215"/>
      <c r="F42" s="215"/>
      <c r="G42" s="215"/>
      <c r="H42" s="215"/>
      <c r="I42" s="215"/>
      <c r="J42" s="215"/>
      <c r="K42" s="215"/>
      <c r="L42" s="215"/>
      <c r="M42" s="215"/>
      <c r="N42" s="215"/>
      <c r="O42" s="215"/>
      <c r="P42" s="215"/>
      <c r="Q42" s="215"/>
      <c r="R42" s="215"/>
      <c r="S42" s="215"/>
      <c r="T42" s="215"/>
      <c r="U42" s="215"/>
      <c r="V42" s="215"/>
      <c r="W42" s="215"/>
      <c r="X42" s="215"/>
      <c r="Y42" s="215"/>
      <c r="Z42" s="215"/>
      <c r="AA42" s="215"/>
      <c r="AB42" s="215"/>
      <c r="AC42" s="215"/>
      <c r="AD42" s="215"/>
      <c r="AE42" s="215"/>
      <c r="AF42" s="215"/>
      <c r="AG42" s="215"/>
      <c r="AH42" s="215"/>
      <c r="AI42" s="215"/>
      <c r="AJ42" s="215"/>
      <c r="AK42" s="215"/>
      <c r="AL42" s="215"/>
      <c r="AM42" s="215"/>
      <c r="AN42" s="215"/>
      <c r="AO42" s="215"/>
      <c r="AP42" s="215"/>
      <c r="AQ42" s="215"/>
      <c r="AR42" s="215"/>
      <c r="AS42" s="215"/>
      <c r="AT42" s="215"/>
      <c r="AU42" s="215"/>
      <c r="AV42" s="215"/>
      <c r="AW42" s="215"/>
      <c r="AX42" s="215"/>
      <c r="AY42" s="215"/>
      <c r="AZ42" s="215"/>
      <c r="BA42" s="215"/>
      <c r="BB42" s="215"/>
      <c r="BC42" s="215"/>
      <c r="BD42" s="215"/>
      <c r="BE42" s="215"/>
      <c r="BF42" s="215"/>
      <c r="BG42" s="215"/>
      <c r="BH42" s="215"/>
      <c r="BI42" s="215"/>
      <c r="BJ42" s="215"/>
      <c r="BK42" s="215"/>
      <c r="BL42" s="215"/>
      <c r="BM42" s="215"/>
      <c r="BN42" s="215"/>
      <c r="BO42" s="215"/>
      <c r="BP42" s="215"/>
      <c r="BQ42" s="215"/>
      <c r="BR42" s="215"/>
      <c r="BS42" s="215"/>
      <c r="BT42" s="215"/>
      <c r="BU42" s="215"/>
      <c r="BV42" s="215"/>
      <c r="BW42" s="215"/>
      <c r="BX42" s="215"/>
      <c r="BY42" s="215"/>
      <c r="BZ42" s="215"/>
      <c r="CA42" s="215"/>
      <c r="CB42" s="215"/>
      <c r="CC42" s="215"/>
      <c r="CD42" s="215"/>
      <c r="CE42" s="215"/>
      <c r="CF42" s="215"/>
      <c r="CG42" s="215"/>
      <c r="CH42" s="215"/>
      <c r="CI42" s="215"/>
      <c r="CJ42" s="215"/>
      <c r="CK42" s="215"/>
      <c r="CL42" s="215"/>
      <c r="CM42" s="215"/>
      <c r="CN42" s="215"/>
      <c r="CO42" s="215"/>
      <c r="CP42" s="215"/>
      <c r="CQ42" s="215"/>
      <c r="CR42" s="215"/>
      <c r="CS42" s="215"/>
      <c r="CT42" s="215"/>
      <c r="CU42" s="215"/>
      <c r="CV42" s="215"/>
      <c r="CW42" s="215"/>
    </row>
    <row r="43" spans="1:101">
      <c r="C43" s="215"/>
      <c r="D43" s="215"/>
      <c r="E43" s="215"/>
      <c r="F43" s="215"/>
      <c r="G43" s="215"/>
      <c r="H43" s="215"/>
      <c r="I43" s="215"/>
      <c r="J43" s="215"/>
      <c r="K43" s="215"/>
      <c r="L43" s="215"/>
      <c r="M43" s="215"/>
      <c r="N43" s="215"/>
      <c r="O43" s="215"/>
      <c r="P43" s="215"/>
      <c r="Q43" s="215"/>
      <c r="R43" s="215"/>
      <c r="S43" s="215"/>
      <c r="T43" s="215"/>
      <c r="U43" s="215"/>
      <c r="V43" s="215"/>
      <c r="W43" s="215"/>
      <c r="X43" s="215"/>
      <c r="Y43" s="215"/>
      <c r="Z43" s="215"/>
      <c r="AA43" s="215"/>
      <c r="AB43" s="215"/>
      <c r="AC43" s="215"/>
      <c r="AD43" s="215"/>
      <c r="AE43" s="215"/>
      <c r="AF43" s="215"/>
      <c r="AG43" s="215"/>
      <c r="AH43" s="215"/>
      <c r="AI43" s="215"/>
      <c r="AJ43" s="215"/>
      <c r="AK43" s="215"/>
      <c r="AL43" s="215"/>
      <c r="AM43" s="215"/>
      <c r="AN43" s="215"/>
      <c r="AO43" s="215"/>
      <c r="AP43" s="215"/>
      <c r="AQ43" s="215"/>
      <c r="AR43" s="215"/>
      <c r="AS43" s="215"/>
      <c r="AT43" s="215"/>
      <c r="AU43" s="215"/>
      <c r="AV43" s="215"/>
      <c r="AW43" s="215"/>
      <c r="AX43" s="215"/>
      <c r="AY43" s="215"/>
      <c r="AZ43" s="215"/>
      <c r="BA43" s="215"/>
      <c r="BB43" s="215"/>
      <c r="BC43" s="215"/>
      <c r="BD43" s="215"/>
      <c r="BE43" s="215"/>
      <c r="BF43" s="215"/>
      <c r="BG43" s="215"/>
      <c r="BH43" s="215"/>
      <c r="BI43" s="215"/>
      <c r="BJ43" s="215"/>
      <c r="BK43" s="215"/>
      <c r="BL43" s="215"/>
      <c r="BM43" s="215"/>
      <c r="BN43" s="215"/>
      <c r="BO43" s="215"/>
      <c r="BP43" s="215"/>
      <c r="BQ43" s="215"/>
      <c r="BR43" s="215"/>
      <c r="BS43" s="215"/>
      <c r="BT43" s="215"/>
      <c r="BU43" s="215"/>
      <c r="BV43" s="215"/>
      <c r="BW43" s="215"/>
      <c r="BX43" s="215"/>
      <c r="BY43" s="215"/>
      <c r="BZ43" s="215"/>
      <c r="CA43" s="215"/>
      <c r="CB43" s="215"/>
      <c r="CC43" s="215"/>
      <c r="CD43" s="215"/>
      <c r="CE43" s="215"/>
      <c r="CF43" s="215"/>
      <c r="CG43" s="215"/>
      <c r="CH43" s="215"/>
      <c r="CI43" s="215"/>
      <c r="CJ43" s="215"/>
      <c r="CK43" s="215"/>
      <c r="CL43" s="215"/>
      <c r="CM43" s="215"/>
      <c r="CN43" s="215"/>
      <c r="CO43" s="215"/>
      <c r="CP43" s="215"/>
      <c r="CQ43" s="215"/>
      <c r="CR43" s="215"/>
      <c r="CS43" s="215"/>
      <c r="CT43" s="215"/>
      <c r="CU43" s="215"/>
      <c r="CV43" s="215"/>
      <c r="CW43" s="215"/>
    </row>
    <row r="44" spans="1:101" ht="13.5" thickBot="1">
      <c r="A44" s="201" t="s">
        <v>89</v>
      </c>
      <c r="B44" s="200"/>
      <c r="C44" s="215"/>
      <c r="D44" s="215"/>
      <c r="E44" s="215"/>
      <c r="F44" s="215"/>
      <c r="G44" s="215"/>
      <c r="H44" s="215"/>
      <c r="I44" s="215"/>
      <c r="J44" s="215"/>
      <c r="K44" s="215"/>
      <c r="L44" s="215"/>
      <c r="M44" s="215"/>
      <c r="N44" s="215"/>
      <c r="O44" s="215"/>
      <c r="P44" s="215"/>
      <c r="Q44" s="215"/>
      <c r="R44" s="215"/>
      <c r="S44" s="215"/>
      <c r="T44" s="215"/>
      <c r="U44" s="215"/>
      <c r="V44" s="215"/>
      <c r="W44" s="215"/>
      <c r="X44" s="215"/>
      <c r="Y44" s="215"/>
      <c r="Z44" s="215"/>
      <c r="AA44" s="215"/>
      <c r="AB44" s="215"/>
      <c r="AC44" s="215"/>
      <c r="AD44" s="215"/>
      <c r="AE44" s="215"/>
      <c r="AF44" s="215"/>
      <c r="AG44" s="215"/>
      <c r="AH44" s="215"/>
      <c r="AI44" s="215"/>
      <c r="AJ44" s="215"/>
      <c r="AK44" s="215"/>
      <c r="AL44" s="215"/>
      <c r="AM44" s="215"/>
      <c r="AN44" s="215"/>
      <c r="AO44" s="215"/>
      <c r="AP44" s="215"/>
      <c r="AQ44" s="215"/>
      <c r="AR44" s="215"/>
      <c r="AS44" s="215"/>
      <c r="AT44" s="215"/>
      <c r="AU44" s="215"/>
      <c r="AV44" s="215"/>
      <c r="AW44" s="215"/>
      <c r="AX44" s="215"/>
      <c r="AY44" s="215"/>
      <c r="AZ44" s="215"/>
      <c r="BA44" s="215"/>
      <c r="BB44" s="215"/>
      <c r="BC44" s="215"/>
      <c r="BD44" s="215"/>
      <c r="BE44" s="215"/>
      <c r="BF44" s="215"/>
      <c r="BG44" s="215"/>
      <c r="BH44" s="215"/>
      <c r="BI44" s="215"/>
      <c r="BJ44" s="215"/>
      <c r="BK44" s="215"/>
      <c r="BL44" s="215"/>
      <c r="BM44" s="215"/>
      <c r="BN44" s="215"/>
      <c r="BO44" s="215"/>
      <c r="BP44" s="215"/>
      <c r="BQ44" s="215"/>
      <c r="BR44" s="215"/>
      <c r="BS44" s="215"/>
      <c r="BT44" s="215"/>
      <c r="BU44" s="215"/>
      <c r="BV44" s="215"/>
      <c r="BW44" s="215"/>
      <c r="BX44" s="215"/>
      <c r="BY44" s="215"/>
      <c r="BZ44" s="215"/>
      <c r="CA44" s="215"/>
      <c r="CB44" s="215"/>
      <c r="CC44" s="215"/>
      <c r="CD44" s="215"/>
      <c r="CE44" s="215"/>
      <c r="CF44" s="215"/>
      <c r="CG44" s="215"/>
      <c r="CH44" s="215"/>
      <c r="CI44" s="215"/>
      <c r="CJ44" s="215"/>
      <c r="CK44" s="215"/>
      <c r="CL44" s="215"/>
      <c r="CM44" s="215"/>
      <c r="CN44" s="215"/>
      <c r="CO44" s="215"/>
      <c r="CP44" s="215"/>
      <c r="CQ44" s="215"/>
      <c r="CR44" s="215"/>
      <c r="CS44" s="215"/>
      <c r="CT44" s="215"/>
      <c r="CU44" s="215"/>
      <c r="CV44" s="215"/>
      <c r="CW44" s="215"/>
    </row>
    <row r="45" spans="1:101" ht="26.25" thickBot="1">
      <c r="A45" s="211" t="s">
        <v>645</v>
      </c>
      <c r="B45" s="212"/>
      <c r="C45" s="216" t="s">
        <v>646</v>
      </c>
      <c r="D45" s="217"/>
      <c r="E45" s="217"/>
      <c r="F45" s="217"/>
      <c r="G45" s="217"/>
      <c r="H45" s="217"/>
      <c r="I45" s="217"/>
      <c r="J45" s="217"/>
      <c r="K45" s="218"/>
      <c r="L45" s="216" t="s">
        <v>87</v>
      </c>
      <c r="M45" s="217"/>
      <c r="N45" s="217"/>
      <c r="O45" s="217"/>
      <c r="P45" s="217"/>
      <c r="Q45" s="218"/>
      <c r="R45" s="216" t="s">
        <v>647</v>
      </c>
      <c r="S45" s="217"/>
      <c r="T45" s="217"/>
      <c r="U45" s="218"/>
      <c r="V45" s="216" t="s">
        <v>648</v>
      </c>
      <c r="W45" s="217"/>
      <c r="X45" s="217"/>
      <c r="Y45" s="218"/>
      <c r="Z45" s="216" t="s">
        <v>649</v>
      </c>
      <c r="AA45" s="217"/>
      <c r="AB45" s="217"/>
      <c r="AC45" s="218"/>
      <c r="AD45" s="216" t="s">
        <v>650</v>
      </c>
      <c r="AE45" s="217"/>
      <c r="AF45" s="217"/>
      <c r="AG45" s="218"/>
      <c r="AH45" s="216" t="s">
        <v>651</v>
      </c>
      <c r="AI45" s="217"/>
      <c r="AJ45" s="217"/>
      <c r="AK45" s="217"/>
      <c r="AL45" s="218"/>
      <c r="AM45" s="216" t="s">
        <v>652</v>
      </c>
      <c r="AN45" s="217"/>
      <c r="AO45" s="217"/>
      <c r="AP45" s="217"/>
      <c r="AQ45" s="217"/>
      <c r="AR45" s="217"/>
      <c r="AS45" s="218"/>
      <c r="AT45" s="216" t="s">
        <v>653</v>
      </c>
      <c r="AU45" s="217"/>
      <c r="AV45" s="217"/>
      <c r="AW45" s="217"/>
      <c r="AX45" s="217"/>
      <c r="AY45" s="217"/>
      <c r="AZ45" s="218"/>
      <c r="BA45" s="216" t="s">
        <v>654</v>
      </c>
      <c r="BB45" s="217"/>
      <c r="BC45" s="217"/>
      <c r="BD45" s="217"/>
      <c r="BE45" s="217"/>
      <c r="BF45" s="218"/>
      <c r="BG45" s="216" t="s">
        <v>655</v>
      </c>
      <c r="BH45" s="218"/>
      <c r="BI45" s="216" t="s">
        <v>656</v>
      </c>
      <c r="BJ45" s="217"/>
      <c r="BK45" s="217"/>
      <c r="BL45" s="217"/>
      <c r="BM45" s="218"/>
      <c r="BN45" s="216" t="s">
        <v>657</v>
      </c>
      <c r="BO45" s="217"/>
      <c r="BP45" s="217"/>
      <c r="BQ45" s="217"/>
      <c r="BR45" s="217"/>
      <c r="BS45" s="217"/>
      <c r="BT45" s="217"/>
      <c r="BU45" s="217"/>
      <c r="BV45" s="217"/>
      <c r="BW45" s="217"/>
      <c r="BX45" s="217"/>
      <c r="BY45" s="217"/>
      <c r="BZ45" s="217"/>
      <c r="CA45" s="217"/>
      <c r="CB45" s="217"/>
      <c r="CC45" s="218"/>
      <c r="CD45" s="216" t="s">
        <v>658</v>
      </c>
      <c r="CE45" s="218"/>
      <c r="CF45" s="216" t="s">
        <v>659</v>
      </c>
      <c r="CG45" s="217"/>
      <c r="CH45" s="217"/>
      <c r="CI45" s="217"/>
      <c r="CJ45" s="217"/>
      <c r="CK45" s="218"/>
      <c r="CL45" s="219"/>
      <c r="CM45" s="216" t="s">
        <v>42</v>
      </c>
      <c r="CN45" s="217"/>
      <c r="CO45" s="217"/>
      <c r="CP45" s="218"/>
      <c r="CQ45" s="216" t="s">
        <v>660</v>
      </c>
      <c r="CR45" s="217"/>
      <c r="CS45" s="217"/>
      <c r="CT45" s="217"/>
      <c r="CU45" s="218"/>
      <c r="CV45" s="216" t="s">
        <v>661</v>
      </c>
      <c r="CW45" s="218"/>
    </row>
    <row r="46" spans="1:101" ht="127.5">
      <c r="A46" s="214" t="s">
        <v>88</v>
      </c>
      <c r="B46" s="213" t="s">
        <v>195</v>
      </c>
      <c r="C46" s="220" t="s">
        <v>662</v>
      </c>
      <c r="D46" s="220" t="s">
        <v>663</v>
      </c>
      <c r="E46" s="220" t="s">
        <v>664</v>
      </c>
      <c r="F46" s="220" t="s">
        <v>665</v>
      </c>
      <c r="G46" s="220" t="s">
        <v>666</v>
      </c>
      <c r="H46" s="220" t="s">
        <v>667</v>
      </c>
      <c r="I46" s="220" t="s">
        <v>668</v>
      </c>
      <c r="J46" s="220" t="s">
        <v>669</v>
      </c>
      <c r="K46" s="220" t="s">
        <v>670</v>
      </c>
      <c r="L46" s="220" t="s">
        <v>671</v>
      </c>
      <c r="M46" s="220" t="s">
        <v>672</v>
      </c>
      <c r="N46" s="220" t="s">
        <v>673</v>
      </c>
      <c r="O46" s="220" t="s">
        <v>674</v>
      </c>
      <c r="P46" s="220" t="s">
        <v>675</v>
      </c>
      <c r="Q46" s="220" t="s">
        <v>676</v>
      </c>
      <c r="R46" s="220" t="s">
        <v>67</v>
      </c>
      <c r="S46" s="220" t="s">
        <v>68</v>
      </c>
      <c r="T46" s="220" t="s">
        <v>69</v>
      </c>
      <c r="U46" s="220" t="s">
        <v>6</v>
      </c>
      <c r="V46" s="220" t="s">
        <v>67</v>
      </c>
      <c r="W46" s="220" t="s">
        <v>68</v>
      </c>
      <c r="X46" s="220" t="s">
        <v>69</v>
      </c>
      <c r="Y46" s="220" t="s">
        <v>6</v>
      </c>
      <c r="Z46" s="220" t="s">
        <v>67</v>
      </c>
      <c r="AA46" s="220" t="s">
        <v>68</v>
      </c>
      <c r="AB46" s="220" t="s">
        <v>69</v>
      </c>
      <c r="AC46" s="220" t="s">
        <v>6</v>
      </c>
      <c r="AD46" s="220" t="s">
        <v>67</v>
      </c>
      <c r="AE46" s="220" t="s">
        <v>68</v>
      </c>
      <c r="AF46" s="220" t="s">
        <v>69</v>
      </c>
      <c r="AG46" s="220" t="s">
        <v>6</v>
      </c>
      <c r="AH46" s="220" t="s">
        <v>67</v>
      </c>
      <c r="AI46" s="220" t="s">
        <v>68</v>
      </c>
      <c r="AJ46" s="220" t="s">
        <v>69</v>
      </c>
      <c r="AK46" s="220" t="s">
        <v>6</v>
      </c>
      <c r="AL46" s="220" t="s">
        <v>677</v>
      </c>
      <c r="AM46" s="220" t="s">
        <v>678</v>
      </c>
      <c r="AN46" s="220" t="s">
        <v>679</v>
      </c>
      <c r="AO46" s="220" t="s">
        <v>680</v>
      </c>
      <c r="AP46" s="220" t="s">
        <v>681</v>
      </c>
      <c r="AQ46" s="220" t="s">
        <v>682</v>
      </c>
      <c r="AR46" s="220" t="s">
        <v>683</v>
      </c>
      <c r="AS46" s="220" t="s">
        <v>684</v>
      </c>
      <c r="AT46" s="220" t="s">
        <v>685</v>
      </c>
      <c r="AU46" s="220" t="s">
        <v>686</v>
      </c>
      <c r="AV46" s="220" t="s">
        <v>687</v>
      </c>
      <c r="AW46" s="220" t="s">
        <v>688</v>
      </c>
      <c r="AX46" s="220" t="s">
        <v>689</v>
      </c>
      <c r="AY46" s="220" t="s">
        <v>690</v>
      </c>
      <c r="AZ46" s="220" t="s">
        <v>691</v>
      </c>
      <c r="BA46" s="220" t="s">
        <v>692</v>
      </c>
      <c r="BB46" s="220" t="s">
        <v>693</v>
      </c>
      <c r="BC46" s="220" t="s">
        <v>694</v>
      </c>
      <c r="BD46" s="220" t="s">
        <v>695</v>
      </c>
      <c r="BE46" s="220" t="s">
        <v>696</v>
      </c>
      <c r="BF46" s="220" t="s">
        <v>697</v>
      </c>
      <c r="BG46" s="220" t="s">
        <v>698</v>
      </c>
      <c r="BH46" s="220" t="s">
        <v>699</v>
      </c>
      <c r="BI46" s="220" t="s">
        <v>700</v>
      </c>
      <c r="BJ46" s="220" t="s">
        <v>701</v>
      </c>
      <c r="BK46" s="220" t="s">
        <v>702</v>
      </c>
      <c r="BL46" s="220" t="s">
        <v>703</v>
      </c>
      <c r="BM46" s="220" t="s">
        <v>704</v>
      </c>
      <c r="BN46" s="220" t="s">
        <v>705</v>
      </c>
      <c r="BO46" s="220" t="s">
        <v>706</v>
      </c>
      <c r="BP46" s="220" t="s">
        <v>707</v>
      </c>
      <c r="BQ46" s="220" t="s">
        <v>708</v>
      </c>
      <c r="BR46" s="220" t="s">
        <v>709</v>
      </c>
      <c r="BS46" s="220" t="s">
        <v>710</v>
      </c>
      <c r="BT46" s="220" t="s">
        <v>711</v>
      </c>
      <c r="BU46" s="220" t="s">
        <v>712</v>
      </c>
      <c r="BV46" s="220" t="s">
        <v>713</v>
      </c>
      <c r="BW46" s="220" t="s">
        <v>714</v>
      </c>
      <c r="BX46" s="220" t="s">
        <v>715</v>
      </c>
      <c r="BY46" s="220" t="s">
        <v>716</v>
      </c>
      <c r="BZ46" s="220" t="s">
        <v>717</v>
      </c>
      <c r="CA46" s="220" t="s">
        <v>718</v>
      </c>
      <c r="CB46" s="220" t="s">
        <v>719</v>
      </c>
      <c r="CC46" s="220" t="s">
        <v>720</v>
      </c>
      <c r="CD46" s="220" t="s">
        <v>721</v>
      </c>
      <c r="CE46" s="220" t="s">
        <v>722</v>
      </c>
      <c r="CF46" s="220" t="s">
        <v>723</v>
      </c>
      <c r="CG46" s="220" t="s">
        <v>724</v>
      </c>
      <c r="CH46" s="220" t="s">
        <v>725</v>
      </c>
      <c r="CI46" s="220" t="s">
        <v>1314</v>
      </c>
      <c r="CJ46" s="220" t="s">
        <v>1315</v>
      </c>
      <c r="CK46" s="220" t="s">
        <v>1316</v>
      </c>
      <c r="CL46" s="220"/>
      <c r="CM46" s="220" t="s">
        <v>726</v>
      </c>
      <c r="CN46" s="220" t="s">
        <v>727</v>
      </c>
      <c r="CO46" s="220" t="s">
        <v>728</v>
      </c>
      <c r="CP46" s="220" t="s">
        <v>729</v>
      </c>
      <c r="CQ46" s="220" t="s">
        <v>730</v>
      </c>
      <c r="CR46" s="220" t="s">
        <v>731</v>
      </c>
      <c r="CS46" s="220" t="s">
        <v>732</v>
      </c>
      <c r="CT46" s="220" t="s">
        <v>733</v>
      </c>
      <c r="CU46" s="220" t="s">
        <v>734</v>
      </c>
      <c r="CV46" s="220" t="s">
        <v>735</v>
      </c>
      <c r="CW46" s="220" t="s">
        <v>736</v>
      </c>
    </row>
    <row r="47" spans="1:101">
      <c r="A47" t="s">
        <v>818</v>
      </c>
      <c r="C47" s="215">
        <v>12</v>
      </c>
      <c r="D47" s="215">
        <v>39635.259988585771</v>
      </c>
      <c r="E47" s="215">
        <v>0</v>
      </c>
      <c r="F47" s="215">
        <v>8953.6568683722271</v>
      </c>
      <c r="G47" s="215">
        <v>-1216.5227268307797</v>
      </c>
      <c r="H47" s="215">
        <v>0</v>
      </c>
      <c r="I47" s="215"/>
      <c r="J47" s="215"/>
      <c r="K47" s="215"/>
      <c r="L47" s="215">
        <v>42563.483804441617</v>
      </c>
      <c r="M47" s="215">
        <v>6.6879149448802169</v>
      </c>
      <c r="N47" s="215">
        <v>6.6396445739605792</v>
      </c>
      <c r="O47" s="215">
        <v>0</v>
      </c>
      <c r="P47" s="215">
        <v>0</v>
      </c>
      <c r="Q47" s="215">
        <v>0</v>
      </c>
      <c r="R47" s="215">
        <v>1785.4787869981478</v>
      </c>
      <c r="S47" s="215">
        <v>4125.9699069622238</v>
      </c>
      <c r="T47" s="215">
        <v>0</v>
      </c>
      <c r="U47" s="215">
        <v>8354.188955184105</v>
      </c>
      <c r="V47" s="215">
        <v>537.21941210233365</v>
      </c>
      <c r="W47" s="215">
        <v>1253.5119615721119</v>
      </c>
      <c r="X47" s="215">
        <v>0</v>
      </c>
      <c r="Y47" s="215">
        <v>0</v>
      </c>
      <c r="Z47" s="215">
        <v>0</v>
      </c>
      <c r="AA47" s="215">
        <v>0</v>
      </c>
      <c r="AB47" s="215">
        <v>0</v>
      </c>
      <c r="AC47" s="215">
        <v>-16532.940863700267</v>
      </c>
      <c r="AD47" s="215">
        <v>0</v>
      </c>
      <c r="AE47" s="215">
        <v>0</v>
      </c>
      <c r="AF47" s="215">
        <v>0</v>
      </c>
      <c r="AG47" s="215">
        <v>0</v>
      </c>
      <c r="AH47" s="215">
        <v>2322.6981991004814</v>
      </c>
      <c r="AI47" s="215">
        <v>5379.4818685343362</v>
      </c>
      <c r="AJ47" s="215">
        <v>0</v>
      </c>
      <c r="AK47" s="215">
        <v>-8178.7519085161621</v>
      </c>
      <c r="AL47" s="215">
        <v>-476.57184088134454</v>
      </c>
      <c r="AM47" s="215">
        <v>22013.943121266875</v>
      </c>
      <c r="AN47" s="215">
        <v>2363.1646133760264</v>
      </c>
      <c r="AO47" s="215">
        <v>0</v>
      </c>
      <c r="AP47" s="215">
        <v>0</v>
      </c>
      <c r="AQ47" s="215">
        <v>24377.107734642901</v>
      </c>
      <c r="AR47" s="215">
        <v>2322.6981991004814</v>
      </c>
      <c r="AS47" s="222">
        <v>10.495167966326189</v>
      </c>
      <c r="AT47" s="215">
        <v>22013.943121266875</v>
      </c>
      <c r="AU47" s="215">
        <v>2797.2830338162644</v>
      </c>
      <c r="AV47" s="215">
        <v>0</v>
      </c>
      <c r="AW47" s="215">
        <v>0</v>
      </c>
      <c r="AX47" s="215">
        <v>24811.226155083139</v>
      </c>
      <c r="AY47" s="215">
        <v>5379.4818685343362</v>
      </c>
      <c r="AZ47" s="222">
        <v>4.6121962600541435</v>
      </c>
      <c r="BA47" s="215">
        <v>22013.943121266875</v>
      </c>
      <c r="BB47" s="215">
        <v>5160.4476471922908</v>
      </c>
      <c r="BC47" s="215">
        <v>0</v>
      </c>
      <c r="BD47" s="215">
        <v>0</v>
      </c>
      <c r="BE47" s="215">
        <v>27174.390768459165</v>
      </c>
      <c r="BF47" s="215">
        <v>7702.1800676348175</v>
      </c>
      <c r="BG47" s="215">
        <v>4.3940275477090278</v>
      </c>
      <c r="BH47" s="222">
        <v>3.5281427504724472</v>
      </c>
      <c r="BI47" s="215">
        <v>4.015371480403414</v>
      </c>
      <c r="BJ47" s="215">
        <v>9.299795420096066</v>
      </c>
      <c r="BK47" s="215">
        <v>0</v>
      </c>
      <c r="BL47" s="215">
        <v>-14.13904190026458</v>
      </c>
      <c r="BM47" s="215">
        <v>-0.82387499976509881</v>
      </c>
      <c r="BN47" s="215">
        <v>22013.943121266875</v>
      </c>
      <c r="BO47" s="215">
        <v>0</v>
      </c>
      <c r="BP47" s="215">
        <v>5160.4476471922908</v>
      </c>
      <c r="BQ47" s="215">
        <v>0</v>
      </c>
      <c r="BR47" s="215">
        <v>0</v>
      </c>
      <c r="BS47" s="215">
        <v>0</v>
      </c>
      <c r="BT47" s="215">
        <v>0</v>
      </c>
      <c r="BU47" s="215">
        <v>0</v>
      </c>
      <c r="BV47" s="215">
        <v>0</v>
      </c>
      <c r="BW47" s="215">
        <v>0</v>
      </c>
      <c r="BX47" s="215">
        <v>14265.637649144477</v>
      </c>
      <c r="BY47" s="215">
        <v>1790.7313736744454</v>
      </c>
      <c r="BZ47" s="215">
        <v>-16532.940863700267</v>
      </c>
      <c r="CA47" s="215">
        <v>0</v>
      </c>
      <c r="CB47" s="215">
        <v>27174.390768459165</v>
      </c>
      <c r="CC47" s="215">
        <v>-476.57184088134454</v>
      </c>
      <c r="CD47" s="222">
        <v>2.7221180311715329</v>
      </c>
      <c r="CE47" s="215">
        <v>-9.7450143525555504</v>
      </c>
      <c r="CF47" s="215">
        <v>404.35727122094892</v>
      </c>
      <c r="CG47" s="215">
        <v>0</v>
      </c>
      <c r="CH47" s="215">
        <v>404.35727122094892</v>
      </c>
      <c r="CI47" s="215">
        <v>20.217654807109763</v>
      </c>
      <c r="CJ47" s="215">
        <v>0</v>
      </c>
      <c r="CK47" s="215">
        <v>20.217654807109763</v>
      </c>
      <c r="CL47" s="215"/>
      <c r="CM47" s="215">
        <v>0</v>
      </c>
      <c r="CN47" s="215"/>
      <c r="CO47" s="215">
        <v>0</v>
      </c>
      <c r="CP47" s="215">
        <v>0</v>
      </c>
      <c r="CQ47" s="215">
        <v>0</v>
      </c>
      <c r="CR47" s="215">
        <v>0</v>
      </c>
      <c r="CS47" s="215">
        <v>0</v>
      </c>
      <c r="CT47" s="215">
        <v>0</v>
      </c>
      <c r="CU47" s="215">
        <v>0</v>
      </c>
      <c r="CV47" s="215">
        <v>9999</v>
      </c>
      <c r="CW47" s="222">
        <v>9999</v>
      </c>
    </row>
    <row r="48" spans="1:101">
      <c r="A48" t="s">
        <v>814</v>
      </c>
      <c r="C48" s="215">
        <v>12.000000000000002</v>
      </c>
      <c r="D48" s="215">
        <v>93173.917685940076</v>
      </c>
      <c r="E48" s="215">
        <v>0</v>
      </c>
      <c r="F48" s="215">
        <v>50893.141158028397</v>
      </c>
      <c r="G48" s="215">
        <v>-2859.7816299287219</v>
      </c>
      <c r="H48" s="215">
        <v>0</v>
      </c>
      <c r="I48" s="215"/>
      <c r="J48" s="215"/>
      <c r="K48" s="215"/>
      <c r="L48" s="215">
        <v>100057.53810026644</v>
      </c>
      <c r="M48" s="215">
        <v>15.721840521401663</v>
      </c>
      <c r="N48" s="215">
        <v>15.608367326876602</v>
      </c>
      <c r="O48" s="215">
        <v>0</v>
      </c>
      <c r="P48" s="215">
        <v>0</v>
      </c>
      <c r="Q48" s="215">
        <v>0</v>
      </c>
      <c r="R48" s="215">
        <v>10148.772203047574</v>
      </c>
      <c r="S48" s="215">
        <v>23452.268941704566</v>
      </c>
      <c r="T48" s="215">
        <v>0</v>
      </c>
      <c r="U48" s="215">
        <v>47485.728346246346</v>
      </c>
      <c r="V48" s="215">
        <v>3053.5884694817037</v>
      </c>
      <c r="W48" s="215">
        <v>7125.0397621239754</v>
      </c>
      <c r="X48" s="215">
        <v>0</v>
      </c>
      <c r="Y48" s="215">
        <v>0</v>
      </c>
      <c r="Z48" s="215">
        <v>0</v>
      </c>
      <c r="AA48" s="215">
        <v>0</v>
      </c>
      <c r="AB48" s="215">
        <v>0</v>
      </c>
      <c r="AC48" s="215">
        <v>-38865.365626074934</v>
      </c>
      <c r="AD48" s="215">
        <v>0</v>
      </c>
      <c r="AE48" s="215">
        <v>0</v>
      </c>
      <c r="AF48" s="215">
        <v>0</v>
      </c>
      <c r="AG48" s="215">
        <v>0</v>
      </c>
      <c r="AH48" s="215">
        <v>13202.360672529278</v>
      </c>
      <c r="AI48" s="215">
        <v>30577.308703828541</v>
      </c>
      <c r="AJ48" s="215">
        <v>0</v>
      </c>
      <c r="AK48" s="215">
        <v>8620.3627201714116</v>
      </c>
      <c r="AL48" s="215">
        <v>52400.032096529234</v>
      </c>
      <c r="AM48" s="215">
        <v>51750.015640482045</v>
      </c>
      <c r="AN48" s="215">
        <v>5555.2885291640223</v>
      </c>
      <c r="AO48" s="215">
        <v>0</v>
      </c>
      <c r="AP48" s="215">
        <v>0</v>
      </c>
      <c r="AQ48" s="215">
        <v>57305.304169646064</v>
      </c>
      <c r="AR48" s="215">
        <v>13202.360672529278</v>
      </c>
      <c r="AS48" s="222">
        <v>4.3405346658104627</v>
      </c>
      <c r="AT48" s="215">
        <v>51750.015640482045</v>
      </c>
      <c r="AU48" s="215">
        <v>6575.8069762159002</v>
      </c>
      <c r="AV48" s="215">
        <v>0</v>
      </c>
      <c r="AW48" s="215">
        <v>0</v>
      </c>
      <c r="AX48" s="215">
        <v>58325.822616697944</v>
      </c>
      <c r="AY48" s="215">
        <v>30577.308703828541</v>
      </c>
      <c r="AZ48" s="222">
        <v>1.9074871232665107</v>
      </c>
      <c r="BA48" s="215">
        <v>51750.015640482045</v>
      </c>
      <c r="BB48" s="215">
        <v>12131.095505379923</v>
      </c>
      <c r="BC48" s="215">
        <v>0</v>
      </c>
      <c r="BD48" s="215">
        <v>0</v>
      </c>
      <c r="BE48" s="215">
        <v>63881.111145861963</v>
      </c>
      <c r="BF48" s="215">
        <v>43779.669376357822</v>
      </c>
      <c r="BG48" s="215">
        <v>23.274183085514689</v>
      </c>
      <c r="BH48" s="222">
        <v>1.459150150191848</v>
      </c>
      <c r="BI48" s="215">
        <v>9.7089417269199316</v>
      </c>
      <c r="BJ48" s="215">
        <v>22.486380711385202</v>
      </c>
      <c r="BK48" s="215">
        <v>0</v>
      </c>
      <c r="BL48" s="215">
        <v>6.3393662232849159</v>
      </c>
      <c r="BM48" s="215">
        <v>38.534688661590053</v>
      </c>
      <c r="BN48" s="215">
        <v>51750.015640482045</v>
      </c>
      <c r="BO48" s="215">
        <v>0</v>
      </c>
      <c r="BP48" s="215">
        <v>12131.095505379923</v>
      </c>
      <c r="BQ48" s="215">
        <v>0</v>
      </c>
      <c r="BR48" s="215">
        <v>0</v>
      </c>
      <c r="BS48" s="215">
        <v>0</v>
      </c>
      <c r="BT48" s="215">
        <v>0</v>
      </c>
      <c r="BU48" s="215">
        <v>0</v>
      </c>
      <c r="BV48" s="215">
        <v>0</v>
      </c>
      <c r="BW48" s="215">
        <v>0</v>
      </c>
      <c r="BX48" s="215">
        <v>81086.769490998486</v>
      </c>
      <c r="BY48" s="215">
        <v>10178.62823160568</v>
      </c>
      <c r="BZ48" s="215">
        <v>-38865.365626074934</v>
      </c>
      <c r="CA48" s="215">
        <v>0</v>
      </c>
      <c r="CB48" s="215">
        <v>63881.111145861963</v>
      </c>
      <c r="CC48" s="215">
        <v>52400.032096529234</v>
      </c>
      <c r="CD48" s="222">
        <v>1.1257988168114799</v>
      </c>
      <c r="CE48" s="215">
        <v>29.613549308799605</v>
      </c>
      <c r="CF48" s="215">
        <v>950.55642665903974</v>
      </c>
      <c r="CG48" s="215">
        <v>0</v>
      </c>
      <c r="CH48" s="215">
        <v>950.55642665903974</v>
      </c>
      <c r="CI48" s="215">
        <v>47.527330597626545</v>
      </c>
      <c r="CJ48" s="215">
        <v>0</v>
      </c>
      <c r="CK48" s="215">
        <v>47.527330597626545</v>
      </c>
      <c r="CL48" s="215"/>
      <c r="CM48" s="215">
        <v>0</v>
      </c>
      <c r="CN48" s="215"/>
      <c r="CO48" s="215">
        <v>0</v>
      </c>
      <c r="CP48" s="215">
        <v>0</v>
      </c>
      <c r="CQ48" s="215">
        <v>0</v>
      </c>
      <c r="CR48" s="215">
        <v>0</v>
      </c>
      <c r="CS48" s="215">
        <v>0</v>
      </c>
      <c r="CT48" s="215">
        <v>0</v>
      </c>
      <c r="CU48" s="215">
        <v>0</v>
      </c>
      <c r="CV48" s="215">
        <v>9999</v>
      </c>
      <c r="CW48" s="222">
        <v>9999</v>
      </c>
    </row>
    <row r="49" spans="1:101">
      <c r="A49" t="s">
        <v>816</v>
      </c>
      <c r="C49" s="215">
        <v>12</v>
      </c>
      <c r="D49" s="215">
        <v>75248.098737084671</v>
      </c>
      <c r="E49" s="215">
        <v>0</v>
      </c>
      <c r="F49" s="215">
        <v>47324.287442737863</v>
      </c>
      <c r="G49" s="215">
        <v>-2309.5855127689874</v>
      </c>
      <c r="H49" s="215">
        <v>0</v>
      </c>
      <c r="I49" s="215"/>
      <c r="J49" s="215"/>
      <c r="K49" s="215"/>
      <c r="L49" s="215">
        <v>80807.37285016627</v>
      </c>
      <c r="M49" s="215">
        <v>12.697100618552732</v>
      </c>
      <c r="N49" s="215">
        <v>12.605458640221251</v>
      </c>
      <c r="O49" s="215">
        <v>0</v>
      </c>
      <c r="P49" s="215">
        <v>0</v>
      </c>
      <c r="Q49" s="215">
        <v>0</v>
      </c>
      <c r="R49" s="215">
        <v>9437.0950976785334</v>
      </c>
      <c r="S49" s="215">
        <v>21807.691396673396</v>
      </c>
      <c r="T49" s="215">
        <v>0</v>
      </c>
      <c r="U49" s="215">
        <v>44155.817592544627</v>
      </c>
      <c r="V49" s="215">
        <v>2839.4572465642718</v>
      </c>
      <c r="W49" s="215">
        <v>6625.4002419833005</v>
      </c>
      <c r="X49" s="215">
        <v>0</v>
      </c>
      <c r="Y49" s="215">
        <v>0</v>
      </c>
      <c r="Z49" s="215">
        <v>0</v>
      </c>
      <c r="AA49" s="215">
        <v>0</v>
      </c>
      <c r="AB49" s="215">
        <v>0</v>
      </c>
      <c r="AC49" s="215">
        <v>-31388.020840140071</v>
      </c>
      <c r="AD49" s="215">
        <v>0</v>
      </c>
      <c r="AE49" s="215">
        <v>0</v>
      </c>
      <c r="AF49" s="215">
        <v>0</v>
      </c>
      <c r="AG49" s="215">
        <v>0</v>
      </c>
      <c r="AH49" s="215">
        <v>12276.552344242806</v>
      </c>
      <c r="AI49" s="215">
        <v>28433.091638656697</v>
      </c>
      <c r="AJ49" s="215">
        <v>0</v>
      </c>
      <c r="AK49" s="215">
        <v>12767.796752404556</v>
      </c>
      <c r="AL49" s="215">
        <v>53477.440735304051</v>
      </c>
      <c r="AM49" s="215">
        <v>41793.780741155715</v>
      </c>
      <c r="AN49" s="215">
        <v>4486.5012670665901</v>
      </c>
      <c r="AO49" s="215">
        <v>0</v>
      </c>
      <c r="AP49" s="215">
        <v>0</v>
      </c>
      <c r="AQ49" s="215">
        <v>46280.282008222304</v>
      </c>
      <c r="AR49" s="215">
        <v>12276.552344242806</v>
      </c>
      <c r="AS49" s="222">
        <v>3.7698109950165151</v>
      </c>
      <c r="AT49" s="215">
        <v>41793.780741155715</v>
      </c>
      <c r="AU49" s="215">
        <v>5310.6811961065805</v>
      </c>
      <c r="AV49" s="215">
        <v>0</v>
      </c>
      <c r="AW49" s="215">
        <v>0</v>
      </c>
      <c r="AX49" s="215">
        <v>47104.461937262298</v>
      </c>
      <c r="AY49" s="215">
        <v>28433.091638656697</v>
      </c>
      <c r="AZ49" s="222">
        <v>1.6566774565316922</v>
      </c>
      <c r="BA49" s="215">
        <v>41793.780741155715</v>
      </c>
      <c r="BB49" s="215">
        <v>9797.1824631731706</v>
      </c>
      <c r="BC49" s="215">
        <v>0</v>
      </c>
      <c r="BD49" s="215">
        <v>0</v>
      </c>
      <c r="BE49" s="215">
        <v>51590.963204328888</v>
      </c>
      <c r="BF49" s="215">
        <v>40709.643982899506</v>
      </c>
      <c r="BG49" s="215">
        <v>28.14833529862949</v>
      </c>
      <c r="BH49" s="222">
        <v>1.2672909452610341</v>
      </c>
      <c r="BI49" s="215">
        <v>11.17880927975941</v>
      </c>
      <c r="BJ49" s="215">
        <v>25.890665371660535</v>
      </c>
      <c r="BK49" s="215">
        <v>0</v>
      </c>
      <c r="BL49" s="215">
        <v>11.626127663178659</v>
      </c>
      <c r="BM49" s="215">
        <v>48.695602314598595</v>
      </c>
      <c r="BN49" s="215">
        <v>41793.780741155715</v>
      </c>
      <c r="BO49" s="215">
        <v>0</v>
      </c>
      <c r="BP49" s="215">
        <v>9797.1824631731706</v>
      </c>
      <c r="BQ49" s="215">
        <v>0</v>
      </c>
      <c r="BR49" s="215">
        <v>0</v>
      </c>
      <c r="BS49" s="215">
        <v>0</v>
      </c>
      <c r="BT49" s="215">
        <v>0</v>
      </c>
      <c r="BU49" s="215">
        <v>0</v>
      </c>
      <c r="BV49" s="215">
        <v>0</v>
      </c>
      <c r="BW49" s="215">
        <v>0</v>
      </c>
      <c r="BX49" s="215">
        <v>75400.60408689655</v>
      </c>
      <c r="BY49" s="215">
        <v>9464.8574885475737</v>
      </c>
      <c r="BZ49" s="215">
        <v>-31388.020840140071</v>
      </c>
      <c r="CA49" s="215">
        <v>0</v>
      </c>
      <c r="CB49" s="215">
        <v>51590.963204328888</v>
      </c>
      <c r="CC49" s="215">
        <v>53477.440735304051</v>
      </c>
      <c r="CD49" s="223">
        <v>0.97777096246276696</v>
      </c>
      <c r="CE49" s="215">
        <v>39.77446296180814</v>
      </c>
      <c r="CF49" s="215">
        <v>767.6779685223346</v>
      </c>
      <c r="CG49" s="215">
        <v>0</v>
      </c>
      <c r="CH49" s="215">
        <v>767.6779685223346</v>
      </c>
      <c r="CI49" s="215">
        <v>38.383502103828974</v>
      </c>
      <c r="CJ49" s="215">
        <v>0</v>
      </c>
      <c r="CK49" s="215">
        <v>38.383502103828974</v>
      </c>
      <c r="CL49" s="215"/>
      <c r="CM49" s="215">
        <v>0</v>
      </c>
      <c r="CN49" s="215"/>
      <c r="CO49" s="215">
        <v>0</v>
      </c>
      <c r="CP49" s="215">
        <v>0</v>
      </c>
      <c r="CQ49" s="215">
        <v>0</v>
      </c>
      <c r="CR49" s="215">
        <v>0</v>
      </c>
      <c r="CS49" s="215">
        <v>0</v>
      </c>
      <c r="CT49" s="215">
        <v>0</v>
      </c>
      <c r="CU49" s="215">
        <v>0</v>
      </c>
      <c r="CV49" s="215">
        <v>9999</v>
      </c>
      <c r="CW49" s="222">
        <v>9999</v>
      </c>
    </row>
    <row r="50" spans="1:101">
      <c r="C50" s="215"/>
      <c r="D50" s="215"/>
      <c r="E50" s="215"/>
      <c r="F50" s="215"/>
      <c r="G50" s="215"/>
      <c r="H50" s="215"/>
      <c r="I50" s="215"/>
      <c r="J50" s="215"/>
      <c r="K50" s="215"/>
      <c r="L50" s="215"/>
      <c r="M50" s="215"/>
      <c r="N50" s="215"/>
      <c r="O50" s="215"/>
      <c r="P50" s="215"/>
      <c r="Q50" s="215"/>
      <c r="R50" s="215"/>
      <c r="S50" s="215"/>
      <c r="T50" s="215"/>
      <c r="U50" s="215"/>
      <c r="V50" s="215"/>
      <c r="W50" s="215"/>
      <c r="X50" s="215"/>
      <c r="Y50" s="215"/>
      <c r="Z50" s="215"/>
      <c r="AA50" s="215"/>
      <c r="AB50" s="215"/>
      <c r="AC50" s="215"/>
      <c r="AD50" s="215"/>
      <c r="AE50" s="215"/>
      <c r="AF50" s="215"/>
      <c r="AG50" s="215"/>
      <c r="AH50" s="215"/>
      <c r="AI50" s="215"/>
      <c r="AJ50" s="215"/>
      <c r="AK50" s="215"/>
      <c r="AL50" s="215"/>
      <c r="AM50" s="215"/>
      <c r="AN50" s="215"/>
      <c r="AO50" s="215"/>
      <c r="AP50" s="215"/>
      <c r="AQ50" s="215"/>
      <c r="AR50" s="215"/>
      <c r="AS50" s="215"/>
      <c r="AT50" s="215"/>
      <c r="AU50" s="215"/>
      <c r="AV50" s="215"/>
      <c r="AW50" s="215"/>
      <c r="AX50" s="215"/>
      <c r="AY50" s="215"/>
      <c r="AZ50" s="215"/>
      <c r="BA50" s="215"/>
      <c r="BB50" s="215"/>
      <c r="BC50" s="215"/>
      <c r="BD50" s="215"/>
      <c r="BE50" s="215"/>
      <c r="BF50" s="215"/>
      <c r="BG50" s="215"/>
      <c r="BH50" s="215"/>
      <c r="BI50" s="215"/>
      <c r="BJ50" s="215"/>
      <c r="BK50" s="215"/>
      <c r="BL50" s="215"/>
      <c r="BM50" s="215"/>
      <c r="BN50" s="215"/>
      <c r="BO50" s="215"/>
      <c r="BP50" s="215"/>
      <c r="BQ50" s="215"/>
      <c r="BR50" s="215"/>
      <c r="BS50" s="215"/>
      <c r="BT50" s="215"/>
      <c r="BU50" s="215"/>
      <c r="BV50" s="215"/>
      <c r="BW50" s="215"/>
      <c r="BX50" s="215"/>
      <c r="BY50" s="215"/>
      <c r="BZ50" s="215"/>
      <c r="CA50" s="215"/>
      <c r="CB50" s="215"/>
      <c r="CC50" s="215"/>
      <c r="CD50" s="215"/>
      <c r="CE50" s="215"/>
      <c r="CF50" s="215"/>
      <c r="CG50" s="215"/>
      <c r="CH50" s="215"/>
      <c r="CI50" s="215"/>
      <c r="CJ50" s="215"/>
      <c r="CK50" s="215"/>
      <c r="CL50" s="215"/>
      <c r="CM50" s="215"/>
      <c r="CN50" s="215"/>
      <c r="CO50" s="215"/>
      <c r="CP50" s="215"/>
      <c r="CQ50" s="215"/>
      <c r="CR50" s="215"/>
      <c r="CS50" s="215"/>
      <c r="CT50" s="215"/>
      <c r="CU50" s="215"/>
      <c r="CV50" s="215"/>
      <c r="CW50" s="215"/>
    </row>
    <row r="51" spans="1:101">
      <c r="C51" s="215"/>
      <c r="D51" s="215"/>
      <c r="E51" s="215"/>
      <c r="F51" s="215"/>
      <c r="G51" s="215"/>
      <c r="H51" s="215"/>
      <c r="I51" s="215"/>
      <c r="J51" s="215"/>
      <c r="K51" s="215"/>
      <c r="L51" s="215"/>
      <c r="M51" s="215"/>
      <c r="N51" s="215"/>
      <c r="O51" s="215"/>
      <c r="P51" s="215"/>
      <c r="Q51" s="215"/>
      <c r="R51" s="215"/>
      <c r="S51" s="215"/>
      <c r="T51" s="215"/>
      <c r="U51" s="215"/>
      <c r="V51" s="215"/>
      <c r="W51" s="215"/>
      <c r="X51" s="215"/>
      <c r="Y51" s="215"/>
      <c r="Z51" s="215"/>
      <c r="AA51" s="215"/>
      <c r="AB51" s="215"/>
      <c r="AC51" s="215"/>
      <c r="AD51" s="215"/>
      <c r="AE51" s="215"/>
      <c r="AF51" s="215"/>
      <c r="AG51" s="215"/>
      <c r="AH51" s="215"/>
      <c r="AI51" s="215"/>
      <c r="AJ51" s="215"/>
      <c r="AK51" s="215"/>
      <c r="AL51" s="215"/>
      <c r="AM51" s="215"/>
      <c r="AN51" s="215"/>
      <c r="AO51" s="215"/>
      <c r="AP51" s="215"/>
      <c r="AQ51" s="215"/>
      <c r="AR51" s="215"/>
      <c r="AS51" s="215"/>
      <c r="AT51" s="215"/>
      <c r="AU51" s="215"/>
      <c r="AV51" s="215"/>
      <c r="AW51" s="215"/>
      <c r="AX51" s="215"/>
      <c r="AY51" s="215"/>
      <c r="AZ51" s="215"/>
      <c r="BA51" s="215"/>
      <c r="BB51" s="215"/>
      <c r="BC51" s="215"/>
      <c r="BD51" s="215"/>
      <c r="BE51" s="215"/>
      <c r="BF51" s="215"/>
      <c r="BG51" s="215"/>
      <c r="BH51" s="215"/>
      <c r="BI51" s="215"/>
      <c r="BJ51" s="215"/>
      <c r="BK51" s="215"/>
      <c r="BL51" s="215"/>
      <c r="BM51" s="215"/>
      <c r="BN51" s="215"/>
      <c r="BO51" s="215"/>
      <c r="BP51" s="215"/>
      <c r="BQ51" s="215"/>
      <c r="BR51" s="215"/>
      <c r="BS51" s="215"/>
      <c r="BT51" s="215"/>
      <c r="BU51" s="215"/>
      <c r="BV51" s="215"/>
      <c r="BW51" s="215"/>
      <c r="BX51" s="215"/>
      <c r="BY51" s="215"/>
      <c r="BZ51" s="215"/>
      <c r="CA51" s="215"/>
      <c r="CB51" s="215"/>
      <c r="CC51" s="215"/>
      <c r="CD51" s="215"/>
      <c r="CE51" s="215"/>
      <c r="CF51" s="215"/>
      <c r="CG51" s="215"/>
      <c r="CH51" s="215"/>
      <c r="CI51" s="215"/>
      <c r="CJ51" s="215"/>
      <c r="CK51" s="215"/>
      <c r="CL51" s="215"/>
      <c r="CM51" s="215"/>
      <c r="CN51" s="215"/>
      <c r="CO51" s="215"/>
      <c r="CP51" s="215"/>
      <c r="CQ51" s="215"/>
      <c r="CR51" s="215"/>
      <c r="CS51" s="215"/>
      <c r="CT51" s="215"/>
      <c r="CU51" s="215"/>
      <c r="CV51" s="215"/>
      <c r="CW51" s="215"/>
    </row>
    <row r="52" spans="1:101" ht="13.5" thickBot="1">
      <c r="A52" s="201" t="s">
        <v>90</v>
      </c>
      <c r="B52" s="200"/>
      <c r="C52" s="215"/>
      <c r="D52" s="215"/>
      <c r="E52" s="215"/>
      <c r="F52" s="215"/>
      <c r="G52" s="215"/>
      <c r="H52" s="215"/>
      <c r="I52" s="215"/>
      <c r="J52" s="215"/>
      <c r="K52" s="215"/>
      <c r="L52" s="215"/>
      <c r="M52" s="215"/>
      <c r="N52" s="215"/>
      <c r="O52" s="215"/>
      <c r="P52" s="215"/>
      <c r="Q52" s="215"/>
      <c r="R52" s="215"/>
      <c r="S52" s="215"/>
      <c r="T52" s="215"/>
      <c r="U52" s="215"/>
      <c r="V52" s="215"/>
      <c r="W52" s="215"/>
      <c r="X52" s="215"/>
      <c r="Y52" s="215"/>
      <c r="Z52" s="215"/>
      <c r="AA52" s="215"/>
      <c r="AB52" s="215"/>
      <c r="AC52" s="215"/>
      <c r="AD52" s="215"/>
      <c r="AE52" s="215"/>
      <c r="AF52" s="215"/>
      <c r="AG52" s="215"/>
      <c r="AH52" s="215"/>
      <c r="AI52" s="215"/>
      <c r="AJ52" s="215"/>
      <c r="AK52" s="215"/>
      <c r="AL52" s="215"/>
      <c r="AM52" s="215"/>
      <c r="AN52" s="215"/>
      <c r="AO52" s="215"/>
      <c r="AP52" s="215"/>
      <c r="AQ52" s="215"/>
      <c r="AR52" s="215"/>
      <c r="AS52" s="215"/>
      <c r="AT52" s="215"/>
      <c r="AU52" s="215"/>
      <c r="AV52" s="215"/>
      <c r="AW52" s="215"/>
      <c r="AX52" s="215"/>
      <c r="AY52" s="215"/>
      <c r="AZ52" s="215"/>
      <c r="BA52" s="215"/>
      <c r="BB52" s="215"/>
      <c r="BC52" s="215"/>
      <c r="BD52" s="215"/>
      <c r="BE52" s="215"/>
      <c r="BF52" s="215"/>
      <c r="BG52" s="215"/>
      <c r="BH52" s="215"/>
      <c r="BI52" s="215"/>
      <c r="BJ52" s="215"/>
      <c r="BK52" s="215"/>
      <c r="BL52" s="215"/>
      <c r="BM52" s="215"/>
      <c r="BN52" s="215"/>
      <c r="BO52" s="215"/>
      <c r="BP52" s="215"/>
      <c r="BQ52" s="215"/>
      <c r="BR52" s="215"/>
      <c r="BS52" s="215"/>
      <c r="BT52" s="215"/>
      <c r="BU52" s="215"/>
      <c r="BV52" s="215"/>
      <c r="BW52" s="215"/>
      <c r="BX52" s="215"/>
      <c r="BY52" s="215"/>
      <c r="BZ52" s="215"/>
      <c r="CA52" s="215"/>
      <c r="CB52" s="215"/>
      <c r="CC52" s="215"/>
      <c r="CD52" s="215"/>
      <c r="CE52" s="215"/>
      <c r="CF52" s="215"/>
      <c r="CG52" s="215"/>
      <c r="CH52" s="215"/>
      <c r="CI52" s="215"/>
      <c r="CJ52" s="215"/>
      <c r="CK52" s="215"/>
      <c r="CL52" s="215"/>
      <c r="CM52" s="215"/>
      <c r="CN52" s="215"/>
      <c r="CO52" s="215"/>
      <c r="CP52" s="215"/>
      <c r="CQ52" s="215"/>
      <c r="CR52" s="215"/>
      <c r="CS52" s="215"/>
      <c r="CT52" s="215"/>
      <c r="CU52" s="215"/>
      <c r="CV52" s="215"/>
      <c r="CW52" s="215"/>
    </row>
    <row r="53" spans="1:101" ht="13.5" thickBot="1">
      <c r="A53" s="226" t="s">
        <v>738</v>
      </c>
      <c r="B53" s="227"/>
      <c r="C53" s="228"/>
      <c r="D53" s="228"/>
      <c r="E53" s="228"/>
      <c r="F53" s="228"/>
      <c r="G53" s="228"/>
      <c r="H53" s="228"/>
      <c r="I53" s="228"/>
      <c r="J53" s="228"/>
      <c r="K53" s="228"/>
      <c r="L53" s="229"/>
      <c r="M53" s="224"/>
      <c r="N53" s="230" t="s">
        <v>1320</v>
      </c>
      <c r="O53" s="228"/>
      <c r="P53" s="228"/>
      <c r="Q53" s="228"/>
      <c r="R53" s="228"/>
      <c r="S53" s="228"/>
      <c r="T53" s="228"/>
      <c r="U53" s="228"/>
      <c r="V53" s="228"/>
      <c r="W53" s="228"/>
      <c r="X53" s="228"/>
      <c r="Y53" s="229"/>
      <c r="Z53" s="224"/>
      <c r="AA53" s="230" t="s">
        <v>1321</v>
      </c>
      <c r="AB53" s="228"/>
      <c r="AC53" s="228"/>
      <c r="AD53" s="228"/>
      <c r="AE53" s="228"/>
      <c r="AF53" s="228"/>
      <c r="AG53" s="228"/>
      <c r="AH53" s="228"/>
      <c r="AI53" s="228"/>
      <c r="AJ53" s="228"/>
      <c r="AK53" s="228"/>
      <c r="AL53" s="229"/>
      <c r="AM53" s="215"/>
      <c r="AN53" s="215"/>
      <c r="AO53" s="215"/>
      <c r="AP53" s="215"/>
      <c r="AQ53" s="215"/>
      <c r="AR53" s="215"/>
      <c r="AS53" s="215"/>
      <c r="AT53" s="215"/>
      <c r="AU53" s="215"/>
      <c r="AV53" s="215"/>
      <c r="AW53" s="215"/>
      <c r="AX53" s="215"/>
      <c r="AY53" s="215"/>
      <c r="AZ53" s="215"/>
      <c r="BA53" s="215"/>
      <c r="BB53" s="215"/>
      <c r="BC53" s="215"/>
      <c r="BD53" s="215"/>
      <c r="BE53" s="215"/>
      <c r="BF53" s="215"/>
      <c r="BG53" s="215"/>
      <c r="BH53" s="215"/>
      <c r="BI53" s="215"/>
      <c r="BJ53" s="215"/>
      <c r="BK53" s="215"/>
      <c r="BL53" s="215"/>
      <c r="BM53" s="215"/>
      <c r="BN53" s="215"/>
      <c r="BO53" s="215"/>
      <c r="BP53" s="215"/>
      <c r="BQ53" s="215"/>
      <c r="BR53" s="215"/>
      <c r="BS53" s="215"/>
      <c r="BT53" s="215"/>
      <c r="BU53" s="215"/>
      <c r="BV53" s="215"/>
      <c r="BW53" s="215"/>
      <c r="BX53" s="215"/>
      <c r="BY53" s="215"/>
      <c r="BZ53" s="215"/>
      <c r="CA53" s="215"/>
      <c r="CB53" s="215"/>
      <c r="CC53" s="215"/>
      <c r="CD53" s="215"/>
      <c r="CE53" s="215"/>
      <c r="CF53" s="215"/>
      <c r="CG53" s="215"/>
      <c r="CH53" s="215"/>
      <c r="CI53" s="215"/>
      <c r="CJ53" s="215"/>
      <c r="CK53" s="215"/>
      <c r="CL53" s="215"/>
      <c r="CM53" s="215"/>
      <c r="CN53" s="215"/>
      <c r="CO53" s="215"/>
      <c r="CP53" s="215"/>
      <c r="CQ53" s="215"/>
      <c r="CR53" s="215"/>
      <c r="CS53" s="215"/>
      <c r="CT53" s="215"/>
      <c r="CU53" s="215"/>
      <c r="CV53" s="215"/>
      <c r="CW53" s="215"/>
    </row>
    <row r="54" spans="1:101" ht="102">
      <c r="A54" s="214"/>
      <c r="B54" s="213" t="s">
        <v>739</v>
      </c>
      <c r="C54" s="220" t="s">
        <v>740</v>
      </c>
      <c r="D54" s="220" t="s">
        <v>741</v>
      </c>
      <c r="E54" s="220" t="s">
        <v>742</v>
      </c>
      <c r="F54" s="220" t="s">
        <v>743</v>
      </c>
      <c r="G54" s="220" t="s">
        <v>744</v>
      </c>
      <c r="H54" s="220" t="s">
        <v>745</v>
      </c>
      <c r="I54" s="220" t="s">
        <v>746</v>
      </c>
      <c r="J54" s="220" t="s">
        <v>747</v>
      </c>
      <c r="K54" s="220" t="s">
        <v>722</v>
      </c>
      <c r="L54" s="220" t="s">
        <v>721</v>
      </c>
      <c r="M54" s="220" t="s">
        <v>748</v>
      </c>
      <c r="N54" s="220" t="s">
        <v>749</v>
      </c>
      <c r="O54" s="220" t="s">
        <v>750</v>
      </c>
      <c r="P54" s="220" t="s">
        <v>751</v>
      </c>
      <c r="Q54" s="220" t="s">
        <v>752</v>
      </c>
      <c r="R54" s="220" t="s">
        <v>753</v>
      </c>
      <c r="S54" s="220" t="s">
        <v>754</v>
      </c>
      <c r="T54" s="220" t="s">
        <v>755</v>
      </c>
      <c r="U54" s="220" t="s">
        <v>756</v>
      </c>
      <c r="V54" s="220" t="s">
        <v>757</v>
      </c>
      <c r="W54" s="220" t="s">
        <v>758</v>
      </c>
      <c r="X54" s="220" t="s">
        <v>759</v>
      </c>
      <c r="Y54" s="220" t="s">
        <v>760</v>
      </c>
      <c r="Z54" s="220"/>
      <c r="AA54" s="220" t="s">
        <v>749</v>
      </c>
      <c r="AB54" s="220" t="s">
        <v>750</v>
      </c>
      <c r="AC54" s="220" t="s">
        <v>751</v>
      </c>
      <c r="AD54" s="220" t="s">
        <v>752</v>
      </c>
      <c r="AE54" s="220" t="s">
        <v>753</v>
      </c>
      <c r="AF54" s="220" t="s">
        <v>754</v>
      </c>
      <c r="AG54" s="220" t="s">
        <v>755</v>
      </c>
      <c r="AH54" s="220" t="s">
        <v>756</v>
      </c>
      <c r="AI54" s="220" t="s">
        <v>757</v>
      </c>
      <c r="AJ54" s="220" t="s">
        <v>758</v>
      </c>
      <c r="AK54" s="220" t="s">
        <v>759</v>
      </c>
      <c r="AL54" s="220" t="s">
        <v>760</v>
      </c>
      <c r="AM54" s="215"/>
      <c r="AN54" s="215"/>
      <c r="AO54" s="215"/>
      <c r="AP54" s="215"/>
      <c r="AQ54" s="215"/>
      <c r="AR54" s="215"/>
      <c r="AS54" s="215"/>
      <c r="AT54" s="215"/>
      <c r="AU54" s="215"/>
      <c r="AV54" s="215"/>
      <c r="AW54" s="215"/>
      <c r="AX54" s="215"/>
      <c r="AY54" s="215"/>
      <c r="AZ54" s="215"/>
      <c r="BA54" s="215"/>
      <c r="BB54" s="215"/>
      <c r="BC54" s="215"/>
      <c r="BD54" s="215"/>
      <c r="BE54" s="215"/>
      <c r="BF54" s="215"/>
      <c r="BG54" s="215"/>
      <c r="BH54" s="215"/>
      <c r="BI54" s="215"/>
      <c r="BJ54" s="215"/>
      <c r="BK54" s="215"/>
      <c r="BL54" s="215"/>
      <c r="BM54" s="215"/>
      <c r="BN54" s="215"/>
      <c r="BO54" s="215"/>
      <c r="BP54" s="215"/>
      <c r="BQ54" s="215"/>
      <c r="BR54" s="215"/>
      <c r="BS54" s="215"/>
      <c r="BT54" s="215"/>
      <c r="BU54" s="215"/>
      <c r="BV54" s="215"/>
      <c r="BW54" s="215"/>
      <c r="BX54" s="215"/>
      <c r="BY54" s="215"/>
      <c r="BZ54" s="215"/>
      <c r="CA54" s="215"/>
      <c r="CB54" s="215"/>
      <c r="CC54" s="215"/>
      <c r="CD54" s="215"/>
      <c r="CE54" s="215"/>
      <c r="CF54" s="215"/>
      <c r="CG54" s="215"/>
      <c r="CH54" s="215"/>
      <c r="CI54" s="215"/>
      <c r="CJ54" s="215"/>
      <c r="CK54" s="215"/>
      <c r="CL54" s="215"/>
      <c r="CM54" s="215"/>
      <c r="CN54" s="215"/>
      <c r="CO54" s="215"/>
      <c r="CP54" s="215"/>
      <c r="CQ54" s="215"/>
      <c r="CR54" s="215"/>
      <c r="CS54" s="215"/>
      <c r="CT54" s="215"/>
      <c r="CU54" s="215"/>
      <c r="CV54" s="215"/>
      <c r="CW54" s="215"/>
    </row>
    <row r="55" spans="1:101">
      <c r="B55" s="41" t="s">
        <v>761</v>
      </c>
      <c r="C55" s="239">
        <v>223428.39475487432</v>
      </c>
      <c r="D55" s="239">
        <v>107171.08546913849</v>
      </c>
      <c r="E55" s="239">
        <v>0</v>
      </c>
      <c r="F55" s="239">
        <v>107171.08546913849</v>
      </c>
      <c r="G55" s="239">
        <v>83966.68389712424</v>
      </c>
      <c r="H55" s="239">
        <v>142646.46511865</v>
      </c>
      <c r="I55" s="239">
        <v>4201.877338552431</v>
      </c>
      <c r="J55" s="239">
        <v>14.381378873621154</v>
      </c>
      <c r="K55" s="239">
        <v>18.731637624010109</v>
      </c>
      <c r="L55" s="222">
        <v>1.5491346147378748</v>
      </c>
      <c r="M55" s="215">
        <v>2122.5916664023234</v>
      </c>
      <c r="N55" s="231">
        <v>11322.332016006845</v>
      </c>
      <c r="O55" s="231">
        <v>10728.855426736503</v>
      </c>
      <c r="P55" s="231">
        <v>12876.449780784373</v>
      </c>
      <c r="Q55" s="231">
        <v>12235.842946908457</v>
      </c>
      <c r="R55" s="231">
        <v>13618.328487777133</v>
      </c>
      <c r="S55" s="231">
        <v>15217.911777934414</v>
      </c>
      <c r="T55" s="231">
        <v>16072.190228335818</v>
      </c>
      <c r="U55" s="231">
        <v>17287.36795234957</v>
      </c>
      <c r="V55" s="231">
        <v>14767.805397866387</v>
      </c>
      <c r="W55" s="231">
        <v>14420.251341245857</v>
      </c>
      <c r="X55" s="231">
        <v>11435.132312446696</v>
      </c>
      <c r="Y55" s="231">
        <v>11303.052715537573</v>
      </c>
      <c r="Z55" s="231"/>
      <c r="AA55" s="231">
        <v>4280.9799413785449</v>
      </c>
      <c r="AB55" s="231">
        <v>3703.0777556567887</v>
      </c>
      <c r="AC55" s="231">
        <v>3942.957716492861</v>
      </c>
      <c r="AD55" s="231">
        <v>4727.3719178347555</v>
      </c>
      <c r="AE55" s="231">
        <v>5284.468026075745</v>
      </c>
      <c r="AF55" s="231">
        <v>5895.5266290734398</v>
      </c>
      <c r="AG55" s="231">
        <v>7261.4153529036203</v>
      </c>
      <c r="AH55" s="231">
        <v>6744.9555023217154</v>
      </c>
      <c r="AI55" s="231">
        <v>6893.3286874592623</v>
      </c>
      <c r="AJ55" s="231">
        <v>5083.3063282336925</v>
      </c>
      <c r="AK55" s="231">
        <v>4037.2934770514198</v>
      </c>
      <c r="AL55" s="231">
        <v>4288.1930364628333</v>
      </c>
      <c r="AM55" s="215"/>
      <c r="AN55" s="215"/>
      <c r="AO55" s="215"/>
      <c r="AP55" s="215"/>
      <c r="AQ55" s="215"/>
      <c r="AR55" s="215"/>
      <c r="AS55" s="215"/>
      <c r="AT55" s="215"/>
      <c r="AU55" s="215"/>
      <c r="AV55" s="215"/>
      <c r="AW55" s="215"/>
      <c r="AX55" s="215"/>
      <c r="AY55" s="215"/>
      <c r="AZ55" s="215"/>
      <c r="BA55" s="215"/>
      <c r="BB55" s="215"/>
      <c r="BC55" s="215"/>
      <c r="BD55" s="215"/>
      <c r="BE55" s="215"/>
      <c r="BF55" s="215"/>
      <c r="BG55" s="215"/>
      <c r="BH55" s="215"/>
      <c r="BI55" s="215"/>
      <c r="BJ55" s="215"/>
      <c r="BK55" s="215"/>
      <c r="BL55" s="215"/>
      <c r="BM55" s="215"/>
      <c r="BN55" s="215"/>
      <c r="BO55" s="215"/>
      <c r="BP55" s="215"/>
      <c r="BQ55" s="215"/>
      <c r="BR55" s="215"/>
      <c r="BS55" s="215"/>
      <c r="BT55" s="215"/>
      <c r="BU55" s="215"/>
      <c r="BV55" s="215"/>
      <c r="BW55" s="215"/>
      <c r="BX55" s="215"/>
      <c r="BY55" s="215"/>
      <c r="BZ55" s="215"/>
      <c r="CA55" s="215"/>
      <c r="CB55" s="215"/>
      <c r="CC55" s="215"/>
      <c r="CD55" s="215"/>
      <c r="CE55" s="215"/>
      <c r="CF55" s="215"/>
      <c r="CG55" s="215"/>
      <c r="CH55" s="215"/>
      <c r="CI55" s="215"/>
      <c r="CJ55" s="215"/>
      <c r="CK55" s="215"/>
      <c r="CL55" s="215"/>
      <c r="CM55" s="215"/>
      <c r="CN55" s="215"/>
      <c r="CO55" s="215"/>
      <c r="CP55" s="215"/>
      <c r="CQ55" s="215"/>
      <c r="CR55" s="215"/>
      <c r="CS55" s="215"/>
      <c r="CT55" s="215"/>
      <c r="CU55" s="215"/>
      <c r="CV55" s="215"/>
      <c r="CW55" s="215"/>
    </row>
    <row r="56" spans="1:101">
      <c r="B56" s="41" t="s">
        <v>762</v>
      </c>
      <c r="C56" s="239">
        <v>142621.02190470806</v>
      </c>
      <c r="D56" s="239">
        <v>59846.798026400626</v>
      </c>
      <c r="E56" s="239">
        <v>11969.359605280126</v>
      </c>
      <c r="F56" s="239">
        <v>71816.157631680748</v>
      </c>
      <c r="G56" s="239">
        <v>51923.460255647893</v>
      </c>
      <c r="H56" s="239">
        <v>91055.501914321125</v>
      </c>
      <c r="I56" s="239">
        <v>4411.0575878068075</v>
      </c>
      <c r="J56" s="239">
        <v>17.639633678095233</v>
      </c>
      <c r="K56" s="239">
        <v>17.867471734867472</v>
      </c>
      <c r="L56" s="222">
        <v>1.6022005850762615</v>
      </c>
      <c r="M56" s="215">
        <v>1354.9136978799886</v>
      </c>
      <c r="N56" s="231">
        <v>6251.8723355424563</v>
      </c>
      <c r="O56" s="231">
        <v>5924.1713049591908</v>
      </c>
      <c r="P56" s="231">
        <v>7110.0123234929579</v>
      </c>
      <c r="Q56" s="231">
        <v>6756.2873013856515</v>
      </c>
      <c r="R56" s="231">
        <v>7519.656817049492</v>
      </c>
      <c r="S56" s="231">
        <v>8402.901585529371</v>
      </c>
      <c r="T56" s="231">
        <v>8874.6100465923428</v>
      </c>
      <c r="U56" s="231">
        <v>9545.596905552904</v>
      </c>
      <c r="V56" s="231">
        <v>8154.3655399850268</v>
      </c>
      <c r="W56" s="231">
        <v>7962.4559944409139</v>
      </c>
      <c r="X56" s="231">
        <v>6314.1574771331016</v>
      </c>
      <c r="Y56" s="231">
        <v>6241.2268496935994</v>
      </c>
      <c r="Z56" s="231"/>
      <c r="AA56" s="231">
        <v>2363.8363569165022</v>
      </c>
      <c r="AB56" s="231">
        <v>2044.735072617864</v>
      </c>
      <c r="AC56" s="231">
        <v>2177.190019962798</v>
      </c>
      <c r="AD56" s="231">
        <v>2610.3214135699586</v>
      </c>
      <c r="AE56" s="231">
        <v>2917.9341688244685</v>
      </c>
      <c r="AF56" s="231">
        <v>3255.3434913982674</v>
      </c>
      <c r="AG56" s="231">
        <v>4009.5487128906993</v>
      </c>
      <c r="AH56" s="231">
        <v>3724.3741527641587</v>
      </c>
      <c r="AI56" s="231">
        <v>3806.3016399802505</v>
      </c>
      <c r="AJ56" s="231">
        <v>2806.8583540602035</v>
      </c>
      <c r="AK56" s="231">
        <v>2229.2795657255106</v>
      </c>
      <c r="AL56" s="231">
        <v>2367.819224540181</v>
      </c>
      <c r="AM56" s="215"/>
      <c r="AN56" s="215"/>
      <c r="AO56" s="215"/>
      <c r="AP56" s="215"/>
      <c r="AQ56" s="215"/>
      <c r="AR56" s="215"/>
      <c r="AS56" s="215"/>
      <c r="AT56" s="215"/>
      <c r="AU56" s="215"/>
      <c r="AV56" s="215"/>
      <c r="AW56" s="215"/>
      <c r="AX56" s="215"/>
      <c r="AY56" s="215"/>
      <c r="AZ56" s="215"/>
      <c r="BA56" s="215"/>
      <c r="BB56" s="215"/>
      <c r="BC56" s="215"/>
      <c r="BD56" s="215"/>
      <c r="BE56" s="215"/>
      <c r="BF56" s="215"/>
      <c r="BG56" s="215"/>
      <c r="BH56" s="215"/>
      <c r="BI56" s="215"/>
      <c r="BJ56" s="215"/>
      <c r="BK56" s="215"/>
      <c r="BL56" s="215"/>
      <c r="BM56" s="215"/>
      <c r="BN56" s="215"/>
      <c r="BO56" s="215"/>
      <c r="BP56" s="215"/>
      <c r="BQ56" s="215"/>
      <c r="BR56" s="215"/>
      <c r="BS56" s="215"/>
      <c r="BT56" s="215"/>
      <c r="BU56" s="215"/>
      <c r="BV56" s="215"/>
      <c r="BW56" s="215"/>
      <c r="BX56" s="215"/>
      <c r="BY56" s="215"/>
      <c r="BZ56" s="215"/>
      <c r="CA56" s="215"/>
      <c r="CB56" s="215"/>
      <c r="CC56" s="215"/>
      <c r="CD56" s="215"/>
      <c r="CE56" s="215"/>
      <c r="CF56" s="215"/>
      <c r="CG56" s="215"/>
      <c r="CH56" s="215"/>
      <c r="CI56" s="215"/>
      <c r="CJ56" s="215"/>
      <c r="CK56" s="215"/>
      <c r="CL56" s="215"/>
      <c r="CM56" s="215"/>
      <c r="CN56" s="215"/>
      <c r="CO56" s="215"/>
      <c r="CP56" s="215"/>
      <c r="CQ56" s="215"/>
      <c r="CR56" s="215"/>
      <c r="CS56" s="215"/>
      <c r="CT56" s="215"/>
      <c r="CU56" s="215"/>
      <c r="CV56" s="215"/>
      <c r="CW56" s="215"/>
    </row>
    <row r="57" spans="1:101">
      <c r="B57" s="41" t="s">
        <v>763</v>
      </c>
      <c r="C57" s="233"/>
      <c r="D57" s="233"/>
      <c r="E57" s="233"/>
      <c r="F57" s="233"/>
      <c r="G57" s="233"/>
      <c r="H57" s="233"/>
      <c r="I57" s="233"/>
      <c r="J57" s="233"/>
      <c r="K57" s="233"/>
      <c r="L57" s="223"/>
      <c r="M57" s="232"/>
      <c r="N57" s="232"/>
      <c r="O57" s="232"/>
      <c r="P57" s="232"/>
      <c r="Q57" s="232"/>
      <c r="R57" s="232"/>
      <c r="S57" s="232"/>
      <c r="T57" s="232"/>
      <c r="U57" s="232"/>
      <c r="V57" s="232"/>
      <c r="W57" s="232"/>
      <c r="X57" s="232"/>
      <c r="Y57" s="232"/>
      <c r="Z57" s="232"/>
      <c r="AA57" s="232"/>
      <c r="AB57" s="232"/>
      <c r="AC57" s="232"/>
      <c r="AD57" s="232"/>
      <c r="AE57" s="232"/>
      <c r="AF57" s="232"/>
      <c r="AG57" s="232"/>
      <c r="AH57" s="232"/>
      <c r="AI57" s="232"/>
      <c r="AJ57" s="232"/>
      <c r="AK57" s="232"/>
      <c r="AL57" s="232"/>
      <c r="AM57" s="215"/>
      <c r="AN57" s="215"/>
      <c r="AO57" s="215"/>
      <c r="AP57" s="215"/>
      <c r="AQ57" s="215"/>
      <c r="AR57" s="215"/>
      <c r="AS57" s="215"/>
      <c r="AT57" s="215"/>
      <c r="AU57" s="215"/>
      <c r="AV57" s="215"/>
      <c r="AW57" s="215"/>
      <c r="AX57" s="215"/>
      <c r="AY57" s="215"/>
      <c r="AZ57" s="215"/>
      <c r="BA57" s="215"/>
      <c r="BB57" s="215"/>
      <c r="BC57" s="215"/>
      <c r="BD57" s="215"/>
      <c r="BE57" s="215"/>
      <c r="BF57" s="215"/>
      <c r="BG57" s="215"/>
      <c r="BH57" s="215"/>
      <c r="BI57" s="215"/>
      <c r="BJ57" s="215"/>
      <c r="BK57" s="215"/>
      <c r="BL57" s="215"/>
      <c r="BM57" s="215"/>
      <c r="BN57" s="215"/>
      <c r="BO57" s="215"/>
      <c r="BP57" s="215"/>
      <c r="BQ57" s="215"/>
      <c r="BR57" s="215"/>
      <c r="BS57" s="215"/>
      <c r="BT57" s="215"/>
      <c r="BU57" s="215"/>
      <c r="BV57" s="215"/>
      <c r="BW57" s="215"/>
      <c r="BX57" s="215"/>
      <c r="BY57" s="215"/>
      <c r="BZ57" s="215"/>
      <c r="CA57" s="215"/>
      <c r="CB57" s="215"/>
      <c r="CC57" s="215"/>
      <c r="CD57" s="215"/>
      <c r="CE57" s="215"/>
      <c r="CF57" s="215"/>
      <c r="CG57" s="215"/>
      <c r="CH57" s="215"/>
      <c r="CI57" s="215"/>
      <c r="CJ57" s="215"/>
      <c r="CK57" s="215"/>
      <c r="CL57" s="215"/>
      <c r="CM57" s="215"/>
      <c r="CN57" s="215"/>
      <c r="CO57" s="215"/>
      <c r="CP57" s="215"/>
      <c r="CQ57" s="215"/>
      <c r="CR57" s="215"/>
      <c r="CS57" s="215"/>
      <c r="CT57" s="215"/>
      <c r="CU57" s="215"/>
      <c r="CV57" s="215"/>
      <c r="CW57" s="215"/>
    </row>
    <row r="58" spans="1:101">
      <c r="B58" t="s">
        <v>764</v>
      </c>
      <c r="C58" s="215">
        <v>42563.483804441617</v>
      </c>
      <c r="D58" s="215">
        <v>8953.6568683722271</v>
      </c>
      <c r="E58" s="215">
        <v>1790.7313736744454</v>
      </c>
      <c r="F58" s="215">
        <v>10744.388242046673</v>
      </c>
      <c r="G58" s="215">
        <v>-476.57184088134454</v>
      </c>
      <c r="H58" s="215">
        <v>27174.390768459165</v>
      </c>
      <c r="I58" s="215">
        <v>2211.304916504675</v>
      </c>
      <c r="J58" s="215">
        <v>4.3940275477090278</v>
      </c>
      <c r="K58" s="215">
        <v>-9.7450143525555504</v>
      </c>
      <c r="L58" s="222">
        <v>2.7221180311715329</v>
      </c>
      <c r="M58" s="215">
        <v>404.35727122094892</v>
      </c>
      <c r="N58" s="231">
        <v>2156.9232322531584</v>
      </c>
      <c r="O58" s="231">
        <v>2043.8649469647689</v>
      </c>
      <c r="P58" s="231">
        <v>2452.985272102103</v>
      </c>
      <c r="Q58" s="231">
        <v>2330.9485961970258</v>
      </c>
      <c r="R58" s="231">
        <v>2594.3144096299889</v>
      </c>
      <c r="S58" s="231">
        <v>2899.0377082920072</v>
      </c>
      <c r="T58" s="231">
        <v>3061.779185390456</v>
      </c>
      <c r="U58" s="231">
        <v>3293.2725792015813</v>
      </c>
      <c r="V58" s="231">
        <v>2813.2916882334562</v>
      </c>
      <c r="W58" s="231">
        <v>2747.0820577325276</v>
      </c>
      <c r="X58" s="231">
        <v>2178.41187784774</v>
      </c>
      <c r="Y58" s="231">
        <v>2153.250493189777</v>
      </c>
      <c r="Z58" s="231"/>
      <c r="AA58" s="231">
        <v>815.53385639239559</v>
      </c>
      <c r="AB58" s="231">
        <v>705.44252109230706</v>
      </c>
      <c r="AC58" s="231">
        <v>751.14005581817707</v>
      </c>
      <c r="AD58" s="231">
        <v>900.57227633526657</v>
      </c>
      <c r="AE58" s="231">
        <v>1006.7000189914651</v>
      </c>
      <c r="AF58" s="231">
        <v>1123.1077073732017</v>
      </c>
      <c r="AG58" s="231">
        <v>1383.311799333841</v>
      </c>
      <c r="AH58" s="231">
        <v>1284.9253318931012</v>
      </c>
      <c r="AI58" s="231">
        <v>1313.190672426671</v>
      </c>
      <c r="AJ58" s="231">
        <v>968.37837828161787</v>
      </c>
      <c r="AK58" s="231">
        <v>769.11117636943504</v>
      </c>
      <c r="AL58" s="231">
        <v>816.90796309954362</v>
      </c>
      <c r="AM58" s="215"/>
      <c r="AN58" s="215"/>
      <c r="AO58" s="215"/>
      <c r="AP58" s="215"/>
      <c r="AQ58" s="215"/>
      <c r="AR58" s="215"/>
      <c r="AS58" s="215"/>
      <c r="AT58" s="215"/>
      <c r="AU58" s="215"/>
      <c r="AV58" s="215"/>
      <c r="AW58" s="215"/>
      <c r="AX58" s="215"/>
      <c r="AY58" s="215"/>
      <c r="AZ58" s="215"/>
      <c r="BA58" s="215"/>
      <c r="BB58" s="215"/>
      <c r="BC58" s="215"/>
      <c r="BD58" s="215"/>
      <c r="BE58" s="215"/>
      <c r="BF58" s="215"/>
      <c r="BG58" s="215"/>
      <c r="BH58" s="215"/>
      <c r="BI58" s="215"/>
      <c r="BJ58" s="215"/>
      <c r="BK58" s="215"/>
      <c r="BL58" s="215"/>
      <c r="BM58" s="215"/>
      <c r="BN58" s="215"/>
      <c r="BO58" s="215"/>
      <c r="BP58" s="215"/>
      <c r="BQ58" s="215"/>
      <c r="BR58" s="215"/>
      <c r="BS58" s="215"/>
      <c r="BT58" s="215"/>
      <c r="BU58" s="215"/>
      <c r="BV58" s="215"/>
      <c r="BW58" s="215"/>
      <c r="BX58" s="215"/>
      <c r="BY58" s="215"/>
      <c r="BZ58" s="215"/>
      <c r="CA58" s="215"/>
      <c r="CB58" s="215"/>
      <c r="CC58" s="215"/>
      <c r="CD58" s="215"/>
      <c r="CE58" s="215"/>
      <c r="CF58" s="215"/>
      <c r="CG58" s="215"/>
      <c r="CH58" s="215"/>
      <c r="CI58" s="215"/>
      <c r="CJ58" s="215"/>
      <c r="CK58" s="215"/>
      <c r="CL58" s="215"/>
      <c r="CM58" s="215"/>
      <c r="CN58" s="215"/>
      <c r="CO58" s="215"/>
      <c r="CP58" s="215"/>
      <c r="CQ58" s="215"/>
      <c r="CR58" s="215"/>
      <c r="CS58" s="215"/>
      <c r="CT58" s="215"/>
      <c r="CU58" s="215"/>
      <c r="CV58" s="215"/>
      <c r="CW58" s="215"/>
    </row>
    <row r="59" spans="1:101">
      <c r="B59" t="s">
        <v>765</v>
      </c>
      <c r="C59" s="232">
        <v>0</v>
      </c>
      <c r="D59" s="232">
        <v>0</v>
      </c>
      <c r="E59" s="232">
        <v>0</v>
      </c>
      <c r="F59" s="232">
        <v>0</v>
      </c>
      <c r="G59" s="232">
        <v>0</v>
      </c>
      <c r="H59" s="232">
        <v>0</v>
      </c>
      <c r="I59" s="232">
        <v>0</v>
      </c>
      <c r="J59" s="232">
        <v>0</v>
      </c>
      <c r="K59" s="232">
        <v>0</v>
      </c>
      <c r="L59" s="234">
        <v>0</v>
      </c>
      <c r="M59" s="232">
        <v>0</v>
      </c>
      <c r="N59" s="232">
        <v>0</v>
      </c>
      <c r="O59" s="232">
        <v>0</v>
      </c>
      <c r="P59" s="232">
        <v>0</v>
      </c>
      <c r="Q59" s="232">
        <v>0</v>
      </c>
      <c r="R59" s="232">
        <v>0</v>
      </c>
      <c r="S59" s="232">
        <v>0</v>
      </c>
      <c r="T59" s="232">
        <v>0</v>
      </c>
      <c r="U59" s="232">
        <v>0</v>
      </c>
      <c r="V59" s="232">
        <v>0</v>
      </c>
      <c r="W59" s="232">
        <v>0</v>
      </c>
      <c r="X59" s="232">
        <v>0</v>
      </c>
      <c r="Y59" s="232">
        <v>0</v>
      </c>
      <c r="Z59" s="232"/>
      <c r="AA59" s="232">
        <v>0</v>
      </c>
      <c r="AB59" s="232">
        <v>0</v>
      </c>
      <c r="AC59" s="232">
        <v>0</v>
      </c>
      <c r="AD59" s="232">
        <v>0</v>
      </c>
      <c r="AE59" s="232">
        <v>0</v>
      </c>
      <c r="AF59" s="232">
        <v>0</v>
      </c>
      <c r="AG59" s="232">
        <v>0</v>
      </c>
      <c r="AH59" s="232">
        <v>0</v>
      </c>
      <c r="AI59" s="232">
        <v>0</v>
      </c>
      <c r="AJ59" s="232">
        <v>0</v>
      </c>
      <c r="AK59" s="232">
        <v>0</v>
      </c>
      <c r="AL59" s="232">
        <v>0</v>
      </c>
      <c r="AM59" s="215"/>
      <c r="AN59" s="215"/>
      <c r="AO59" s="215"/>
      <c r="AP59" s="215"/>
      <c r="AQ59" s="215"/>
      <c r="AR59" s="215"/>
      <c r="AS59" s="215"/>
      <c r="AT59" s="215"/>
      <c r="AU59" s="215"/>
      <c r="AV59" s="215"/>
      <c r="AW59" s="215"/>
      <c r="AX59" s="215"/>
      <c r="AY59" s="215"/>
      <c r="AZ59" s="215"/>
      <c r="BA59" s="215"/>
      <c r="BB59" s="215"/>
      <c r="BC59" s="215"/>
      <c r="BD59" s="215"/>
      <c r="BE59" s="215"/>
      <c r="BF59" s="215"/>
      <c r="BG59" s="215"/>
      <c r="BH59" s="215"/>
      <c r="BI59" s="215"/>
      <c r="BJ59" s="215"/>
      <c r="BK59" s="215"/>
      <c r="BL59" s="215"/>
      <c r="BM59" s="215"/>
      <c r="BN59" s="215"/>
      <c r="BO59" s="215"/>
      <c r="BP59" s="215"/>
      <c r="BQ59" s="215"/>
      <c r="BR59" s="215"/>
      <c r="BS59" s="215"/>
      <c r="BT59" s="215"/>
      <c r="BU59" s="215"/>
      <c r="BV59" s="215"/>
      <c r="BW59" s="215"/>
      <c r="BX59" s="215"/>
      <c r="BY59" s="215"/>
      <c r="BZ59" s="215"/>
      <c r="CA59" s="215"/>
      <c r="CB59" s="215"/>
      <c r="CC59" s="215"/>
      <c r="CD59" s="215"/>
      <c r="CE59" s="215"/>
      <c r="CF59" s="215"/>
      <c r="CG59" s="215"/>
      <c r="CH59" s="215"/>
      <c r="CI59" s="215"/>
      <c r="CJ59" s="215"/>
      <c r="CK59" s="215"/>
      <c r="CL59" s="215"/>
      <c r="CM59" s="215"/>
      <c r="CN59" s="215"/>
      <c r="CO59" s="215"/>
      <c r="CP59" s="215"/>
      <c r="CQ59" s="215"/>
      <c r="CR59" s="215"/>
      <c r="CS59" s="215"/>
      <c r="CT59" s="215"/>
      <c r="CU59" s="215"/>
      <c r="CV59" s="215"/>
      <c r="CW59" s="215"/>
    </row>
    <row r="60" spans="1:101">
      <c r="B60" t="s">
        <v>766</v>
      </c>
      <c r="C60" s="232">
        <v>0</v>
      </c>
      <c r="D60" s="232">
        <v>0</v>
      </c>
      <c r="E60" s="232">
        <v>0</v>
      </c>
      <c r="F60" s="232">
        <v>0</v>
      </c>
      <c r="G60" s="232">
        <v>0</v>
      </c>
      <c r="H60" s="232">
        <v>0</v>
      </c>
      <c r="I60" s="232">
        <v>0</v>
      </c>
      <c r="J60" s="232">
        <v>0</v>
      </c>
      <c r="K60" s="232">
        <v>0</v>
      </c>
      <c r="L60" s="234">
        <v>0</v>
      </c>
      <c r="M60" s="232">
        <v>0</v>
      </c>
      <c r="N60" s="232">
        <v>0</v>
      </c>
      <c r="O60" s="232">
        <v>0</v>
      </c>
      <c r="P60" s="232">
        <v>0</v>
      </c>
      <c r="Q60" s="232">
        <v>0</v>
      </c>
      <c r="R60" s="232">
        <v>0</v>
      </c>
      <c r="S60" s="232">
        <v>0</v>
      </c>
      <c r="T60" s="232">
        <v>0</v>
      </c>
      <c r="U60" s="232">
        <v>0</v>
      </c>
      <c r="V60" s="232">
        <v>0</v>
      </c>
      <c r="W60" s="232">
        <v>0</v>
      </c>
      <c r="X60" s="232">
        <v>0</v>
      </c>
      <c r="Y60" s="232">
        <v>0</v>
      </c>
      <c r="Z60" s="232"/>
      <c r="AA60" s="232">
        <v>0</v>
      </c>
      <c r="AB60" s="232">
        <v>0</v>
      </c>
      <c r="AC60" s="232">
        <v>0</v>
      </c>
      <c r="AD60" s="232">
        <v>0</v>
      </c>
      <c r="AE60" s="232">
        <v>0</v>
      </c>
      <c r="AF60" s="232">
        <v>0</v>
      </c>
      <c r="AG60" s="232">
        <v>0</v>
      </c>
      <c r="AH60" s="232">
        <v>0</v>
      </c>
      <c r="AI60" s="232">
        <v>0</v>
      </c>
      <c r="AJ60" s="232">
        <v>0</v>
      </c>
      <c r="AK60" s="232">
        <v>0</v>
      </c>
      <c r="AL60" s="232">
        <v>0</v>
      </c>
      <c r="AM60" s="215"/>
      <c r="AN60" s="215"/>
      <c r="AO60" s="215"/>
      <c r="AP60" s="215"/>
      <c r="AQ60" s="215"/>
      <c r="AR60" s="215"/>
      <c r="AS60" s="215"/>
      <c r="AT60" s="215"/>
      <c r="AU60" s="215"/>
      <c r="AV60" s="215"/>
      <c r="AW60" s="215"/>
      <c r="AX60" s="215"/>
      <c r="AY60" s="215"/>
      <c r="AZ60" s="215"/>
      <c r="BA60" s="215"/>
      <c r="BB60" s="215"/>
      <c r="BC60" s="215"/>
      <c r="BD60" s="215"/>
      <c r="BE60" s="215"/>
      <c r="BF60" s="215"/>
      <c r="BG60" s="215"/>
      <c r="BH60" s="215"/>
      <c r="BI60" s="215"/>
      <c r="BJ60" s="215"/>
      <c r="BK60" s="215"/>
      <c r="BL60" s="215"/>
      <c r="BM60" s="215"/>
      <c r="BN60" s="215"/>
      <c r="BO60" s="215"/>
      <c r="BP60" s="215"/>
      <c r="BQ60" s="215"/>
      <c r="BR60" s="215"/>
      <c r="BS60" s="215"/>
      <c r="BT60" s="215"/>
      <c r="BU60" s="215"/>
      <c r="BV60" s="215"/>
      <c r="BW60" s="215"/>
      <c r="BX60" s="215"/>
      <c r="BY60" s="215"/>
      <c r="BZ60" s="215"/>
      <c r="CA60" s="215"/>
      <c r="CB60" s="215"/>
      <c r="CC60" s="215"/>
      <c r="CD60" s="215"/>
      <c r="CE60" s="215"/>
      <c r="CF60" s="215"/>
      <c r="CG60" s="215"/>
      <c r="CH60" s="215"/>
      <c r="CI60" s="215"/>
      <c r="CJ60" s="215"/>
      <c r="CK60" s="215"/>
      <c r="CL60" s="215"/>
      <c r="CM60" s="215"/>
      <c r="CN60" s="215"/>
      <c r="CO60" s="215"/>
      <c r="CP60" s="215"/>
      <c r="CQ60" s="215"/>
      <c r="CR60" s="215"/>
      <c r="CS60" s="215"/>
      <c r="CT60" s="215"/>
      <c r="CU60" s="215"/>
      <c r="CV60" s="215"/>
      <c r="CW60" s="215"/>
    </row>
    <row r="61" spans="1:101">
      <c r="B61" t="s">
        <v>767</v>
      </c>
      <c r="C61" s="215">
        <v>100057.53810026644</v>
      </c>
      <c r="D61" s="215">
        <v>50893.141158028397</v>
      </c>
      <c r="E61" s="215">
        <v>10178.62823160568</v>
      </c>
      <c r="F61" s="215">
        <v>61071.769389634079</v>
      </c>
      <c r="G61" s="215">
        <v>52400.032096529234</v>
      </c>
      <c r="H61" s="215">
        <v>63881.111145861963</v>
      </c>
      <c r="I61" s="215">
        <v>5346.810545319323</v>
      </c>
      <c r="J61" s="215">
        <v>23.274183085514689</v>
      </c>
      <c r="K61" s="215">
        <v>29.613549308799605</v>
      </c>
      <c r="L61" s="222">
        <v>1.1257988168114799</v>
      </c>
      <c r="M61" s="215">
        <v>950.55642665903974</v>
      </c>
      <c r="N61" s="231">
        <v>5070.4596804643888</v>
      </c>
      <c r="O61" s="231">
        <v>4804.6841217773126</v>
      </c>
      <c r="P61" s="231">
        <v>5766.4374572914139</v>
      </c>
      <c r="Q61" s="231">
        <v>5479.5556455228043</v>
      </c>
      <c r="R61" s="231">
        <v>6098.671670727641</v>
      </c>
      <c r="S61" s="231">
        <v>6815.0101924050432</v>
      </c>
      <c r="T61" s="231">
        <v>7197.580181743474</v>
      </c>
      <c r="U61" s="231">
        <v>7741.7710467966663</v>
      </c>
      <c r="V61" s="231">
        <v>6613.4398578813598</v>
      </c>
      <c r="W61" s="231">
        <v>6457.7953468049445</v>
      </c>
      <c r="X61" s="231">
        <v>5120.9748353135938</v>
      </c>
      <c r="Y61" s="231">
        <v>5061.8258658439736</v>
      </c>
      <c r="Z61" s="231"/>
      <c r="AA61" s="231">
        <v>1917.1435844620435</v>
      </c>
      <c r="AB61" s="231">
        <v>1658.3426830389246</v>
      </c>
      <c r="AC61" s="231">
        <v>1765.7676965300627</v>
      </c>
      <c r="AD61" s="231">
        <v>2117.0505042647965</v>
      </c>
      <c r="AE61" s="231">
        <v>2366.5338572512769</v>
      </c>
      <c r="AF61" s="231">
        <v>2640.183137675172</v>
      </c>
      <c r="AG61" s="231">
        <v>3251.8666400129209</v>
      </c>
      <c r="AH61" s="231">
        <v>3020.5813495575567</v>
      </c>
      <c r="AI61" s="231">
        <v>3087.0270474790118</v>
      </c>
      <c r="AJ61" s="231">
        <v>2276.4479741734885</v>
      </c>
      <c r="AK61" s="231">
        <v>1808.0139113259095</v>
      </c>
      <c r="AL61" s="231">
        <v>1920.3738119226527</v>
      </c>
      <c r="AM61" s="215"/>
      <c r="AN61" s="215"/>
      <c r="AO61" s="215"/>
      <c r="AP61" s="215"/>
      <c r="AQ61" s="215"/>
      <c r="AR61" s="215"/>
      <c r="AS61" s="215"/>
      <c r="AT61" s="215"/>
      <c r="AU61" s="215"/>
      <c r="AV61" s="215"/>
      <c r="AW61" s="215"/>
      <c r="AX61" s="215"/>
      <c r="AY61" s="215"/>
      <c r="AZ61" s="215"/>
      <c r="BA61" s="215"/>
      <c r="BB61" s="215"/>
      <c r="BC61" s="215"/>
      <c r="BD61" s="215"/>
      <c r="BE61" s="215"/>
      <c r="BF61" s="215"/>
      <c r="BG61" s="215"/>
      <c r="BH61" s="215"/>
      <c r="BI61" s="215"/>
      <c r="BJ61" s="215"/>
      <c r="BK61" s="215"/>
      <c r="BL61" s="215"/>
      <c r="BM61" s="215"/>
      <c r="BN61" s="215"/>
      <c r="BO61" s="215"/>
      <c r="BP61" s="215"/>
      <c r="BQ61" s="215"/>
      <c r="BR61" s="215"/>
      <c r="BS61" s="215"/>
      <c r="BT61" s="215"/>
      <c r="BU61" s="215"/>
      <c r="BV61" s="215"/>
      <c r="BW61" s="215"/>
      <c r="BX61" s="215"/>
      <c r="BY61" s="215"/>
      <c r="BZ61" s="215"/>
      <c r="CA61" s="215"/>
      <c r="CB61" s="215"/>
      <c r="CC61" s="215"/>
      <c r="CD61" s="215"/>
      <c r="CE61" s="215"/>
      <c r="CF61" s="215"/>
      <c r="CG61" s="215"/>
      <c r="CH61" s="215"/>
      <c r="CI61" s="215"/>
      <c r="CJ61" s="215"/>
      <c r="CK61" s="215"/>
      <c r="CL61" s="215"/>
      <c r="CM61" s="215"/>
      <c r="CN61" s="215"/>
      <c r="CO61" s="215"/>
      <c r="CP61" s="215"/>
      <c r="CQ61" s="215"/>
      <c r="CR61" s="215"/>
      <c r="CS61" s="215"/>
      <c r="CT61" s="215"/>
      <c r="CU61" s="215"/>
      <c r="CV61" s="215"/>
      <c r="CW61" s="215"/>
    </row>
    <row r="62" spans="1:101">
      <c r="B62" t="s">
        <v>768</v>
      </c>
      <c r="C62" s="215">
        <v>80807.37285016627</v>
      </c>
      <c r="D62" s="215">
        <v>47324.287442737863</v>
      </c>
      <c r="E62" s="215">
        <v>9464.8574885475737</v>
      </c>
      <c r="F62" s="215">
        <v>56789.144931285438</v>
      </c>
      <c r="G62" s="215">
        <v>53477.440735304051</v>
      </c>
      <c r="H62" s="215">
        <v>51590.963204328888</v>
      </c>
      <c r="I62" s="215">
        <v>6156.2811913274181</v>
      </c>
      <c r="J62" s="215">
        <v>28.14833529862949</v>
      </c>
      <c r="K62" s="215">
        <v>39.77446296180814</v>
      </c>
      <c r="L62" s="223">
        <v>0.97777096246276696</v>
      </c>
      <c r="M62" s="215">
        <v>767.6779685223346</v>
      </c>
      <c r="N62" s="231">
        <v>4094.9491032892979</v>
      </c>
      <c r="O62" s="231">
        <v>3880.3063579944214</v>
      </c>
      <c r="P62" s="231">
        <v>4657.0270513908554</v>
      </c>
      <c r="Q62" s="231">
        <v>4425.3387051886257</v>
      </c>
      <c r="R62" s="231">
        <v>4925.3424074195027</v>
      </c>
      <c r="S62" s="231">
        <v>5503.8638772373633</v>
      </c>
      <c r="T62" s="231">
        <v>5812.8308612018864</v>
      </c>
      <c r="U62" s="231">
        <v>6252.3243263513232</v>
      </c>
      <c r="V62" s="231">
        <v>5341.0738517515711</v>
      </c>
      <c r="W62" s="231">
        <v>5215.3739367083863</v>
      </c>
      <c r="X62" s="231">
        <v>4135.745599285362</v>
      </c>
      <c r="Y62" s="231">
        <v>4087.9763565038229</v>
      </c>
      <c r="Z62" s="231"/>
      <c r="AA62" s="231">
        <v>1548.3025005241063</v>
      </c>
      <c r="AB62" s="231">
        <v>1339.292551525557</v>
      </c>
      <c r="AC62" s="231">
        <v>1426.0499641446211</v>
      </c>
      <c r="AD62" s="231">
        <v>1709.7491372346922</v>
      </c>
      <c r="AE62" s="231">
        <v>1911.2341498330034</v>
      </c>
      <c r="AF62" s="231">
        <v>2132.2357840250656</v>
      </c>
      <c r="AG62" s="231">
        <v>2626.2369135568583</v>
      </c>
      <c r="AH62" s="231">
        <v>2439.4488208710577</v>
      </c>
      <c r="AI62" s="231">
        <v>2493.1109675535795</v>
      </c>
      <c r="AJ62" s="231">
        <v>1838.4799757785856</v>
      </c>
      <c r="AK62" s="231">
        <v>1460.1683893560755</v>
      </c>
      <c r="AL62" s="231">
        <v>1550.9112614406374</v>
      </c>
      <c r="AM62" s="215"/>
      <c r="AN62" s="215"/>
      <c r="AO62" s="215"/>
      <c r="AP62" s="215"/>
      <c r="AQ62" s="215"/>
      <c r="AR62" s="215"/>
      <c r="AS62" s="215"/>
      <c r="AT62" s="215"/>
      <c r="AU62" s="215"/>
      <c r="AV62" s="215"/>
      <c r="AW62" s="215"/>
      <c r="AX62" s="215"/>
      <c r="AY62" s="215"/>
      <c r="AZ62" s="215"/>
      <c r="BA62" s="215"/>
      <c r="BB62" s="215"/>
      <c r="BC62" s="215"/>
      <c r="BD62" s="215"/>
      <c r="BE62" s="215"/>
      <c r="BF62" s="215"/>
      <c r="BG62" s="215"/>
      <c r="BH62" s="215"/>
      <c r="BI62" s="215"/>
      <c r="BJ62" s="215"/>
      <c r="BK62" s="215"/>
      <c r="BL62" s="215"/>
      <c r="BM62" s="215"/>
      <c r="BN62" s="215"/>
      <c r="BO62" s="215"/>
      <c r="BP62" s="215"/>
      <c r="BQ62" s="215"/>
      <c r="BR62" s="215"/>
      <c r="BS62" s="215"/>
      <c r="BT62" s="215"/>
      <c r="BU62" s="215"/>
      <c r="BV62" s="215"/>
      <c r="BW62" s="215"/>
      <c r="BX62" s="215"/>
      <c r="BY62" s="215"/>
      <c r="BZ62" s="215"/>
      <c r="CA62" s="215"/>
      <c r="CB62" s="215"/>
      <c r="CC62" s="215"/>
      <c r="CD62" s="215"/>
      <c r="CE62" s="215"/>
      <c r="CF62" s="215"/>
      <c r="CG62" s="215"/>
      <c r="CH62" s="215"/>
      <c r="CI62" s="215"/>
      <c r="CJ62" s="215"/>
      <c r="CK62" s="215"/>
      <c r="CL62" s="215"/>
      <c r="CM62" s="215"/>
      <c r="CN62" s="215"/>
      <c r="CO62" s="215"/>
      <c r="CP62" s="215"/>
      <c r="CQ62" s="215"/>
      <c r="CR62" s="215"/>
      <c r="CS62" s="215"/>
      <c r="CT62" s="215"/>
      <c r="CU62" s="215"/>
      <c r="CV62" s="215"/>
      <c r="CW62" s="215"/>
    </row>
    <row r="63" spans="1:101">
      <c r="B63" t="s">
        <v>769</v>
      </c>
      <c r="C63" s="232">
        <v>0</v>
      </c>
      <c r="D63" s="232">
        <v>0</v>
      </c>
      <c r="E63" s="232">
        <v>0</v>
      </c>
      <c r="F63" s="232">
        <v>0</v>
      </c>
      <c r="G63" s="232">
        <v>0</v>
      </c>
      <c r="H63" s="232">
        <v>0</v>
      </c>
      <c r="I63" s="232">
        <v>0</v>
      </c>
      <c r="J63" s="232">
        <v>0</v>
      </c>
      <c r="K63" s="232">
        <v>0</v>
      </c>
      <c r="L63" s="234">
        <v>0</v>
      </c>
      <c r="M63" s="232">
        <v>0</v>
      </c>
      <c r="N63" s="232">
        <v>0</v>
      </c>
      <c r="O63" s="232">
        <v>0</v>
      </c>
      <c r="P63" s="232">
        <v>0</v>
      </c>
      <c r="Q63" s="232">
        <v>0</v>
      </c>
      <c r="R63" s="232">
        <v>0</v>
      </c>
      <c r="S63" s="232">
        <v>0</v>
      </c>
      <c r="T63" s="232">
        <v>0</v>
      </c>
      <c r="U63" s="232">
        <v>0</v>
      </c>
      <c r="V63" s="232">
        <v>0</v>
      </c>
      <c r="W63" s="232">
        <v>0</v>
      </c>
      <c r="X63" s="232">
        <v>0</v>
      </c>
      <c r="Y63" s="232">
        <v>0</v>
      </c>
      <c r="Z63" s="232"/>
      <c r="AA63" s="232">
        <v>0</v>
      </c>
      <c r="AB63" s="232">
        <v>0</v>
      </c>
      <c r="AC63" s="232">
        <v>0</v>
      </c>
      <c r="AD63" s="232">
        <v>0</v>
      </c>
      <c r="AE63" s="232">
        <v>0</v>
      </c>
      <c r="AF63" s="232">
        <v>0</v>
      </c>
      <c r="AG63" s="232">
        <v>0</v>
      </c>
      <c r="AH63" s="232">
        <v>0</v>
      </c>
      <c r="AI63" s="232">
        <v>0</v>
      </c>
      <c r="AJ63" s="232">
        <v>0</v>
      </c>
      <c r="AK63" s="232">
        <v>0</v>
      </c>
      <c r="AL63" s="232">
        <v>0</v>
      </c>
      <c r="AM63" s="215"/>
      <c r="AN63" s="215"/>
      <c r="AO63" s="215"/>
      <c r="AP63" s="215"/>
      <c r="AQ63" s="215"/>
      <c r="AR63" s="215"/>
      <c r="AS63" s="215"/>
      <c r="AT63" s="215"/>
      <c r="AU63" s="215"/>
      <c r="AV63" s="215"/>
      <c r="AW63" s="215"/>
      <c r="AX63" s="215"/>
      <c r="AY63" s="215"/>
      <c r="AZ63" s="215"/>
      <c r="BA63" s="215"/>
      <c r="BB63" s="215"/>
      <c r="BC63" s="215"/>
      <c r="BD63" s="215"/>
      <c r="BE63" s="215"/>
      <c r="BF63" s="215"/>
      <c r="BG63" s="215"/>
      <c r="BH63" s="215"/>
      <c r="BI63" s="215"/>
      <c r="BJ63" s="215"/>
      <c r="BK63" s="215"/>
      <c r="BL63" s="215"/>
      <c r="BM63" s="215"/>
      <c r="BN63" s="215"/>
      <c r="BO63" s="215"/>
      <c r="BP63" s="215"/>
      <c r="BQ63" s="215"/>
      <c r="BR63" s="215"/>
      <c r="BS63" s="215"/>
      <c r="BT63" s="215"/>
      <c r="BU63" s="215"/>
      <c r="BV63" s="215"/>
      <c r="BW63" s="215"/>
      <c r="BX63" s="215"/>
      <c r="BY63" s="215"/>
      <c r="BZ63" s="215"/>
      <c r="CA63" s="215"/>
      <c r="CB63" s="215"/>
      <c r="CC63" s="215"/>
      <c r="CD63" s="215"/>
      <c r="CE63" s="215"/>
      <c r="CF63" s="215"/>
      <c r="CG63" s="215"/>
      <c r="CH63" s="215"/>
      <c r="CI63" s="215"/>
      <c r="CJ63" s="215"/>
      <c r="CK63" s="215"/>
      <c r="CL63" s="215"/>
      <c r="CM63" s="215"/>
      <c r="CN63" s="215"/>
      <c r="CO63" s="215"/>
      <c r="CP63" s="215"/>
      <c r="CQ63" s="215"/>
      <c r="CR63" s="215"/>
      <c r="CS63" s="215"/>
      <c r="CT63" s="215"/>
      <c r="CU63" s="215"/>
      <c r="CV63" s="215"/>
      <c r="CW63" s="215"/>
    </row>
    <row r="64" spans="1:101">
      <c r="B64" t="s">
        <v>770</v>
      </c>
      <c r="C64" s="232">
        <v>0</v>
      </c>
      <c r="D64" s="232">
        <v>0</v>
      </c>
      <c r="E64" s="232">
        <v>0</v>
      </c>
      <c r="F64" s="232">
        <v>0</v>
      </c>
      <c r="G64" s="232">
        <v>0</v>
      </c>
      <c r="H64" s="232">
        <v>0</v>
      </c>
      <c r="I64" s="232">
        <v>0</v>
      </c>
      <c r="J64" s="232">
        <v>0</v>
      </c>
      <c r="K64" s="232">
        <v>0</v>
      </c>
      <c r="L64" s="234">
        <v>0</v>
      </c>
      <c r="M64" s="232">
        <v>0</v>
      </c>
      <c r="N64" s="232">
        <v>0</v>
      </c>
      <c r="O64" s="232">
        <v>0</v>
      </c>
      <c r="P64" s="232">
        <v>0</v>
      </c>
      <c r="Q64" s="232">
        <v>0</v>
      </c>
      <c r="R64" s="232">
        <v>0</v>
      </c>
      <c r="S64" s="232">
        <v>0</v>
      </c>
      <c r="T64" s="232">
        <v>0</v>
      </c>
      <c r="U64" s="232">
        <v>0</v>
      </c>
      <c r="V64" s="232">
        <v>0</v>
      </c>
      <c r="W64" s="232">
        <v>0</v>
      </c>
      <c r="X64" s="232">
        <v>0</v>
      </c>
      <c r="Y64" s="232">
        <v>0</v>
      </c>
      <c r="Z64" s="232"/>
      <c r="AA64" s="232">
        <v>0</v>
      </c>
      <c r="AB64" s="232">
        <v>0</v>
      </c>
      <c r="AC64" s="232">
        <v>0</v>
      </c>
      <c r="AD64" s="232">
        <v>0</v>
      </c>
      <c r="AE64" s="232">
        <v>0</v>
      </c>
      <c r="AF64" s="232">
        <v>0</v>
      </c>
      <c r="AG64" s="232">
        <v>0</v>
      </c>
      <c r="AH64" s="232">
        <v>0</v>
      </c>
      <c r="AI64" s="232">
        <v>0</v>
      </c>
      <c r="AJ64" s="232">
        <v>0</v>
      </c>
      <c r="AK64" s="232">
        <v>0</v>
      </c>
      <c r="AL64" s="232">
        <v>0</v>
      </c>
      <c r="AM64" s="215"/>
      <c r="AN64" s="215"/>
      <c r="AO64" s="215"/>
      <c r="AP64" s="215"/>
      <c r="AQ64" s="215"/>
      <c r="AR64" s="215"/>
      <c r="AS64" s="215"/>
      <c r="AT64" s="215"/>
      <c r="AU64" s="215"/>
      <c r="AV64" s="215"/>
      <c r="AW64" s="215"/>
      <c r="AX64" s="215"/>
      <c r="AY64" s="215"/>
      <c r="AZ64" s="215"/>
      <c r="BA64" s="215"/>
      <c r="BB64" s="215"/>
      <c r="BC64" s="215"/>
      <c r="BD64" s="215"/>
      <c r="BE64" s="215"/>
      <c r="BF64" s="215"/>
      <c r="BG64" s="215"/>
      <c r="BH64" s="215"/>
      <c r="BI64" s="215"/>
      <c r="BJ64" s="215"/>
      <c r="BK64" s="215"/>
      <c r="BL64" s="215"/>
      <c r="BM64" s="215"/>
      <c r="BN64" s="215"/>
      <c r="BO64" s="215"/>
      <c r="BP64" s="215"/>
      <c r="BQ64" s="215"/>
      <c r="BR64" s="215"/>
      <c r="BS64" s="215"/>
      <c r="BT64" s="215"/>
      <c r="BU64" s="215"/>
      <c r="BV64" s="215"/>
      <c r="BW64" s="215"/>
      <c r="BX64" s="215"/>
      <c r="BY64" s="215"/>
      <c r="BZ64" s="215"/>
      <c r="CA64" s="215"/>
      <c r="CB64" s="215"/>
      <c r="CC64" s="215"/>
      <c r="CD64" s="215"/>
      <c r="CE64" s="215"/>
      <c r="CF64" s="215"/>
      <c r="CG64" s="215"/>
      <c r="CH64" s="215"/>
      <c r="CI64" s="215"/>
      <c r="CJ64" s="215"/>
      <c r="CK64" s="215"/>
      <c r="CL64" s="215"/>
      <c r="CM64" s="215"/>
      <c r="CN64" s="215"/>
      <c r="CO64" s="215"/>
      <c r="CP64" s="215"/>
      <c r="CQ64" s="215"/>
      <c r="CR64" s="215"/>
      <c r="CS64" s="215"/>
      <c r="CT64" s="215"/>
      <c r="CU64" s="215"/>
      <c r="CV64" s="215"/>
      <c r="CW64" s="215"/>
    </row>
    <row r="65" spans="2:101">
      <c r="B65" t="s">
        <v>771</v>
      </c>
      <c r="C65" s="232">
        <v>0</v>
      </c>
      <c r="D65" s="232">
        <v>0</v>
      </c>
      <c r="E65" s="232">
        <v>0</v>
      </c>
      <c r="F65" s="232">
        <v>0</v>
      </c>
      <c r="G65" s="232">
        <v>0</v>
      </c>
      <c r="H65" s="232">
        <v>0</v>
      </c>
      <c r="I65" s="232">
        <v>0</v>
      </c>
      <c r="J65" s="232">
        <v>0</v>
      </c>
      <c r="K65" s="232">
        <v>0</v>
      </c>
      <c r="L65" s="234">
        <v>0</v>
      </c>
      <c r="M65" s="232">
        <v>0</v>
      </c>
      <c r="N65" s="232">
        <v>0</v>
      </c>
      <c r="O65" s="232">
        <v>0</v>
      </c>
      <c r="P65" s="232">
        <v>0</v>
      </c>
      <c r="Q65" s="232">
        <v>0</v>
      </c>
      <c r="R65" s="232">
        <v>0</v>
      </c>
      <c r="S65" s="232">
        <v>0</v>
      </c>
      <c r="T65" s="232">
        <v>0</v>
      </c>
      <c r="U65" s="232">
        <v>0</v>
      </c>
      <c r="V65" s="232">
        <v>0</v>
      </c>
      <c r="W65" s="232">
        <v>0</v>
      </c>
      <c r="X65" s="232">
        <v>0</v>
      </c>
      <c r="Y65" s="232">
        <v>0</v>
      </c>
      <c r="Z65" s="232"/>
      <c r="AA65" s="232">
        <v>0</v>
      </c>
      <c r="AB65" s="232">
        <v>0</v>
      </c>
      <c r="AC65" s="232">
        <v>0</v>
      </c>
      <c r="AD65" s="232">
        <v>0</v>
      </c>
      <c r="AE65" s="232">
        <v>0</v>
      </c>
      <c r="AF65" s="232">
        <v>0</v>
      </c>
      <c r="AG65" s="232">
        <v>0</v>
      </c>
      <c r="AH65" s="232">
        <v>0</v>
      </c>
      <c r="AI65" s="232">
        <v>0</v>
      </c>
      <c r="AJ65" s="232">
        <v>0</v>
      </c>
      <c r="AK65" s="232">
        <v>0</v>
      </c>
      <c r="AL65" s="232">
        <v>0</v>
      </c>
      <c r="AM65" s="215"/>
      <c r="AN65" s="215"/>
      <c r="AO65" s="215"/>
      <c r="AP65" s="215"/>
      <c r="AQ65" s="215"/>
      <c r="AR65" s="215"/>
      <c r="AS65" s="215"/>
      <c r="AT65" s="215"/>
      <c r="AU65" s="215"/>
      <c r="AV65" s="215"/>
      <c r="AW65" s="215"/>
      <c r="AX65" s="215"/>
      <c r="AY65" s="215"/>
      <c r="AZ65" s="215"/>
      <c r="BA65" s="215"/>
      <c r="BB65" s="215"/>
      <c r="BC65" s="215"/>
      <c r="BD65" s="215"/>
      <c r="BE65" s="215"/>
      <c r="BF65" s="215"/>
      <c r="BG65" s="215"/>
      <c r="BH65" s="215"/>
      <c r="BI65" s="215"/>
      <c r="BJ65" s="215"/>
      <c r="BK65" s="215"/>
      <c r="BL65" s="215"/>
      <c r="BM65" s="215"/>
      <c r="BN65" s="215"/>
      <c r="BO65" s="215"/>
      <c r="BP65" s="215"/>
      <c r="BQ65" s="215"/>
      <c r="BR65" s="215"/>
      <c r="BS65" s="215"/>
      <c r="BT65" s="215"/>
      <c r="BU65" s="215"/>
      <c r="BV65" s="215"/>
      <c r="BW65" s="215"/>
      <c r="BX65" s="215"/>
      <c r="BY65" s="215"/>
      <c r="BZ65" s="215"/>
      <c r="CA65" s="215"/>
      <c r="CB65" s="215"/>
      <c r="CC65" s="215"/>
      <c r="CD65" s="215"/>
      <c r="CE65" s="215"/>
      <c r="CF65" s="215"/>
      <c r="CG65" s="215"/>
      <c r="CH65" s="215"/>
      <c r="CI65" s="215"/>
      <c r="CJ65" s="215"/>
      <c r="CK65" s="215"/>
      <c r="CL65" s="215"/>
      <c r="CM65" s="215"/>
      <c r="CN65" s="215"/>
      <c r="CO65" s="215"/>
      <c r="CP65" s="215"/>
      <c r="CQ65" s="215"/>
      <c r="CR65" s="215"/>
      <c r="CS65" s="215"/>
      <c r="CT65" s="215"/>
      <c r="CU65" s="215"/>
      <c r="CV65" s="215"/>
      <c r="CW65" s="215"/>
    </row>
    <row r="66" spans="2:101">
      <c r="B66" t="s">
        <v>772</v>
      </c>
      <c r="C66" s="232">
        <v>0</v>
      </c>
      <c r="D66" s="232">
        <v>0</v>
      </c>
      <c r="E66" s="232">
        <v>0</v>
      </c>
      <c r="F66" s="232">
        <v>0</v>
      </c>
      <c r="G66" s="232">
        <v>0</v>
      </c>
      <c r="H66" s="232">
        <v>0</v>
      </c>
      <c r="I66" s="232">
        <v>0</v>
      </c>
      <c r="J66" s="232">
        <v>0</v>
      </c>
      <c r="K66" s="232">
        <v>0</v>
      </c>
      <c r="L66" s="234">
        <v>0</v>
      </c>
      <c r="M66" s="232">
        <v>0</v>
      </c>
      <c r="N66" s="232">
        <v>0</v>
      </c>
      <c r="O66" s="232">
        <v>0</v>
      </c>
      <c r="P66" s="232">
        <v>0</v>
      </c>
      <c r="Q66" s="232">
        <v>0</v>
      </c>
      <c r="R66" s="232">
        <v>0</v>
      </c>
      <c r="S66" s="232">
        <v>0</v>
      </c>
      <c r="T66" s="232">
        <v>0</v>
      </c>
      <c r="U66" s="232">
        <v>0</v>
      </c>
      <c r="V66" s="232">
        <v>0</v>
      </c>
      <c r="W66" s="232">
        <v>0</v>
      </c>
      <c r="X66" s="232">
        <v>0</v>
      </c>
      <c r="Y66" s="232">
        <v>0</v>
      </c>
      <c r="Z66" s="232"/>
      <c r="AA66" s="232">
        <v>0</v>
      </c>
      <c r="AB66" s="232">
        <v>0</v>
      </c>
      <c r="AC66" s="232">
        <v>0</v>
      </c>
      <c r="AD66" s="232">
        <v>0</v>
      </c>
      <c r="AE66" s="232">
        <v>0</v>
      </c>
      <c r="AF66" s="232">
        <v>0</v>
      </c>
      <c r="AG66" s="232">
        <v>0</v>
      </c>
      <c r="AH66" s="232">
        <v>0</v>
      </c>
      <c r="AI66" s="232">
        <v>0</v>
      </c>
      <c r="AJ66" s="232">
        <v>0</v>
      </c>
      <c r="AK66" s="232">
        <v>0</v>
      </c>
      <c r="AL66" s="232">
        <v>0</v>
      </c>
      <c r="AM66" s="215"/>
      <c r="AN66" s="215"/>
      <c r="AO66" s="215"/>
      <c r="AP66" s="215"/>
      <c r="AQ66" s="215"/>
      <c r="AR66" s="215"/>
      <c r="AS66" s="215"/>
      <c r="AT66" s="215"/>
      <c r="AU66" s="215"/>
      <c r="AV66" s="215"/>
      <c r="AW66" s="215"/>
      <c r="AX66" s="215"/>
      <c r="AY66" s="215"/>
      <c r="AZ66" s="215"/>
      <c r="BA66" s="215"/>
      <c r="BB66" s="215"/>
      <c r="BC66" s="215"/>
      <c r="BD66" s="215"/>
      <c r="BE66" s="215"/>
      <c r="BF66" s="215"/>
      <c r="BG66" s="215"/>
      <c r="BH66" s="215"/>
      <c r="BI66" s="215"/>
      <c r="BJ66" s="215"/>
      <c r="BK66" s="215"/>
      <c r="BL66" s="215"/>
      <c r="BM66" s="215"/>
      <c r="BN66" s="215"/>
      <c r="BO66" s="215"/>
      <c r="BP66" s="215"/>
      <c r="BQ66" s="215"/>
      <c r="BR66" s="215"/>
      <c r="BS66" s="215"/>
      <c r="BT66" s="215"/>
      <c r="BU66" s="215"/>
      <c r="BV66" s="215"/>
      <c r="BW66" s="215"/>
      <c r="BX66" s="215"/>
      <c r="BY66" s="215"/>
      <c r="BZ66" s="215"/>
      <c r="CA66" s="215"/>
      <c r="CB66" s="215"/>
      <c r="CC66" s="215"/>
      <c r="CD66" s="215"/>
      <c r="CE66" s="215"/>
      <c r="CF66" s="215"/>
      <c r="CG66" s="215"/>
      <c r="CH66" s="215"/>
      <c r="CI66" s="215"/>
      <c r="CJ66" s="215"/>
      <c r="CK66" s="215"/>
      <c r="CL66" s="215"/>
      <c r="CM66" s="215"/>
      <c r="CN66" s="215"/>
      <c r="CO66" s="215"/>
      <c r="CP66" s="215"/>
      <c r="CQ66" s="215"/>
      <c r="CR66" s="215"/>
      <c r="CS66" s="215"/>
      <c r="CT66" s="215"/>
      <c r="CU66" s="215"/>
      <c r="CV66" s="215"/>
      <c r="CW66" s="215"/>
    </row>
    <row r="67" spans="2:101">
      <c r="B67" t="s">
        <v>773</v>
      </c>
      <c r="C67" s="232">
        <v>0</v>
      </c>
      <c r="D67" s="232">
        <v>0</v>
      </c>
      <c r="E67" s="232">
        <v>0</v>
      </c>
      <c r="F67" s="232">
        <v>0</v>
      </c>
      <c r="G67" s="232">
        <v>0</v>
      </c>
      <c r="H67" s="232">
        <v>0</v>
      </c>
      <c r="I67" s="232">
        <v>0</v>
      </c>
      <c r="J67" s="232">
        <v>0</v>
      </c>
      <c r="K67" s="232">
        <v>0</v>
      </c>
      <c r="L67" s="234">
        <v>0</v>
      </c>
      <c r="M67" s="232">
        <v>0</v>
      </c>
      <c r="N67" s="232">
        <v>0</v>
      </c>
      <c r="O67" s="232">
        <v>0</v>
      </c>
      <c r="P67" s="232">
        <v>0</v>
      </c>
      <c r="Q67" s="232">
        <v>0</v>
      </c>
      <c r="R67" s="232">
        <v>0</v>
      </c>
      <c r="S67" s="232">
        <v>0</v>
      </c>
      <c r="T67" s="232">
        <v>0</v>
      </c>
      <c r="U67" s="232">
        <v>0</v>
      </c>
      <c r="V67" s="232">
        <v>0</v>
      </c>
      <c r="W67" s="232">
        <v>0</v>
      </c>
      <c r="X67" s="232">
        <v>0</v>
      </c>
      <c r="Y67" s="232">
        <v>0</v>
      </c>
      <c r="Z67" s="232"/>
      <c r="AA67" s="232">
        <v>0</v>
      </c>
      <c r="AB67" s="232">
        <v>0</v>
      </c>
      <c r="AC67" s="232">
        <v>0</v>
      </c>
      <c r="AD67" s="232">
        <v>0</v>
      </c>
      <c r="AE67" s="232">
        <v>0</v>
      </c>
      <c r="AF67" s="232">
        <v>0</v>
      </c>
      <c r="AG67" s="232">
        <v>0</v>
      </c>
      <c r="AH67" s="232">
        <v>0</v>
      </c>
      <c r="AI67" s="232">
        <v>0</v>
      </c>
      <c r="AJ67" s="232">
        <v>0</v>
      </c>
      <c r="AK67" s="232">
        <v>0</v>
      </c>
      <c r="AL67" s="232">
        <v>0</v>
      </c>
      <c r="AM67" s="215"/>
      <c r="AN67" s="215"/>
      <c r="AO67" s="215"/>
      <c r="AP67" s="215"/>
      <c r="AQ67" s="215"/>
      <c r="AR67" s="215"/>
      <c r="AS67" s="215"/>
      <c r="AT67" s="215"/>
      <c r="AU67" s="215"/>
      <c r="AV67" s="215"/>
      <c r="AW67" s="215"/>
      <c r="AX67" s="215"/>
      <c r="AY67" s="215"/>
      <c r="AZ67" s="215"/>
      <c r="BA67" s="215"/>
      <c r="BB67" s="215"/>
      <c r="BC67" s="215"/>
      <c r="BD67" s="215"/>
      <c r="BE67" s="215"/>
      <c r="BF67" s="215"/>
      <c r="BG67" s="215"/>
      <c r="BH67" s="215"/>
      <c r="BI67" s="215"/>
      <c r="BJ67" s="215"/>
      <c r="BK67" s="215"/>
      <c r="BL67" s="215"/>
      <c r="BM67" s="215"/>
      <c r="BN67" s="215"/>
      <c r="BO67" s="215"/>
      <c r="BP67" s="215"/>
      <c r="BQ67" s="215"/>
      <c r="BR67" s="215"/>
      <c r="BS67" s="215"/>
      <c r="BT67" s="215"/>
      <c r="BU67" s="215"/>
      <c r="BV67" s="215"/>
      <c r="BW67" s="215"/>
      <c r="BX67" s="215"/>
      <c r="BY67" s="215"/>
      <c r="BZ67" s="215"/>
      <c r="CA67" s="215"/>
      <c r="CB67" s="215"/>
      <c r="CC67" s="215"/>
      <c r="CD67" s="215"/>
      <c r="CE67" s="215"/>
      <c r="CF67" s="215"/>
      <c r="CG67" s="215"/>
      <c r="CH67" s="215"/>
      <c r="CI67" s="215"/>
      <c r="CJ67" s="215"/>
      <c r="CK67" s="215"/>
      <c r="CL67" s="215"/>
      <c r="CM67" s="215"/>
      <c r="CN67" s="215"/>
      <c r="CO67" s="215"/>
      <c r="CP67" s="215"/>
      <c r="CQ67" s="215"/>
      <c r="CR67" s="215"/>
      <c r="CS67" s="215"/>
      <c r="CT67" s="215"/>
      <c r="CU67" s="215"/>
      <c r="CV67" s="215"/>
      <c r="CW67" s="215"/>
    </row>
    <row r="68" spans="2:101">
      <c r="B68" t="s">
        <v>774</v>
      </c>
      <c r="C68" s="232">
        <v>0</v>
      </c>
      <c r="D68" s="232">
        <v>0</v>
      </c>
      <c r="E68" s="232">
        <v>0</v>
      </c>
      <c r="F68" s="232">
        <v>0</v>
      </c>
      <c r="G68" s="232">
        <v>0</v>
      </c>
      <c r="H68" s="232">
        <v>0</v>
      </c>
      <c r="I68" s="232">
        <v>0</v>
      </c>
      <c r="J68" s="232">
        <v>0</v>
      </c>
      <c r="K68" s="232">
        <v>0</v>
      </c>
      <c r="L68" s="234">
        <v>0</v>
      </c>
      <c r="M68" s="232">
        <v>0</v>
      </c>
      <c r="N68" s="232">
        <v>0</v>
      </c>
      <c r="O68" s="232">
        <v>0</v>
      </c>
      <c r="P68" s="232">
        <v>0</v>
      </c>
      <c r="Q68" s="232">
        <v>0</v>
      </c>
      <c r="R68" s="232">
        <v>0</v>
      </c>
      <c r="S68" s="232">
        <v>0</v>
      </c>
      <c r="T68" s="232">
        <v>0</v>
      </c>
      <c r="U68" s="232">
        <v>0</v>
      </c>
      <c r="V68" s="232">
        <v>0</v>
      </c>
      <c r="W68" s="232">
        <v>0</v>
      </c>
      <c r="X68" s="232">
        <v>0</v>
      </c>
      <c r="Y68" s="232">
        <v>0</v>
      </c>
      <c r="Z68" s="232"/>
      <c r="AA68" s="232">
        <v>0</v>
      </c>
      <c r="AB68" s="232">
        <v>0</v>
      </c>
      <c r="AC68" s="232">
        <v>0</v>
      </c>
      <c r="AD68" s="232">
        <v>0</v>
      </c>
      <c r="AE68" s="232">
        <v>0</v>
      </c>
      <c r="AF68" s="232">
        <v>0</v>
      </c>
      <c r="AG68" s="232">
        <v>0</v>
      </c>
      <c r="AH68" s="232">
        <v>0</v>
      </c>
      <c r="AI68" s="232">
        <v>0</v>
      </c>
      <c r="AJ68" s="232">
        <v>0</v>
      </c>
      <c r="AK68" s="232">
        <v>0</v>
      </c>
      <c r="AL68" s="232">
        <v>0</v>
      </c>
      <c r="AM68" s="215"/>
      <c r="AN68" s="215"/>
      <c r="AO68" s="215"/>
      <c r="AP68" s="215"/>
      <c r="AQ68" s="215"/>
      <c r="AR68" s="215"/>
      <c r="AS68" s="215"/>
      <c r="AT68" s="215"/>
      <c r="AU68" s="215"/>
      <c r="AV68" s="215"/>
      <c r="AW68" s="215"/>
      <c r="AX68" s="215"/>
      <c r="AY68" s="215"/>
      <c r="AZ68" s="215"/>
      <c r="BA68" s="215"/>
      <c r="BB68" s="215"/>
      <c r="BC68" s="215"/>
      <c r="BD68" s="215"/>
      <c r="BE68" s="215"/>
      <c r="BF68" s="215"/>
      <c r="BG68" s="215"/>
      <c r="BH68" s="215"/>
      <c r="BI68" s="215"/>
      <c r="BJ68" s="215"/>
      <c r="BK68" s="215"/>
      <c r="BL68" s="215"/>
      <c r="BM68" s="215"/>
      <c r="BN68" s="215"/>
      <c r="BO68" s="215"/>
      <c r="BP68" s="215"/>
      <c r="BQ68" s="215"/>
      <c r="BR68" s="215"/>
      <c r="BS68" s="215"/>
      <c r="BT68" s="215"/>
      <c r="BU68" s="215"/>
      <c r="BV68" s="215"/>
      <c r="BW68" s="215"/>
      <c r="BX68" s="215"/>
      <c r="BY68" s="215"/>
      <c r="BZ68" s="215"/>
      <c r="CA68" s="215"/>
      <c r="CB68" s="215"/>
      <c r="CC68" s="215"/>
      <c r="CD68" s="215"/>
      <c r="CE68" s="215"/>
      <c r="CF68" s="215"/>
      <c r="CG68" s="215"/>
      <c r="CH68" s="215"/>
      <c r="CI68" s="215"/>
      <c r="CJ68" s="215"/>
      <c r="CK68" s="215"/>
      <c r="CL68" s="215"/>
      <c r="CM68" s="215"/>
      <c r="CN68" s="215"/>
      <c r="CO68" s="215"/>
      <c r="CP68" s="215"/>
      <c r="CQ68" s="215"/>
      <c r="CR68" s="215"/>
      <c r="CS68" s="215"/>
      <c r="CT68" s="215"/>
      <c r="CU68" s="215"/>
      <c r="CV68" s="215"/>
      <c r="CW68" s="215"/>
    </row>
    <row r="69" spans="2:101">
      <c r="B69" t="s">
        <v>775</v>
      </c>
      <c r="C69" s="232">
        <v>0</v>
      </c>
      <c r="D69" s="232">
        <v>0</v>
      </c>
      <c r="E69" s="232">
        <v>0</v>
      </c>
      <c r="F69" s="232">
        <v>0</v>
      </c>
      <c r="G69" s="232">
        <v>0</v>
      </c>
      <c r="H69" s="232">
        <v>0</v>
      </c>
      <c r="I69" s="232">
        <v>0</v>
      </c>
      <c r="J69" s="232">
        <v>0</v>
      </c>
      <c r="K69" s="232">
        <v>0</v>
      </c>
      <c r="L69" s="234">
        <v>0</v>
      </c>
      <c r="M69" s="232">
        <v>0</v>
      </c>
      <c r="N69" s="232">
        <v>0</v>
      </c>
      <c r="O69" s="232">
        <v>0</v>
      </c>
      <c r="P69" s="232">
        <v>0</v>
      </c>
      <c r="Q69" s="232">
        <v>0</v>
      </c>
      <c r="R69" s="232">
        <v>0</v>
      </c>
      <c r="S69" s="232">
        <v>0</v>
      </c>
      <c r="T69" s="232">
        <v>0</v>
      </c>
      <c r="U69" s="232">
        <v>0</v>
      </c>
      <c r="V69" s="232">
        <v>0</v>
      </c>
      <c r="W69" s="232">
        <v>0</v>
      </c>
      <c r="X69" s="232">
        <v>0</v>
      </c>
      <c r="Y69" s="232">
        <v>0</v>
      </c>
      <c r="Z69" s="232"/>
      <c r="AA69" s="232">
        <v>0</v>
      </c>
      <c r="AB69" s="232">
        <v>0</v>
      </c>
      <c r="AC69" s="232">
        <v>0</v>
      </c>
      <c r="AD69" s="232">
        <v>0</v>
      </c>
      <c r="AE69" s="232">
        <v>0</v>
      </c>
      <c r="AF69" s="232">
        <v>0</v>
      </c>
      <c r="AG69" s="232">
        <v>0</v>
      </c>
      <c r="AH69" s="232">
        <v>0</v>
      </c>
      <c r="AI69" s="232">
        <v>0</v>
      </c>
      <c r="AJ69" s="232">
        <v>0</v>
      </c>
      <c r="AK69" s="232">
        <v>0</v>
      </c>
      <c r="AL69" s="232">
        <v>0</v>
      </c>
      <c r="AM69" s="215"/>
      <c r="AN69" s="215"/>
      <c r="AO69" s="215"/>
      <c r="AP69" s="215"/>
      <c r="AQ69" s="215"/>
      <c r="AR69" s="215"/>
      <c r="AS69" s="215"/>
      <c r="AT69" s="215"/>
      <c r="AU69" s="215"/>
      <c r="AV69" s="215"/>
      <c r="AW69" s="215"/>
      <c r="AX69" s="215"/>
      <c r="AY69" s="215"/>
      <c r="AZ69" s="215"/>
      <c r="BA69" s="215"/>
      <c r="BB69" s="215"/>
      <c r="BC69" s="215"/>
      <c r="BD69" s="215"/>
      <c r="BE69" s="215"/>
      <c r="BF69" s="215"/>
      <c r="BG69" s="215"/>
      <c r="BH69" s="215"/>
      <c r="BI69" s="215"/>
      <c r="BJ69" s="215"/>
      <c r="BK69" s="215"/>
      <c r="BL69" s="215"/>
      <c r="BM69" s="215"/>
      <c r="BN69" s="215"/>
      <c r="BO69" s="215"/>
      <c r="BP69" s="215"/>
      <c r="BQ69" s="215"/>
      <c r="BR69" s="215"/>
      <c r="BS69" s="215"/>
      <c r="BT69" s="215"/>
      <c r="BU69" s="215"/>
      <c r="BV69" s="215"/>
      <c r="BW69" s="215"/>
      <c r="BX69" s="215"/>
      <c r="BY69" s="215"/>
      <c r="BZ69" s="215"/>
      <c r="CA69" s="215"/>
      <c r="CB69" s="215"/>
      <c r="CC69" s="215"/>
      <c r="CD69" s="215"/>
      <c r="CE69" s="215"/>
      <c r="CF69" s="215"/>
      <c r="CG69" s="215"/>
      <c r="CH69" s="215"/>
      <c r="CI69" s="215"/>
      <c r="CJ69" s="215"/>
      <c r="CK69" s="215"/>
      <c r="CL69" s="215"/>
      <c r="CM69" s="215"/>
      <c r="CN69" s="215"/>
      <c r="CO69" s="215"/>
      <c r="CP69" s="215"/>
      <c r="CQ69" s="215"/>
      <c r="CR69" s="215"/>
      <c r="CS69" s="215"/>
      <c r="CT69" s="215"/>
      <c r="CU69" s="215"/>
      <c r="CV69" s="215"/>
      <c r="CW69" s="215"/>
    </row>
    <row r="70" spans="2:101">
      <c r="B70" t="s">
        <v>776</v>
      </c>
      <c r="C70" s="232">
        <v>0</v>
      </c>
      <c r="D70" s="232">
        <v>0</v>
      </c>
      <c r="E70" s="232">
        <v>0</v>
      </c>
      <c r="F70" s="232">
        <v>0</v>
      </c>
      <c r="G70" s="232">
        <v>0</v>
      </c>
      <c r="H70" s="232">
        <v>0</v>
      </c>
      <c r="I70" s="232">
        <v>0</v>
      </c>
      <c r="J70" s="232">
        <v>0</v>
      </c>
      <c r="K70" s="232">
        <v>0</v>
      </c>
      <c r="L70" s="234">
        <v>0</v>
      </c>
      <c r="M70" s="232">
        <v>0</v>
      </c>
      <c r="N70" s="232">
        <v>0</v>
      </c>
      <c r="O70" s="232">
        <v>0</v>
      </c>
      <c r="P70" s="232">
        <v>0</v>
      </c>
      <c r="Q70" s="232">
        <v>0</v>
      </c>
      <c r="R70" s="232">
        <v>0</v>
      </c>
      <c r="S70" s="232">
        <v>0</v>
      </c>
      <c r="T70" s="232">
        <v>0</v>
      </c>
      <c r="U70" s="232">
        <v>0</v>
      </c>
      <c r="V70" s="232">
        <v>0</v>
      </c>
      <c r="W70" s="232">
        <v>0</v>
      </c>
      <c r="X70" s="232">
        <v>0</v>
      </c>
      <c r="Y70" s="232">
        <v>0</v>
      </c>
      <c r="Z70" s="232"/>
      <c r="AA70" s="232">
        <v>0</v>
      </c>
      <c r="AB70" s="232">
        <v>0</v>
      </c>
      <c r="AC70" s="232">
        <v>0</v>
      </c>
      <c r="AD70" s="232">
        <v>0</v>
      </c>
      <c r="AE70" s="232">
        <v>0</v>
      </c>
      <c r="AF70" s="232">
        <v>0</v>
      </c>
      <c r="AG70" s="232">
        <v>0</v>
      </c>
      <c r="AH70" s="232">
        <v>0</v>
      </c>
      <c r="AI70" s="232">
        <v>0</v>
      </c>
      <c r="AJ70" s="232">
        <v>0</v>
      </c>
      <c r="AK70" s="232">
        <v>0</v>
      </c>
      <c r="AL70" s="232">
        <v>0</v>
      </c>
      <c r="AM70" s="215"/>
      <c r="AN70" s="215"/>
      <c r="AO70" s="215"/>
      <c r="AP70" s="215"/>
      <c r="AQ70" s="215"/>
      <c r="AR70" s="215"/>
      <c r="AS70" s="215"/>
      <c r="AT70" s="215"/>
      <c r="AU70" s="215"/>
      <c r="AV70" s="215"/>
      <c r="AW70" s="215"/>
      <c r="AX70" s="215"/>
      <c r="AY70" s="215"/>
      <c r="AZ70" s="215"/>
      <c r="BA70" s="215"/>
      <c r="BB70" s="215"/>
      <c r="BC70" s="215"/>
      <c r="BD70" s="215"/>
      <c r="BE70" s="215"/>
      <c r="BF70" s="215"/>
      <c r="BG70" s="215"/>
      <c r="BH70" s="215"/>
      <c r="BI70" s="215"/>
      <c r="BJ70" s="215"/>
      <c r="BK70" s="215"/>
      <c r="BL70" s="215"/>
      <c r="BM70" s="215"/>
      <c r="BN70" s="215"/>
      <c r="BO70" s="215"/>
      <c r="BP70" s="215"/>
      <c r="BQ70" s="215"/>
      <c r="BR70" s="215"/>
      <c r="BS70" s="215"/>
      <c r="BT70" s="215"/>
      <c r="BU70" s="215"/>
      <c r="BV70" s="215"/>
      <c r="BW70" s="215"/>
      <c r="BX70" s="215"/>
      <c r="BY70" s="215"/>
      <c r="BZ70" s="215"/>
      <c r="CA70" s="215"/>
      <c r="CB70" s="215"/>
      <c r="CC70" s="215"/>
      <c r="CD70" s="215"/>
      <c r="CE70" s="215"/>
      <c r="CF70" s="215"/>
      <c r="CG70" s="215"/>
      <c r="CH70" s="215"/>
      <c r="CI70" s="215"/>
      <c r="CJ70" s="215"/>
      <c r="CK70" s="215"/>
      <c r="CL70" s="215"/>
      <c r="CM70" s="215"/>
      <c r="CN70" s="215"/>
      <c r="CO70" s="215"/>
      <c r="CP70" s="215"/>
      <c r="CQ70" s="215"/>
      <c r="CR70" s="215"/>
      <c r="CS70" s="215"/>
      <c r="CT70" s="215"/>
      <c r="CU70" s="215"/>
      <c r="CV70" s="215"/>
      <c r="CW70" s="215"/>
    </row>
    <row r="71" spans="2:101">
      <c r="B71" t="s">
        <v>777</v>
      </c>
      <c r="C71" s="232">
        <v>0</v>
      </c>
      <c r="D71" s="232">
        <v>0</v>
      </c>
      <c r="E71" s="232">
        <v>0</v>
      </c>
      <c r="F71" s="232">
        <v>0</v>
      </c>
      <c r="G71" s="232">
        <v>0</v>
      </c>
      <c r="H71" s="232">
        <v>0</v>
      </c>
      <c r="I71" s="232">
        <v>0</v>
      </c>
      <c r="J71" s="232">
        <v>0</v>
      </c>
      <c r="K71" s="232">
        <v>0</v>
      </c>
      <c r="L71" s="234">
        <v>0</v>
      </c>
      <c r="M71" s="232">
        <v>0</v>
      </c>
      <c r="N71" s="232">
        <v>0</v>
      </c>
      <c r="O71" s="232">
        <v>0</v>
      </c>
      <c r="P71" s="232">
        <v>0</v>
      </c>
      <c r="Q71" s="232">
        <v>0</v>
      </c>
      <c r="R71" s="232">
        <v>0</v>
      </c>
      <c r="S71" s="232">
        <v>0</v>
      </c>
      <c r="T71" s="232">
        <v>0</v>
      </c>
      <c r="U71" s="232">
        <v>0</v>
      </c>
      <c r="V71" s="232">
        <v>0</v>
      </c>
      <c r="W71" s="232">
        <v>0</v>
      </c>
      <c r="X71" s="232">
        <v>0</v>
      </c>
      <c r="Y71" s="232">
        <v>0</v>
      </c>
      <c r="Z71" s="232"/>
      <c r="AA71" s="232">
        <v>0</v>
      </c>
      <c r="AB71" s="232">
        <v>0</v>
      </c>
      <c r="AC71" s="232">
        <v>0</v>
      </c>
      <c r="AD71" s="232">
        <v>0</v>
      </c>
      <c r="AE71" s="232">
        <v>0</v>
      </c>
      <c r="AF71" s="232">
        <v>0</v>
      </c>
      <c r="AG71" s="232">
        <v>0</v>
      </c>
      <c r="AH71" s="232">
        <v>0</v>
      </c>
      <c r="AI71" s="232">
        <v>0</v>
      </c>
      <c r="AJ71" s="232">
        <v>0</v>
      </c>
      <c r="AK71" s="232">
        <v>0</v>
      </c>
      <c r="AL71" s="232">
        <v>0</v>
      </c>
      <c r="AM71" s="215"/>
      <c r="AN71" s="215"/>
      <c r="AO71" s="215"/>
      <c r="AP71" s="215"/>
      <c r="AQ71" s="215"/>
      <c r="AR71" s="215"/>
      <c r="AS71" s="215"/>
      <c r="AT71" s="215"/>
      <c r="AU71" s="215"/>
      <c r="AV71" s="215"/>
      <c r="AW71" s="215"/>
      <c r="AX71" s="215"/>
      <c r="AY71" s="215"/>
      <c r="AZ71" s="215"/>
      <c r="BA71" s="215"/>
      <c r="BB71" s="215"/>
      <c r="BC71" s="215"/>
      <c r="BD71" s="215"/>
      <c r="BE71" s="215"/>
      <c r="BF71" s="215"/>
      <c r="BG71" s="215"/>
      <c r="BH71" s="215"/>
      <c r="BI71" s="215"/>
      <c r="BJ71" s="215"/>
      <c r="BK71" s="215"/>
      <c r="BL71" s="215"/>
      <c r="BM71" s="215"/>
      <c r="BN71" s="215"/>
      <c r="BO71" s="215"/>
      <c r="BP71" s="215"/>
      <c r="BQ71" s="215"/>
      <c r="BR71" s="215"/>
      <c r="BS71" s="215"/>
      <c r="BT71" s="215"/>
      <c r="BU71" s="215"/>
      <c r="BV71" s="215"/>
      <c r="BW71" s="215"/>
      <c r="BX71" s="215"/>
      <c r="BY71" s="215"/>
      <c r="BZ71" s="215"/>
      <c r="CA71" s="215"/>
      <c r="CB71" s="215"/>
      <c r="CC71" s="215"/>
      <c r="CD71" s="215"/>
      <c r="CE71" s="215"/>
      <c r="CF71" s="215"/>
      <c r="CG71" s="215"/>
      <c r="CH71" s="215"/>
      <c r="CI71" s="215"/>
      <c r="CJ71" s="215"/>
      <c r="CK71" s="215"/>
      <c r="CL71" s="215"/>
      <c r="CM71" s="215"/>
      <c r="CN71" s="215"/>
      <c r="CO71" s="215"/>
      <c r="CP71" s="215"/>
      <c r="CQ71" s="215"/>
      <c r="CR71" s="215"/>
      <c r="CS71" s="215"/>
      <c r="CT71" s="215"/>
      <c r="CU71" s="215"/>
      <c r="CV71" s="215"/>
      <c r="CW71" s="215"/>
    </row>
    <row r="72" spans="2:101">
      <c r="B72" t="s">
        <v>778</v>
      </c>
      <c r="C72" s="232">
        <v>0</v>
      </c>
      <c r="D72" s="232">
        <v>0</v>
      </c>
      <c r="E72" s="232">
        <v>0</v>
      </c>
      <c r="F72" s="232">
        <v>0</v>
      </c>
      <c r="G72" s="232">
        <v>0</v>
      </c>
      <c r="H72" s="232">
        <v>0</v>
      </c>
      <c r="I72" s="232">
        <v>0</v>
      </c>
      <c r="J72" s="232">
        <v>0</v>
      </c>
      <c r="K72" s="232">
        <v>0</v>
      </c>
      <c r="L72" s="234">
        <v>0</v>
      </c>
      <c r="M72" s="232">
        <v>0</v>
      </c>
      <c r="N72" s="232">
        <v>0</v>
      </c>
      <c r="O72" s="232">
        <v>0</v>
      </c>
      <c r="P72" s="232">
        <v>0</v>
      </c>
      <c r="Q72" s="232">
        <v>0</v>
      </c>
      <c r="R72" s="232">
        <v>0</v>
      </c>
      <c r="S72" s="232">
        <v>0</v>
      </c>
      <c r="T72" s="232">
        <v>0</v>
      </c>
      <c r="U72" s="232">
        <v>0</v>
      </c>
      <c r="V72" s="232">
        <v>0</v>
      </c>
      <c r="W72" s="232">
        <v>0</v>
      </c>
      <c r="X72" s="232">
        <v>0</v>
      </c>
      <c r="Y72" s="232">
        <v>0</v>
      </c>
      <c r="Z72" s="232"/>
      <c r="AA72" s="232">
        <v>0</v>
      </c>
      <c r="AB72" s="232">
        <v>0</v>
      </c>
      <c r="AC72" s="232">
        <v>0</v>
      </c>
      <c r="AD72" s="232">
        <v>0</v>
      </c>
      <c r="AE72" s="232">
        <v>0</v>
      </c>
      <c r="AF72" s="232">
        <v>0</v>
      </c>
      <c r="AG72" s="232">
        <v>0</v>
      </c>
      <c r="AH72" s="232">
        <v>0</v>
      </c>
      <c r="AI72" s="232">
        <v>0</v>
      </c>
      <c r="AJ72" s="232">
        <v>0</v>
      </c>
      <c r="AK72" s="232">
        <v>0</v>
      </c>
      <c r="AL72" s="232">
        <v>0</v>
      </c>
      <c r="AM72" s="215"/>
      <c r="AN72" s="215"/>
      <c r="AO72" s="215"/>
      <c r="AP72" s="215"/>
      <c r="AQ72" s="215"/>
      <c r="AR72" s="215"/>
      <c r="AS72" s="215"/>
      <c r="AT72" s="215"/>
      <c r="AU72" s="215"/>
      <c r="AV72" s="215"/>
      <c r="AW72" s="215"/>
      <c r="AX72" s="215"/>
      <c r="AY72" s="215"/>
      <c r="AZ72" s="215"/>
      <c r="BA72" s="215"/>
      <c r="BB72" s="215"/>
      <c r="BC72" s="215"/>
      <c r="BD72" s="215"/>
      <c r="BE72" s="215"/>
      <c r="BF72" s="215"/>
      <c r="BG72" s="215"/>
      <c r="BH72" s="215"/>
      <c r="BI72" s="215"/>
      <c r="BJ72" s="215"/>
      <c r="BK72" s="215"/>
      <c r="BL72" s="215"/>
      <c r="BM72" s="215"/>
      <c r="BN72" s="215"/>
      <c r="BO72" s="215"/>
      <c r="BP72" s="215"/>
      <c r="BQ72" s="215"/>
      <c r="BR72" s="215"/>
      <c r="BS72" s="215"/>
      <c r="BT72" s="215"/>
      <c r="BU72" s="215"/>
      <c r="BV72" s="215"/>
      <c r="BW72" s="215"/>
      <c r="BX72" s="215"/>
      <c r="BY72" s="215"/>
      <c r="BZ72" s="215"/>
      <c r="CA72" s="215"/>
      <c r="CB72" s="215"/>
      <c r="CC72" s="215"/>
      <c r="CD72" s="215"/>
      <c r="CE72" s="215"/>
      <c r="CF72" s="215"/>
      <c r="CG72" s="215"/>
      <c r="CH72" s="215"/>
      <c r="CI72" s="215"/>
      <c r="CJ72" s="215"/>
      <c r="CK72" s="215"/>
      <c r="CL72" s="215"/>
      <c r="CM72" s="215"/>
      <c r="CN72" s="215"/>
      <c r="CO72" s="215"/>
      <c r="CP72" s="215"/>
      <c r="CQ72" s="215"/>
      <c r="CR72" s="215"/>
      <c r="CS72" s="215"/>
      <c r="CT72" s="215"/>
      <c r="CU72" s="215"/>
      <c r="CV72" s="215"/>
      <c r="CW72" s="215"/>
    </row>
    <row r="73" spans="2:101">
      <c r="B73" t="s">
        <v>779</v>
      </c>
      <c r="C73" s="232">
        <v>0</v>
      </c>
      <c r="D73" s="232">
        <v>0</v>
      </c>
      <c r="E73" s="232">
        <v>0</v>
      </c>
      <c r="F73" s="232">
        <v>0</v>
      </c>
      <c r="G73" s="232">
        <v>0</v>
      </c>
      <c r="H73" s="232">
        <v>0</v>
      </c>
      <c r="I73" s="232">
        <v>0</v>
      </c>
      <c r="J73" s="232">
        <v>0</v>
      </c>
      <c r="K73" s="232">
        <v>0</v>
      </c>
      <c r="L73" s="234">
        <v>0</v>
      </c>
      <c r="M73" s="232">
        <v>0</v>
      </c>
      <c r="N73" s="232">
        <v>0</v>
      </c>
      <c r="O73" s="232">
        <v>0</v>
      </c>
      <c r="P73" s="232">
        <v>0</v>
      </c>
      <c r="Q73" s="232">
        <v>0</v>
      </c>
      <c r="R73" s="232">
        <v>0</v>
      </c>
      <c r="S73" s="232">
        <v>0</v>
      </c>
      <c r="T73" s="232">
        <v>0</v>
      </c>
      <c r="U73" s="232">
        <v>0</v>
      </c>
      <c r="V73" s="232">
        <v>0</v>
      </c>
      <c r="W73" s="232">
        <v>0</v>
      </c>
      <c r="X73" s="232">
        <v>0</v>
      </c>
      <c r="Y73" s="232">
        <v>0</v>
      </c>
      <c r="Z73" s="232"/>
      <c r="AA73" s="232">
        <v>0</v>
      </c>
      <c r="AB73" s="232">
        <v>0</v>
      </c>
      <c r="AC73" s="232">
        <v>0</v>
      </c>
      <c r="AD73" s="232">
        <v>0</v>
      </c>
      <c r="AE73" s="232">
        <v>0</v>
      </c>
      <c r="AF73" s="232">
        <v>0</v>
      </c>
      <c r="AG73" s="232">
        <v>0</v>
      </c>
      <c r="AH73" s="232">
        <v>0</v>
      </c>
      <c r="AI73" s="232">
        <v>0</v>
      </c>
      <c r="AJ73" s="232">
        <v>0</v>
      </c>
      <c r="AK73" s="232">
        <v>0</v>
      </c>
      <c r="AL73" s="232">
        <v>0</v>
      </c>
      <c r="AM73" s="215"/>
      <c r="AN73" s="215"/>
      <c r="AO73" s="215"/>
      <c r="AP73" s="215"/>
      <c r="AQ73" s="215"/>
      <c r="AR73" s="215"/>
      <c r="AS73" s="215"/>
      <c r="AT73" s="215"/>
      <c r="AU73" s="215"/>
      <c r="AV73" s="215"/>
      <c r="AW73" s="215"/>
      <c r="AX73" s="215"/>
      <c r="AY73" s="215"/>
      <c r="AZ73" s="215"/>
      <c r="BA73" s="215"/>
      <c r="BB73" s="215"/>
      <c r="BC73" s="215"/>
      <c r="BD73" s="215"/>
      <c r="BE73" s="215"/>
      <c r="BF73" s="215"/>
      <c r="BG73" s="215"/>
      <c r="BH73" s="215"/>
      <c r="BI73" s="215"/>
      <c r="BJ73" s="215"/>
      <c r="BK73" s="215"/>
      <c r="BL73" s="215"/>
      <c r="BM73" s="215"/>
      <c r="BN73" s="215"/>
      <c r="BO73" s="215"/>
      <c r="BP73" s="215"/>
      <c r="BQ73" s="215"/>
      <c r="BR73" s="215"/>
      <c r="BS73" s="215"/>
      <c r="BT73" s="215"/>
      <c r="BU73" s="215"/>
      <c r="BV73" s="215"/>
      <c r="BW73" s="215"/>
      <c r="BX73" s="215"/>
      <c r="BY73" s="215"/>
      <c r="BZ73" s="215"/>
      <c r="CA73" s="215"/>
      <c r="CB73" s="215"/>
      <c r="CC73" s="215"/>
      <c r="CD73" s="215"/>
      <c r="CE73" s="215"/>
      <c r="CF73" s="215"/>
      <c r="CG73" s="215"/>
      <c r="CH73" s="215"/>
      <c r="CI73" s="215"/>
      <c r="CJ73" s="215"/>
      <c r="CK73" s="215"/>
      <c r="CL73" s="215"/>
      <c r="CM73" s="215"/>
      <c r="CN73" s="215"/>
      <c r="CO73" s="215"/>
      <c r="CP73" s="215"/>
      <c r="CQ73" s="215"/>
      <c r="CR73" s="215"/>
      <c r="CS73" s="215"/>
      <c r="CT73" s="215"/>
      <c r="CU73" s="215"/>
      <c r="CV73" s="215"/>
      <c r="CW73" s="215"/>
    </row>
    <row r="74" spans="2:101">
      <c r="B74" t="s">
        <v>780</v>
      </c>
      <c r="C74" s="232">
        <v>0</v>
      </c>
      <c r="D74" s="232">
        <v>0</v>
      </c>
      <c r="E74" s="232">
        <v>0</v>
      </c>
      <c r="F74" s="232">
        <v>0</v>
      </c>
      <c r="G74" s="232">
        <v>0</v>
      </c>
      <c r="H74" s="232">
        <v>0</v>
      </c>
      <c r="I74" s="232">
        <v>0</v>
      </c>
      <c r="J74" s="232">
        <v>0</v>
      </c>
      <c r="K74" s="232">
        <v>0</v>
      </c>
      <c r="L74" s="234">
        <v>0</v>
      </c>
      <c r="M74" s="232">
        <v>0</v>
      </c>
      <c r="N74" s="232">
        <v>0</v>
      </c>
      <c r="O74" s="232">
        <v>0</v>
      </c>
      <c r="P74" s="232">
        <v>0</v>
      </c>
      <c r="Q74" s="232">
        <v>0</v>
      </c>
      <c r="R74" s="232">
        <v>0</v>
      </c>
      <c r="S74" s="232">
        <v>0</v>
      </c>
      <c r="T74" s="232">
        <v>0</v>
      </c>
      <c r="U74" s="232">
        <v>0</v>
      </c>
      <c r="V74" s="232">
        <v>0</v>
      </c>
      <c r="W74" s="232">
        <v>0</v>
      </c>
      <c r="X74" s="232">
        <v>0</v>
      </c>
      <c r="Y74" s="232">
        <v>0</v>
      </c>
      <c r="Z74" s="232"/>
      <c r="AA74" s="232">
        <v>0</v>
      </c>
      <c r="AB74" s="232">
        <v>0</v>
      </c>
      <c r="AC74" s="232">
        <v>0</v>
      </c>
      <c r="AD74" s="232">
        <v>0</v>
      </c>
      <c r="AE74" s="232">
        <v>0</v>
      </c>
      <c r="AF74" s="232">
        <v>0</v>
      </c>
      <c r="AG74" s="232">
        <v>0</v>
      </c>
      <c r="AH74" s="232">
        <v>0</v>
      </c>
      <c r="AI74" s="232">
        <v>0</v>
      </c>
      <c r="AJ74" s="232">
        <v>0</v>
      </c>
      <c r="AK74" s="232">
        <v>0</v>
      </c>
      <c r="AL74" s="232">
        <v>0</v>
      </c>
      <c r="AM74" s="215"/>
      <c r="AN74" s="215"/>
      <c r="AO74" s="215"/>
      <c r="AP74" s="215"/>
      <c r="AQ74" s="215"/>
      <c r="AR74" s="215"/>
      <c r="AS74" s="215"/>
      <c r="AT74" s="215"/>
      <c r="AU74" s="215"/>
      <c r="AV74" s="215"/>
      <c r="AW74" s="215"/>
      <c r="AX74" s="215"/>
      <c r="AY74" s="215"/>
      <c r="AZ74" s="215"/>
      <c r="BA74" s="215"/>
      <c r="BB74" s="215"/>
      <c r="BC74" s="215"/>
      <c r="BD74" s="215"/>
      <c r="BE74" s="215"/>
      <c r="BF74" s="215"/>
      <c r="BG74" s="215"/>
      <c r="BH74" s="215"/>
      <c r="BI74" s="215"/>
      <c r="BJ74" s="215"/>
      <c r="BK74" s="215"/>
      <c r="BL74" s="215"/>
      <c r="BM74" s="215"/>
      <c r="BN74" s="215"/>
      <c r="BO74" s="215"/>
      <c r="BP74" s="215"/>
      <c r="BQ74" s="215"/>
      <c r="BR74" s="215"/>
      <c r="BS74" s="215"/>
      <c r="BT74" s="215"/>
      <c r="BU74" s="215"/>
      <c r="BV74" s="215"/>
      <c r="BW74" s="215"/>
      <c r="BX74" s="215"/>
      <c r="BY74" s="215"/>
      <c r="BZ74" s="215"/>
      <c r="CA74" s="215"/>
      <c r="CB74" s="215"/>
      <c r="CC74" s="215"/>
      <c r="CD74" s="215"/>
      <c r="CE74" s="215"/>
      <c r="CF74" s="215"/>
      <c r="CG74" s="215"/>
      <c r="CH74" s="215"/>
      <c r="CI74" s="215"/>
      <c r="CJ74" s="215"/>
      <c r="CK74" s="215"/>
      <c r="CL74" s="215"/>
      <c r="CM74" s="215"/>
      <c r="CN74" s="215"/>
      <c r="CO74" s="215"/>
      <c r="CP74" s="215"/>
      <c r="CQ74" s="215"/>
      <c r="CR74" s="215"/>
      <c r="CS74" s="215"/>
      <c r="CT74" s="215"/>
      <c r="CU74" s="215"/>
      <c r="CV74" s="215"/>
      <c r="CW74" s="215"/>
    </row>
    <row r="75" spans="2:101">
      <c r="B75" t="s">
        <v>781</v>
      </c>
      <c r="C75" s="232">
        <v>0</v>
      </c>
      <c r="D75" s="232">
        <v>0</v>
      </c>
      <c r="E75" s="232">
        <v>0</v>
      </c>
      <c r="F75" s="232">
        <v>0</v>
      </c>
      <c r="G75" s="232">
        <v>0</v>
      </c>
      <c r="H75" s="232">
        <v>0</v>
      </c>
      <c r="I75" s="232">
        <v>0</v>
      </c>
      <c r="J75" s="232">
        <v>0</v>
      </c>
      <c r="K75" s="232">
        <v>0</v>
      </c>
      <c r="L75" s="234">
        <v>0</v>
      </c>
      <c r="M75" s="232">
        <v>0</v>
      </c>
      <c r="N75" s="232">
        <v>0</v>
      </c>
      <c r="O75" s="232">
        <v>0</v>
      </c>
      <c r="P75" s="232">
        <v>0</v>
      </c>
      <c r="Q75" s="232">
        <v>0</v>
      </c>
      <c r="R75" s="232">
        <v>0</v>
      </c>
      <c r="S75" s="232">
        <v>0</v>
      </c>
      <c r="T75" s="232">
        <v>0</v>
      </c>
      <c r="U75" s="232">
        <v>0</v>
      </c>
      <c r="V75" s="232">
        <v>0</v>
      </c>
      <c r="W75" s="232">
        <v>0</v>
      </c>
      <c r="X75" s="232">
        <v>0</v>
      </c>
      <c r="Y75" s="232">
        <v>0</v>
      </c>
      <c r="Z75" s="232"/>
      <c r="AA75" s="232">
        <v>0</v>
      </c>
      <c r="AB75" s="232">
        <v>0</v>
      </c>
      <c r="AC75" s="232">
        <v>0</v>
      </c>
      <c r="AD75" s="232">
        <v>0</v>
      </c>
      <c r="AE75" s="232">
        <v>0</v>
      </c>
      <c r="AF75" s="232">
        <v>0</v>
      </c>
      <c r="AG75" s="232">
        <v>0</v>
      </c>
      <c r="AH75" s="232">
        <v>0</v>
      </c>
      <c r="AI75" s="232">
        <v>0</v>
      </c>
      <c r="AJ75" s="232">
        <v>0</v>
      </c>
      <c r="AK75" s="232">
        <v>0</v>
      </c>
      <c r="AL75" s="232">
        <v>0</v>
      </c>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c r="BU75" s="215"/>
      <c r="BV75" s="215"/>
      <c r="BW75" s="215"/>
      <c r="BX75" s="215"/>
      <c r="BY75" s="215"/>
      <c r="BZ75" s="215"/>
      <c r="CA75" s="215"/>
      <c r="CB75" s="215"/>
      <c r="CC75" s="215"/>
      <c r="CD75" s="215"/>
      <c r="CE75" s="215"/>
      <c r="CF75" s="215"/>
      <c r="CG75" s="215"/>
      <c r="CH75" s="215"/>
      <c r="CI75" s="215"/>
      <c r="CJ75" s="215"/>
      <c r="CK75" s="215"/>
      <c r="CL75" s="215"/>
      <c r="CM75" s="215"/>
      <c r="CN75" s="215"/>
      <c r="CO75" s="215"/>
      <c r="CP75" s="215"/>
      <c r="CQ75" s="215"/>
      <c r="CR75" s="215"/>
      <c r="CS75" s="215"/>
      <c r="CT75" s="215"/>
      <c r="CU75" s="215"/>
      <c r="CV75" s="215"/>
      <c r="CW75" s="215"/>
    </row>
    <row r="76" spans="2:101">
      <c r="B76" t="s">
        <v>782</v>
      </c>
      <c r="C76" s="232">
        <v>0</v>
      </c>
      <c r="D76" s="232">
        <v>0</v>
      </c>
      <c r="E76" s="232">
        <v>0</v>
      </c>
      <c r="F76" s="232">
        <v>0</v>
      </c>
      <c r="G76" s="232">
        <v>0</v>
      </c>
      <c r="H76" s="232">
        <v>0</v>
      </c>
      <c r="I76" s="232">
        <v>0</v>
      </c>
      <c r="J76" s="232">
        <v>0</v>
      </c>
      <c r="K76" s="232">
        <v>0</v>
      </c>
      <c r="L76" s="234">
        <v>0</v>
      </c>
      <c r="M76" s="232">
        <v>0</v>
      </c>
      <c r="N76" s="232">
        <v>0</v>
      </c>
      <c r="O76" s="232">
        <v>0</v>
      </c>
      <c r="P76" s="232">
        <v>0</v>
      </c>
      <c r="Q76" s="232">
        <v>0</v>
      </c>
      <c r="R76" s="232">
        <v>0</v>
      </c>
      <c r="S76" s="232">
        <v>0</v>
      </c>
      <c r="T76" s="232">
        <v>0</v>
      </c>
      <c r="U76" s="232">
        <v>0</v>
      </c>
      <c r="V76" s="232">
        <v>0</v>
      </c>
      <c r="W76" s="232">
        <v>0</v>
      </c>
      <c r="X76" s="232">
        <v>0</v>
      </c>
      <c r="Y76" s="232">
        <v>0</v>
      </c>
      <c r="Z76" s="232"/>
      <c r="AA76" s="232">
        <v>0</v>
      </c>
      <c r="AB76" s="232">
        <v>0</v>
      </c>
      <c r="AC76" s="232">
        <v>0</v>
      </c>
      <c r="AD76" s="232">
        <v>0</v>
      </c>
      <c r="AE76" s="232">
        <v>0</v>
      </c>
      <c r="AF76" s="232">
        <v>0</v>
      </c>
      <c r="AG76" s="232">
        <v>0</v>
      </c>
      <c r="AH76" s="232">
        <v>0</v>
      </c>
      <c r="AI76" s="232">
        <v>0</v>
      </c>
      <c r="AJ76" s="232">
        <v>0</v>
      </c>
      <c r="AK76" s="232">
        <v>0</v>
      </c>
      <c r="AL76" s="232">
        <v>0</v>
      </c>
      <c r="AM76" s="215"/>
      <c r="AN76" s="215"/>
      <c r="AO76" s="215"/>
      <c r="AP76" s="215"/>
      <c r="AQ76" s="215"/>
      <c r="AR76" s="215"/>
      <c r="AS76" s="215"/>
      <c r="AT76" s="215"/>
      <c r="AU76" s="215"/>
      <c r="AV76" s="215"/>
      <c r="AW76" s="215"/>
      <c r="AX76" s="215"/>
      <c r="AY76" s="215"/>
      <c r="AZ76" s="215"/>
      <c r="BA76" s="215"/>
      <c r="BB76" s="215"/>
      <c r="BC76" s="215"/>
      <c r="BD76" s="215"/>
      <c r="BE76" s="215"/>
      <c r="BF76" s="215"/>
      <c r="BG76" s="215"/>
      <c r="BH76" s="215"/>
      <c r="BI76" s="215"/>
      <c r="BJ76" s="215"/>
      <c r="BK76" s="215"/>
      <c r="BL76" s="215"/>
      <c r="BM76" s="215"/>
      <c r="BN76" s="215"/>
      <c r="BO76" s="215"/>
      <c r="BP76" s="215"/>
      <c r="BQ76" s="215"/>
      <c r="BR76" s="215"/>
      <c r="BS76" s="215"/>
      <c r="BT76" s="215"/>
      <c r="BU76" s="215"/>
      <c r="BV76" s="215"/>
      <c r="BW76" s="215"/>
      <c r="BX76" s="215"/>
      <c r="BY76" s="215"/>
      <c r="BZ76" s="215"/>
      <c r="CA76" s="215"/>
      <c r="CB76" s="215"/>
      <c r="CC76" s="215"/>
      <c r="CD76" s="215"/>
      <c r="CE76" s="215"/>
      <c r="CF76" s="215"/>
      <c r="CG76" s="215"/>
      <c r="CH76" s="215"/>
      <c r="CI76" s="215"/>
      <c r="CJ76" s="215"/>
      <c r="CK76" s="215"/>
      <c r="CL76" s="215"/>
      <c r="CM76" s="215"/>
      <c r="CN76" s="215"/>
      <c r="CO76" s="215"/>
      <c r="CP76" s="215"/>
      <c r="CQ76" s="215"/>
      <c r="CR76" s="215"/>
      <c r="CS76" s="215"/>
      <c r="CT76" s="215"/>
      <c r="CU76" s="215"/>
      <c r="CV76" s="215"/>
      <c r="CW76" s="215"/>
    </row>
    <row r="77" spans="2:101">
      <c r="B77" t="s">
        <v>783</v>
      </c>
      <c r="C77" s="232">
        <v>0</v>
      </c>
      <c r="D77" s="232">
        <v>0</v>
      </c>
      <c r="E77" s="232">
        <v>0</v>
      </c>
      <c r="F77" s="232">
        <v>0</v>
      </c>
      <c r="G77" s="232">
        <v>0</v>
      </c>
      <c r="H77" s="232">
        <v>0</v>
      </c>
      <c r="I77" s="232">
        <v>0</v>
      </c>
      <c r="J77" s="232">
        <v>0</v>
      </c>
      <c r="K77" s="232">
        <v>0</v>
      </c>
      <c r="L77" s="234">
        <v>0</v>
      </c>
      <c r="M77" s="232">
        <v>0</v>
      </c>
      <c r="N77" s="232">
        <v>0</v>
      </c>
      <c r="O77" s="232">
        <v>0</v>
      </c>
      <c r="P77" s="232">
        <v>0</v>
      </c>
      <c r="Q77" s="232">
        <v>0</v>
      </c>
      <c r="R77" s="232">
        <v>0</v>
      </c>
      <c r="S77" s="232">
        <v>0</v>
      </c>
      <c r="T77" s="232">
        <v>0</v>
      </c>
      <c r="U77" s="232">
        <v>0</v>
      </c>
      <c r="V77" s="232">
        <v>0</v>
      </c>
      <c r="W77" s="232">
        <v>0</v>
      </c>
      <c r="X77" s="232">
        <v>0</v>
      </c>
      <c r="Y77" s="232">
        <v>0</v>
      </c>
      <c r="Z77" s="232"/>
      <c r="AA77" s="232">
        <v>0</v>
      </c>
      <c r="AB77" s="232">
        <v>0</v>
      </c>
      <c r="AC77" s="232">
        <v>0</v>
      </c>
      <c r="AD77" s="232">
        <v>0</v>
      </c>
      <c r="AE77" s="232">
        <v>0</v>
      </c>
      <c r="AF77" s="232">
        <v>0</v>
      </c>
      <c r="AG77" s="232">
        <v>0</v>
      </c>
      <c r="AH77" s="232">
        <v>0</v>
      </c>
      <c r="AI77" s="232">
        <v>0</v>
      </c>
      <c r="AJ77" s="232">
        <v>0</v>
      </c>
      <c r="AK77" s="232">
        <v>0</v>
      </c>
      <c r="AL77" s="232">
        <v>0</v>
      </c>
      <c r="AM77" s="215"/>
      <c r="AN77" s="215"/>
      <c r="AO77" s="215"/>
      <c r="AP77" s="215"/>
      <c r="AQ77" s="215"/>
      <c r="AR77" s="215"/>
      <c r="AS77" s="215"/>
      <c r="AT77" s="215"/>
      <c r="AU77" s="215"/>
      <c r="AV77" s="215"/>
      <c r="AW77" s="215"/>
      <c r="AX77" s="215"/>
      <c r="AY77" s="215"/>
      <c r="AZ77" s="215"/>
      <c r="BA77" s="215"/>
      <c r="BB77" s="215"/>
      <c r="BC77" s="215"/>
      <c r="BD77" s="215"/>
      <c r="BE77" s="215"/>
      <c r="BF77" s="215"/>
      <c r="BG77" s="215"/>
      <c r="BH77" s="215"/>
      <c r="BI77" s="215"/>
      <c r="BJ77" s="215"/>
      <c r="BK77" s="215"/>
      <c r="BL77" s="215"/>
      <c r="BM77" s="215"/>
      <c r="BN77" s="215"/>
      <c r="BO77" s="215"/>
      <c r="BP77" s="215"/>
      <c r="BQ77" s="215"/>
      <c r="BR77" s="215"/>
      <c r="BS77" s="215"/>
      <c r="BT77" s="215"/>
      <c r="BU77" s="215"/>
      <c r="BV77" s="215"/>
      <c r="BW77" s="215"/>
      <c r="BX77" s="215"/>
      <c r="BY77" s="215"/>
      <c r="BZ77" s="215"/>
      <c r="CA77" s="215"/>
      <c r="CB77" s="215"/>
      <c r="CC77" s="215"/>
      <c r="CD77" s="215"/>
      <c r="CE77" s="215"/>
      <c r="CF77" s="215"/>
      <c r="CG77" s="215"/>
      <c r="CH77" s="215"/>
      <c r="CI77" s="215"/>
      <c r="CJ77" s="215"/>
      <c r="CK77" s="215"/>
      <c r="CL77" s="215"/>
      <c r="CM77" s="215"/>
      <c r="CN77" s="215"/>
      <c r="CO77" s="215"/>
      <c r="CP77" s="215"/>
      <c r="CQ77" s="215"/>
      <c r="CR77" s="215"/>
      <c r="CS77" s="215"/>
      <c r="CT77" s="215"/>
      <c r="CU77" s="215"/>
      <c r="CV77" s="215"/>
      <c r="CW77" s="215"/>
    </row>
    <row r="78" spans="2:101">
      <c r="B78" t="s">
        <v>784</v>
      </c>
      <c r="C78" s="232">
        <v>0</v>
      </c>
      <c r="D78" s="232">
        <v>0</v>
      </c>
      <c r="E78" s="232">
        <v>0</v>
      </c>
      <c r="F78" s="232">
        <v>0</v>
      </c>
      <c r="G78" s="232">
        <v>0</v>
      </c>
      <c r="H78" s="232">
        <v>0</v>
      </c>
      <c r="I78" s="232">
        <v>0</v>
      </c>
      <c r="J78" s="232">
        <v>0</v>
      </c>
      <c r="K78" s="232">
        <v>0</v>
      </c>
      <c r="L78" s="234">
        <v>0</v>
      </c>
      <c r="M78" s="232">
        <v>0</v>
      </c>
      <c r="N78" s="232">
        <v>0</v>
      </c>
      <c r="O78" s="232">
        <v>0</v>
      </c>
      <c r="P78" s="232">
        <v>0</v>
      </c>
      <c r="Q78" s="232">
        <v>0</v>
      </c>
      <c r="R78" s="232">
        <v>0</v>
      </c>
      <c r="S78" s="232">
        <v>0</v>
      </c>
      <c r="T78" s="232">
        <v>0</v>
      </c>
      <c r="U78" s="232">
        <v>0</v>
      </c>
      <c r="V78" s="232">
        <v>0</v>
      </c>
      <c r="W78" s="232">
        <v>0</v>
      </c>
      <c r="X78" s="232">
        <v>0</v>
      </c>
      <c r="Y78" s="232">
        <v>0</v>
      </c>
      <c r="Z78" s="232"/>
      <c r="AA78" s="232">
        <v>0</v>
      </c>
      <c r="AB78" s="232">
        <v>0</v>
      </c>
      <c r="AC78" s="232">
        <v>0</v>
      </c>
      <c r="AD78" s="232">
        <v>0</v>
      </c>
      <c r="AE78" s="232">
        <v>0</v>
      </c>
      <c r="AF78" s="232">
        <v>0</v>
      </c>
      <c r="AG78" s="232">
        <v>0</v>
      </c>
      <c r="AH78" s="232">
        <v>0</v>
      </c>
      <c r="AI78" s="232">
        <v>0</v>
      </c>
      <c r="AJ78" s="232">
        <v>0</v>
      </c>
      <c r="AK78" s="232">
        <v>0</v>
      </c>
      <c r="AL78" s="232">
        <v>0</v>
      </c>
      <c r="AM78" s="215"/>
      <c r="AN78" s="215"/>
      <c r="AO78" s="215"/>
      <c r="AP78" s="215"/>
      <c r="AQ78" s="215"/>
      <c r="AR78" s="215"/>
      <c r="AS78" s="215"/>
      <c r="AT78" s="215"/>
      <c r="AU78" s="215"/>
      <c r="AV78" s="215"/>
      <c r="AW78" s="215"/>
      <c r="AX78" s="215"/>
      <c r="AY78" s="215"/>
      <c r="AZ78" s="215"/>
      <c r="BA78" s="215"/>
      <c r="BB78" s="215"/>
      <c r="BC78" s="215"/>
      <c r="BD78" s="215"/>
      <c r="BE78" s="215"/>
      <c r="BF78" s="215"/>
      <c r="BG78" s="215"/>
      <c r="BH78" s="215"/>
      <c r="BI78" s="215"/>
      <c r="BJ78" s="215"/>
      <c r="BK78" s="215"/>
      <c r="BL78" s="215"/>
      <c r="BM78" s="215"/>
      <c r="BN78" s="215"/>
      <c r="BO78" s="215"/>
      <c r="BP78" s="215"/>
      <c r="BQ78" s="215"/>
      <c r="BR78" s="215"/>
      <c r="BS78" s="215"/>
      <c r="BT78" s="215"/>
      <c r="BU78" s="215"/>
      <c r="BV78" s="215"/>
      <c r="BW78" s="215"/>
      <c r="BX78" s="215"/>
      <c r="BY78" s="215"/>
      <c r="BZ78" s="215"/>
      <c r="CA78" s="215"/>
      <c r="CB78" s="215"/>
      <c r="CC78" s="215"/>
      <c r="CD78" s="215"/>
      <c r="CE78" s="215"/>
      <c r="CF78" s="215"/>
      <c r="CG78" s="215"/>
      <c r="CH78" s="215"/>
      <c r="CI78" s="215"/>
      <c r="CJ78" s="215"/>
      <c r="CK78" s="215"/>
      <c r="CL78" s="215"/>
      <c r="CM78" s="215"/>
      <c r="CN78" s="215"/>
      <c r="CO78" s="215"/>
      <c r="CP78" s="215"/>
      <c r="CQ78" s="215"/>
      <c r="CR78" s="215"/>
      <c r="CS78" s="215"/>
      <c r="CT78" s="215"/>
      <c r="CU78" s="215"/>
      <c r="CV78" s="215"/>
      <c r="CW78" s="215"/>
    </row>
    <row r="79" spans="2:101">
      <c r="B79" t="s">
        <v>785</v>
      </c>
      <c r="C79" s="232">
        <v>0</v>
      </c>
      <c r="D79" s="232">
        <v>0</v>
      </c>
      <c r="E79" s="232">
        <v>0</v>
      </c>
      <c r="F79" s="232">
        <v>0</v>
      </c>
      <c r="G79" s="232">
        <v>0</v>
      </c>
      <c r="H79" s="232">
        <v>0</v>
      </c>
      <c r="I79" s="232">
        <v>0</v>
      </c>
      <c r="J79" s="232">
        <v>0</v>
      </c>
      <c r="K79" s="232">
        <v>0</v>
      </c>
      <c r="L79" s="234">
        <v>0</v>
      </c>
      <c r="M79" s="232">
        <v>0</v>
      </c>
      <c r="N79" s="232">
        <v>0</v>
      </c>
      <c r="O79" s="232">
        <v>0</v>
      </c>
      <c r="P79" s="232">
        <v>0</v>
      </c>
      <c r="Q79" s="232">
        <v>0</v>
      </c>
      <c r="R79" s="232">
        <v>0</v>
      </c>
      <c r="S79" s="232">
        <v>0</v>
      </c>
      <c r="T79" s="232">
        <v>0</v>
      </c>
      <c r="U79" s="232">
        <v>0</v>
      </c>
      <c r="V79" s="232">
        <v>0</v>
      </c>
      <c r="W79" s="232">
        <v>0</v>
      </c>
      <c r="X79" s="232">
        <v>0</v>
      </c>
      <c r="Y79" s="232">
        <v>0</v>
      </c>
      <c r="Z79" s="232"/>
      <c r="AA79" s="232">
        <v>0</v>
      </c>
      <c r="AB79" s="232">
        <v>0</v>
      </c>
      <c r="AC79" s="232">
        <v>0</v>
      </c>
      <c r="AD79" s="232">
        <v>0</v>
      </c>
      <c r="AE79" s="232">
        <v>0</v>
      </c>
      <c r="AF79" s="232">
        <v>0</v>
      </c>
      <c r="AG79" s="232">
        <v>0</v>
      </c>
      <c r="AH79" s="232">
        <v>0</v>
      </c>
      <c r="AI79" s="232">
        <v>0</v>
      </c>
      <c r="AJ79" s="232">
        <v>0</v>
      </c>
      <c r="AK79" s="232">
        <v>0</v>
      </c>
      <c r="AL79" s="232">
        <v>0</v>
      </c>
      <c r="AM79" s="215"/>
      <c r="AN79" s="215"/>
      <c r="AO79" s="215"/>
      <c r="AP79" s="215"/>
      <c r="AQ79" s="215"/>
      <c r="AR79" s="215"/>
      <c r="AS79" s="215"/>
      <c r="AT79" s="215"/>
      <c r="AU79" s="215"/>
      <c r="AV79" s="215"/>
      <c r="AW79" s="215"/>
      <c r="AX79" s="215"/>
      <c r="AY79" s="215"/>
      <c r="AZ79" s="215"/>
      <c r="BA79" s="215"/>
      <c r="BB79" s="215"/>
      <c r="BC79" s="215"/>
      <c r="BD79" s="215"/>
      <c r="BE79" s="215"/>
      <c r="BF79" s="215"/>
      <c r="BG79" s="215"/>
      <c r="BH79" s="215"/>
      <c r="BI79" s="215"/>
      <c r="BJ79" s="215"/>
      <c r="BK79" s="215"/>
      <c r="BL79" s="215"/>
      <c r="BM79" s="215"/>
      <c r="BN79" s="215"/>
      <c r="BO79" s="215"/>
      <c r="BP79" s="215"/>
      <c r="BQ79" s="215"/>
      <c r="BR79" s="215"/>
      <c r="BS79" s="215"/>
      <c r="BT79" s="215"/>
      <c r="BU79" s="215"/>
      <c r="BV79" s="215"/>
      <c r="BW79" s="215"/>
      <c r="BX79" s="215"/>
      <c r="BY79" s="215"/>
      <c r="BZ79" s="215"/>
      <c r="CA79" s="215"/>
      <c r="CB79" s="215"/>
      <c r="CC79" s="215"/>
      <c r="CD79" s="215"/>
      <c r="CE79" s="215"/>
      <c r="CF79" s="215"/>
      <c r="CG79" s="215"/>
      <c r="CH79" s="215"/>
      <c r="CI79" s="215"/>
      <c r="CJ79" s="215"/>
      <c r="CK79" s="215"/>
      <c r="CL79" s="215"/>
      <c r="CM79" s="215"/>
      <c r="CN79" s="215"/>
      <c r="CO79" s="215"/>
      <c r="CP79" s="215"/>
      <c r="CQ79" s="215"/>
      <c r="CR79" s="215"/>
      <c r="CS79" s="215"/>
      <c r="CT79" s="215"/>
      <c r="CU79" s="215"/>
      <c r="CV79" s="215"/>
      <c r="CW79" s="215"/>
    </row>
    <row r="80" spans="2:101">
      <c r="C80" s="215"/>
      <c r="D80" s="215"/>
      <c r="E80" s="215"/>
      <c r="F80" s="215"/>
      <c r="G80" s="215"/>
      <c r="H80" s="215"/>
      <c r="I80" s="215"/>
      <c r="J80" s="215"/>
      <c r="K80" s="215"/>
      <c r="L80" s="215"/>
      <c r="M80" s="215"/>
      <c r="N80" s="215"/>
      <c r="O80" s="215"/>
      <c r="P80" s="215"/>
      <c r="Q80" s="215"/>
      <c r="R80" s="215"/>
      <c r="S80" s="215"/>
      <c r="T80" s="215"/>
      <c r="U80" s="215"/>
      <c r="V80" s="215"/>
      <c r="W80" s="215"/>
      <c r="X80" s="215"/>
      <c r="Y80" s="215"/>
      <c r="Z80" s="215"/>
      <c r="AA80" s="215"/>
      <c r="AB80" s="215"/>
      <c r="AC80" s="215"/>
      <c r="AD80" s="215"/>
      <c r="AE80" s="215"/>
      <c r="AF80" s="215"/>
      <c r="AG80" s="215"/>
      <c r="AH80" s="215"/>
      <c r="AI80" s="215"/>
      <c r="AJ80" s="215"/>
      <c r="AK80" s="215"/>
      <c r="AL80" s="215"/>
      <c r="AM80" s="215"/>
      <c r="AN80" s="215"/>
      <c r="AO80" s="215"/>
      <c r="AP80" s="215"/>
      <c r="AQ80" s="215"/>
      <c r="AR80" s="215"/>
      <c r="AS80" s="215"/>
      <c r="AT80" s="215"/>
      <c r="AU80" s="215"/>
      <c r="AV80" s="215"/>
      <c r="AW80" s="215"/>
      <c r="AX80" s="215"/>
      <c r="AY80" s="215"/>
      <c r="AZ80" s="215"/>
      <c r="BA80" s="215"/>
      <c r="BB80" s="215"/>
      <c r="BC80" s="215"/>
      <c r="BD80" s="215"/>
      <c r="BE80" s="215"/>
      <c r="BF80" s="215"/>
      <c r="BG80" s="215"/>
      <c r="BH80" s="215"/>
      <c r="BI80" s="215"/>
      <c r="BJ80" s="215"/>
      <c r="BK80" s="215"/>
      <c r="BL80" s="215"/>
      <c r="BM80" s="215"/>
      <c r="BN80" s="215"/>
      <c r="BO80" s="215"/>
      <c r="BP80" s="215"/>
      <c r="BQ80" s="215"/>
      <c r="BR80" s="215"/>
      <c r="BS80" s="215"/>
      <c r="BT80" s="215"/>
      <c r="BU80" s="215"/>
      <c r="BV80" s="215"/>
      <c r="BW80" s="215"/>
      <c r="BX80" s="215"/>
      <c r="BY80" s="215"/>
      <c r="BZ80" s="215"/>
      <c r="CA80" s="215"/>
      <c r="CB80" s="215"/>
      <c r="CC80" s="215"/>
      <c r="CD80" s="215"/>
      <c r="CE80" s="215"/>
      <c r="CF80" s="215"/>
      <c r="CG80" s="215"/>
      <c r="CH80" s="215"/>
      <c r="CI80" s="215"/>
      <c r="CJ80" s="215"/>
      <c r="CK80" s="215"/>
      <c r="CL80" s="215"/>
      <c r="CM80" s="215"/>
      <c r="CN80" s="215"/>
      <c r="CO80" s="215"/>
      <c r="CP80" s="215"/>
      <c r="CQ80" s="215"/>
      <c r="CR80" s="215"/>
      <c r="CS80" s="215"/>
      <c r="CT80" s="215"/>
      <c r="CU80" s="215"/>
      <c r="CV80" s="215"/>
      <c r="CW80" s="215"/>
    </row>
    <row r="81" spans="1:101">
      <c r="C81" s="215"/>
      <c r="D81" s="215"/>
      <c r="E81" s="215"/>
      <c r="F81" s="215"/>
      <c r="G81" s="215"/>
      <c r="H81" s="215"/>
      <c r="I81" s="215"/>
      <c r="J81" s="215"/>
      <c r="K81" s="215"/>
      <c r="L81" s="215"/>
      <c r="M81" s="215"/>
      <c r="N81" s="215"/>
      <c r="O81" s="215"/>
      <c r="P81" s="215"/>
      <c r="Q81" s="215"/>
      <c r="R81" s="215"/>
      <c r="S81" s="215"/>
      <c r="T81" s="215"/>
      <c r="U81" s="215"/>
      <c r="V81" s="215"/>
      <c r="W81" s="215"/>
      <c r="X81" s="215"/>
      <c r="Y81" s="215"/>
      <c r="Z81" s="215"/>
      <c r="AA81" s="215"/>
      <c r="AB81" s="215"/>
      <c r="AC81" s="215"/>
      <c r="AD81" s="215"/>
      <c r="AE81" s="215"/>
      <c r="AF81" s="215"/>
      <c r="AG81" s="215"/>
      <c r="AH81" s="215"/>
      <c r="AI81" s="215"/>
      <c r="AJ81" s="215"/>
      <c r="AK81" s="215"/>
      <c r="AL81" s="215"/>
      <c r="AM81" s="215"/>
      <c r="AN81" s="215"/>
      <c r="AO81" s="215"/>
      <c r="AP81" s="215"/>
      <c r="AQ81" s="215"/>
      <c r="AR81" s="215"/>
      <c r="AS81" s="215"/>
      <c r="AT81" s="215"/>
      <c r="AU81" s="215"/>
      <c r="AV81" s="215"/>
      <c r="AW81" s="215"/>
      <c r="AX81" s="215"/>
      <c r="AY81" s="215"/>
      <c r="AZ81" s="215"/>
      <c r="BA81" s="215"/>
      <c r="BB81" s="215"/>
      <c r="BC81" s="215"/>
      <c r="BD81" s="215"/>
      <c r="BE81" s="215"/>
      <c r="BF81" s="215"/>
      <c r="BG81" s="215"/>
      <c r="BH81" s="215"/>
      <c r="BI81" s="215"/>
      <c r="BJ81" s="215"/>
      <c r="BK81" s="215"/>
      <c r="BL81" s="215"/>
      <c r="BM81" s="215"/>
      <c r="BN81" s="215"/>
      <c r="BO81" s="215"/>
      <c r="BP81" s="215"/>
      <c r="BQ81" s="215"/>
      <c r="BR81" s="215"/>
      <c r="BS81" s="215"/>
      <c r="BT81" s="215"/>
      <c r="BU81" s="215"/>
      <c r="BV81" s="215"/>
      <c r="BW81" s="215"/>
      <c r="BX81" s="215"/>
      <c r="BY81" s="215"/>
      <c r="BZ81" s="215"/>
      <c r="CA81" s="215"/>
      <c r="CB81" s="215"/>
      <c r="CC81" s="215"/>
      <c r="CD81" s="215"/>
      <c r="CE81" s="215"/>
      <c r="CF81" s="215"/>
      <c r="CG81" s="215"/>
      <c r="CH81" s="215"/>
      <c r="CI81" s="215"/>
      <c r="CJ81" s="215"/>
      <c r="CK81" s="215"/>
      <c r="CL81" s="215"/>
      <c r="CM81" s="215"/>
      <c r="CN81" s="215"/>
      <c r="CO81" s="215"/>
      <c r="CP81" s="215"/>
      <c r="CQ81" s="215"/>
      <c r="CR81" s="215"/>
      <c r="CS81" s="215"/>
      <c r="CT81" s="215"/>
      <c r="CU81" s="215"/>
      <c r="CV81" s="215"/>
      <c r="CW81" s="215"/>
    </row>
    <row r="82" spans="1:101" ht="13.5" thickBot="1">
      <c r="A82" s="201" t="s">
        <v>786</v>
      </c>
      <c r="B82" s="200"/>
      <c r="C82" s="215"/>
      <c r="D82" s="215"/>
      <c r="E82" s="215"/>
      <c r="F82" s="215"/>
      <c r="G82" s="215"/>
      <c r="H82" s="215"/>
      <c r="I82" s="215"/>
      <c r="J82" s="215"/>
      <c r="K82" s="215"/>
      <c r="L82" s="215"/>
      <c r="M82" s="215"/>
      <c r="N82" s="215"/>
      <c r="O82" s="215"/>
      <c r="P82" s="215"/>
      <c r="Q82" s="215"/>
      <c r="R82" s="215"/>
      <c r="S82" s="215"/>
      <c r="T82" s="215"/>
      <c r="U82" s="215"/>
      <c r="V82" s="215"/>
      <c r="W82" s="215"/>
      <c r="X82" s="215"/>
      <c r="Y82" s="215"/>
      <c r="Z82" s="215"/>
      <c r="AA82" s="215"/>
      <c r="AB82" s="215"/>
      <c r="AC82" s="215"/>
      <c r="AD82" s="215"/>
      <c r="AE82" s="215"/>
      <c r="AF82" s="215"/>
      <c r="AG82" s="215"/>
      <c r="AH82" s="215"/>
      <c r="AI82" s="215"/>
      <c r="AJ82" s="215"/>
      <c r="AK82" s="215"/>
      <c r="AL82" s="215"/>
      <c r="AM82" s="215"/>
      <c r="AN82" s="215"/>
      <c r="AO82" s="215"/>
      <c r="AP82" s="215"/>
      <c r="AQ82" s="215"/>
      <c r="AR82" s="215"/>
      <c r="AS82" s="215"/>
      <c r="AT82" s="215"/>
      <c r="AU82" s="215"/>
      <c r="AV82" s="215"/>
      <c r="AW82" s="215"/>
      <c r="AX82" s="215"/>
      <c r="AY82" s="215"/>
      <c r="AZ82" s="215"/>
      <c r="BA82" s="215"/>
      <c r="BB82" s="215"/>
      <c r="BC82" s="215"/>
      <c r="BD82" s="215"/>
      <c r="BE82" s="215"/>
      <c r="BF82" s="215"/>
      <c r="BG82" s="215"/>
      <c r="BH82" s="215"/>
      <c r="BI82" s="215"/>
      <c r="BJ82" s="215"/>
      <c r="BK82" s="215"/>
      <c r="BL82" s="215"/>
      <c r="BM82" s="215"/>
      <c r="BN82" s="215"/>
      <c r="BO82" s="215"/>
      <c r="BP82" s="215"/>
      <c r="BQ82" s="215"/>
      <c r="BR82" s="215"/>
      <c r="BS82" s="215"/>
      <c r="BT82" s="215"/>
      <c r="BU82" s="215"/>
      <c r="BV82" s="215"/>
      <c r="BW82" s="215"/>
      <c r="BX82" s="215"/>
      <c r="BY82" s="215"/>
      <c r="BZ82" s="215"/>
      <c r="CA82" s="215"/>
      <c r="CB82" s="215"/>
      <c r="CC82" s="215"/>
      <c r="CD82" s="215"/>
      <c r="CE82" s="215"/>
      <c r="CF82" s="215"/>
      <c r="CG82" s="215"/>
      <c r="CH82" s="215"/>
      <c r="CI82" s="215"/>
      <c r="CJ82" s="215"/>
      <c r="CK82" s="215"/>
      <c r="CL82" s="215"/>
      <c r="CM82" s="215"/>
      <c r="CN82" s="215"/>
      <c r="CO82" s="215"/>
      <c r="CP82" s="215"/>
      <c r="CQ82" s="215"/>
      <c r="CR82" s="215"/>
      <c r="CS82" s="215"/>
      <c r="CT82" s="215"/>
      <c r="CU82" s="215"/>
      <c r="CV82" s="215"/>
      <c r="CW82" s="215"/>
    </row>
    <row r="83" spans="1:101" ht="13.5" thickBot="1">
      <c r="A83" s="235"/>
      <c r="B83" s="236"/>
      <c r="C83" s="225"/>
      <c r="D83" s="225"/>
      <c r="E83" s="225"/>
      <c r="F83" s="225"/>
      <c r="G83" s="225"/>
      <c r="H83" s="225"/>
      <c r="I83" s="225"/>
      <c r="J83" s="225"/>
      <c r="K83" s="225"/>
      <c r="L83" s="225"/>
      <c r="M83" s="225"/>
      <c r="N83" s="225"/>
      <c r="O83" s="237" t="s">
        <v>1318</v>
      </c>
      <c r="P83" s="238"/>
      <c r="Q83" s="238"/>
      <c r="R83" s="238"/>
      <c r="S83" s="238"/>
      <c r="T83" s="238"/>
      <c r="U83" s="238"/>
      <c r="V83" s="238"/>
      <c r="W83" s="238"/>
      <c r="X83" s="238"/>
      <c r="Y83" s="238"/>
      <c r="Z83" s="229"/>
      <c r="AA83" s="225"/>
      <c r="AB83" s="237" t="s">
        <v>1319</v>
      </c>
      <c r="AC83" s="238"/>
      <c r="AD83" s="238"/>
      <c r="AE83" s="238"/>
      <c r="AF83" s="238"/>
      <c r="AG83" s="238"/>
      <c r="AH83" s="238"/>
      <c r="AI83" s="238"/>
      <c r="AJ83" s="238"/>
      <c r="AK83" s="238"/>
      <c r="AL83" s="238"/>
      <c r="AM83" s="229"/>
      <c r="AN83" s="215"/>
      <c r="AO83" s="215"/>
      <c r="AP83" s="215"/>
      <c r="AQ83" s="215"/>
      <c r="AR83" s="215"/>
      <c r="AS83" s="215"/>
      <c r="AT83" s="215"/>
      <c r="AU83" s="215"/>
      <c r="AV83" s="215"/>
      <c r="AW83" s="215"/>
      <c r="AX83" s="215"/>
      <c r="AY83" s="215"/>
      <c r="AZ83" s="215"/>
      <c r="BA83" s="215"/>
      <c r="BB83" s="215"/>
      <c r="BC83" s="215"/>
      <c r="BD83" s="215"/>
      <c r="BE83" s="215"/>
      <c r="BF83" s="215"/>
      <c r="BG83" s="215"/>
      <c r="BH83" s="215"/>
      <c r="BI83" s="215"/>
      <c r="BJ83" s="215"/>
      <c r="BK83" s="215"/>
      <c r="BL83" s="215"/>
      <c r="BM83" s="215"/>
      <c r="BN83" s="215"/>
      <c r="BO83" s="215"/>
      <c r="BP83" s="215"/>
      <c r="BQ83" s="215"/>
      <c r="BR83" s="215"/>
      <c r="BS83" s="215"/>
      <c r="BT83" s="215"/>
      <c r="BU83" s="215"/>
      <c r="BV83" s="215"/>
      <c r="BW83" s="215"/>
      <c r="BX83" s="215"/>
      <c r="BY83" s="215"/>
      <c r="BZ83" s="215"/>
      <c r="CA83" s="215"/>
      <c r="CB83" s="215"/>
      <c r="CC83" s="215"/>
      <c r="CD83" s="215"/>
      <c r="CE83" s="215"/>
      <c r="CF83" s="215"/>
      <c r="CG83" s="215"/>
      <c r="CH83" s="215"/>
      <c r="CI83" s="215"/>
      <c r="CJ83" s="215"/>
      <c r="CK83" s="215"/>
      <c r="CL83" s="215"/>
      <c r="CM83" s="215"/>
      <c r="CN83" s="215"/>
      <c r="CO83" s="215"/>
      <c r="CP83" s="215"/>
      <c r="CQ83" s="215"/>
      <c r="CR83" s="215"/>
      <c r="CS83" s="215"/>
      <c r="CT83" s="215"/>
      <c r="CU83" s="215"/>
      <c r="CV83" s="215"/>
      <c r="CW83" s="215"/>
    </row>
    <row r="84" spans="1:101" ht="102">
      <c r="A84" s="214" t="s">
        <v>88</v>
      </c>
      <c r="B84" s="213" t="s">
        <v>195</v>
      </c>
      <c r="C84" s="220" t="s">
        <v>787</v>
      </c>
      <c r="D84" s="220" t="s">
        <v>741</v>
      </c>
      <c r="E84" s="220" t="s">
        <v>742</v>
      </c>
      <c r="F84" s="220" t="s">
        <v>743</v>
      </c>
      <c r="G84" s="220" t="s">
        <v>744</v>
      </c>
      <c r="H84" s="220" t="s">
        <v>745</v>
      </c>
      <c r="I84" s="220" t="s">
        <v>746</v>
      </c>
      <c r="J84" s="220" t="s">
        <v>747</v>
      </c>
      <c r="K84" s="220" t="s">
        <v>722</v>
      </c>
      <c r="L84" s="220" t="s">
        <v>721</v>
      </c>
      <c r="M84" s="220" t="s">
        <v>748</v>
      </c>
      <c r="N84" s="220" t="s">
        <v>1317</v>
      </c>
      <c r="O84" s="220" t="s">
        <v>749</v>
      </c>
      <c r="P84" s="220" t="s">
        <v>750</v>
      </c>
      <c r="Q84" s="220" t="s">
        <v>751</v>
      </c>
      <c r="R84" s="220" t="s">
        <v>752</v>
      </c>
      <c r="S84" s="220" t="s">
        <v>753</v>
      </c>
      <c r="T84" s="220" t="s">
        <v>754</v>
      </c>
      <c r="U84" s="220" t="s">
        <v>755</v>
      </c>
      <c r="V84" s="220" t="s">
        <v>756</v>
      </c>
      <c r="W84" s="220" t="s">
        <v>757</v>
      </c>
      <c r="X84" s="220" t="s">
        <v>758</v>
      </c>
      <c r="Y84" s="220" t="s">
        <v>759</v>
      </c>
      <c r="Z84" s="220" t="s">
        <v>760</v>
      </c>
      <c r="AA84" s="220"/>
      <c r="AB84" s="220" t="s">
        <v>749</v>
      </c>
      <c r="AC84" s="220" t="s">
        <v>750</v>
      </c>
      <c r="AD84" s="220" t="s">
        <v>751</v>
      </c>
      <c r="AE84" s="220" t="s">
        <v>752</v>
      </c>
      <c r="AF84" s="220" t="s">
        <v>753</v>
      </c>
      <c r="AG84" s="220" t="s">
        <v>754</v>
      </c>
      <c r="AH84" s="220" t="s">
        <v>755</v>
      </c>
      <c r="AI84" s="220" t="s">
        <v>756</v>
      </c>
      <c r="AJ84" s="220" t="s">
        <v>757</v>
      </c>
      <c r="AK84" s="220" t="s">
        <v>758</v>
      </c>
      <c r="AL84" s="220" t="s">
        <v>759</v>
      </c>
      <c r="AM84" s="220" t="s">
        <v>760</v>
      </c>
      <c r="AN84" s="215"/>
      <c r="AO84" s="215"/>
      <c r="AP84" s="215"/>
      <c r="AQ84" s="215"/>
      <c r="AR84" s="215"/>
      <c r="AS84" s="215"/>
      <c r="AT84" s="215"/>
      <c r="AU84" s="215"/>
      <c r="AV84" s="215"/>
      <c r="AW84" s="215"/>
      <c r="AX84" s="215"/>
      <c r="AY84" s="215"/>
      <c r="AZ84" s="215"/>
      <c r="BA84" s="215"/>
      <c r="BB84" s="215"/>
      <c r="BC84" s="215"/>
      <c r="BD84" s="215"/>
      <c r="BE84" s="215"/>
      <c r="BF84" s="215"/>
      <c r="BG84" s="215"/>
      <c r="BH84" s="215"/>
      <c r="BI84" s="215"/>
      <c r="BJ84" s="215"/>
      <c r="BK84" s="215"/>
      <c r="BL84" s="215"/>
      <c r="BM84" s="215"/>
      <c r="BN84" s="215"/>
      <c r="BO84" s="215"/>
      <c r="BP84" s="215"/>
      <c r="BQ84" s="215"/>
      <c r="BR84" s="215"/>
      <c r="BS84" s="215"/>
      <c r="BT84" s="215"/>
      <c r="BU84" s="215"/>
      <c r="BV84" s="215"/>
      <c r="BW84" s="215"/>
      <c r="BX84" s="215"/>
      <c r="BY84" s="215"/>
      <c r="BZ84" s="215"/>
      <c r="CA84" s="215"/>
      <c r="CB84" s="215"/>
      <c r="CC84" s="215"/>
      <c r="CD84" s="215"/>
      <c r="CE84" s="215"/>
      <c r="CF84" s="215"/>
      <c r="CG84" s="215"/>
      <c r="CH84" s="215"/>
      <c r="CI84" s="215"/>
      <c r="CJ84" s="215"/>
      <c r="CK84" s="215"/>
      <c r="CL84" s="215"/>
      <c r="CM84" s="215"/>
      <c r="CN84" s="215"/>
      <c r="CO84" s="215"/>
      <c r="CP84" s="215"/>
      <c r="CQ84" s="215"/>
      <c r="CR84" s="215"/>
      <c r="CS84" s="215"/>
      <c r="CT84" s="215"/>
      <c r="CU84" s="215"/>
      <c r="CV84" s="215"/>
      <c r="CW84" s="215"/>
    </row>
    <row r="85" spans="1:101">
      <c r="A85" t="s">
        <v>818</v>
      </c>
      <c r="C85" s="231">
        <v>42563.483804441617</v>
      </c>
      <c r="D85" s="231">
        <v>8953.6568683722271</v>
      </c>
      <c r="E85" s="231">
        <v>1790.7313736744454</v>
      </c>
      <c r="F85" s="231">
        <v>10744.388242046673</v>
      </c>
      <c r="G85" s="231">
        <v>-476.57184088134454</v>
      </c>
      <c r="H85" s="231">
        <v>27174.390768459165</v>
      </c>
      <c r="I85" s="231">
        <v>2211.304916504675</v>
      </c>
      <c r="J85" s="231">
        <v>4.3940275477090278</v>
      </c>
      <c r="K85" s="231">
        <v>-9.7450143525555504</v>
      </c>
      <c r="L85" s="222">
        <v>2.7221180311715329</v>
      </c>
      <c r="M85" s="231">
        <v>404.35727122094892</v>
      </c>
      <c r="N85" s="231">
        <v>6.6879149448802169</v>
      </c>
      <c r="O85" s="231">
        <v>2156.9232322531584</v>
      </c>
      <c r="P85" s="231">
        <v>2043.8649469647689</v>
      </c>
      <c r="Q85" s="231">
        <v>2452.985272102103</v>
      </c>
      <c r="R85" s="231">
        <v>2330.9485961970258</v>
      </c>
      <c r="S85" s="231">
        <v>2594.3144096299889</v>
      </c>
      <c r="T85" s="231">
        <v>2899.0377082920072</v>
      </c>
      <c r="U85" s="231">
        <v>3061.779185390456</v>
      </c>
      <c r="V85" s="231">
        <v>3293.2725792015813</v>
      </c>
      <c r="W85" s="231">
        <v>2813.2916882334562</v>
      </c>
      <c r="X85" s="231">
        <v>2747.0820577325276</v>
      </c>
      <c r="Y85" s="231">
        <v>2178.41187784774</v>
      </c>
      <c r="Z85" s="231">
        <v>2153.250493189777</v>
      </c>
      <c r="AA85" s="231"/>
      <c r="AB85" s="231">
        <v>815.53385639239559</v>
      </c>
      <c r="AC85" s="231">
        <v>705.44252109230706</v>
      </c>
      <c r="AD85" s="231">
        <v>751.14005581817707</v>
      </c>
      <c r="AE85" s="231">
        <v>900.57227633526657</v>
      </c>
      <c r="AF85" s="231">
        <v>1006.7000189914651</v>
      </c>
      <c r="AG85" s="231">
        <v>1123.1077073732017</v>
      </c>
      <c r="AH85" s="231">
        <v>1383.311799333841</v>
      </c>
      <c r="AI85" s="231">
        <v>1284.9253318931012</v>
      </c>
      <c r="AJ85" s="231">
        <v>1313.190672426671</v>
      </c>
      <c r="AK85" s="231">
        <v>968.37837828161787</v>
      </c>
      <c r="AL85" s="231">
        <v>769.11117636943504</v>
      </c>
      <c r="AM85" s="215">
        <v>816.90796309954362</v>
      </c>
      <c r="AN85" s="215"/>
      <c r="AO85" s="215"/>
      <c r="AP85" s="215"/>
      <c r="AQ85" s="215"/>
      <c r="AR85" s="215"/>
      <c r="AS85" s="215"/>
      <c r="AT85" s="215"/>
      <c r="AU85" s="215"/>
      <c r="AV85" s="215"/>
      <c r="AW85" s="215"/>
      <c r="AX85" s="215"/>
      <c r="AY85" s="215"/>
      <c r="AZ85" s="215"/>
      <c r="BA85" s="215"/>
      <c r="BB85" s="215"/>
      <c r="BC85" s="215"/>
      <c r="BD85" s="215"/>
      <c r="BE85" s="215"/>
      <c r="BF85" s="215"/>
      <c r="BG85" s="215"/>
      <c r="BH85" s="215"/>
      <c r="BI85" s="215"/>
      <c r="BJ85" s="215"/>
      <c r="BK85" s="215"/>
      <c r="BL85" s="215"/>
      <c r="BM85" s="215"/>
      <c r="BN85" s="215"/>
      <c r="BO85" s="215"/>
      <c r="BP85" s="215"/>
      <c r="BQ85" s="215"/>
      <c r="BR85" s="215"/>
      <c r="BS85" s="215"/>
      <c r="BT85" s="215"/>
      <c r="BU85" s="215"/>
      <c r="BV85" s="215"/>
      <c r="BW85" s="215"/>
      <c r="BX85" s="215"/>
      <c r="BY85" s="215"/>
      <c r="BZ85" s="215"/>
      <c r="CA85" s="215"/>
      <c r="CB85" s="215"/>
      <c r="CC85" s="215"/>
      <c r="CD85" s="215"/>
      <c r="CE85" s="215"/>
      <c r="CF85" s="215"/>
      <c r="CG85" s="215"/>
      <c r="CH85" s="215"/>
      <c r="CI85" s="215"/>
      <c r="CJ85" s="215"/>
      <c r="CK85" s="215"/>
      <c r="CL85" s="215"/>
      <c r="CM85" s="215"/>
      <c r="CN85" s="215"/>
      <c r="CO85" s="215"/>
      <c r="CP85" s="215"/>
      <c r="CQ85" s="215"/>
      <c r="CR85" s="215"/>
      <c r="CS85" s="215"/>
      <c r="CT85" s="215"/>
      <c r="CU85" s="215"/>
      <c r="CV85" s="215"/>
      <c r="CW85" s="215"/>
    </row>
    <row r="86" spans="1:101">
      <c r="A86" t="s">
        <v>814</v>
      </c>
      <c r="C86" s="231">
        <v>100057.53810026644</v>
      </c>
      <c r="D86" s="231">
        <v>50893.141158028397</v>
      </c>
      <c r="E86" s="231">
        <v>10178.62823160568</v>
      </c>
      <c r="F86" s="231">
        <v>61071.769389634079</v>
      </c>
      <c r="G86" s="231">
        <v>52400.032096529234</v>
      </c>
      <c r="H86" s="231">
        <v>63881.111145861963</v>
      </c>
      <c r="I86" s="231">
        <v>5346.810545319323</v>
      </c>
      <c r="J86" s="231">
        <v>23.274183085514689</v>
      </c>
      <c r="K86" s="231">
        <v>29.613549308799605</v>
      </c>
      <c r="L86" s="222">
        <v>1.1257988168114799</v>
      </c>
      <c r="M86" s="231">
        <v>950.55642665903974</v>
      </c>
      <c r="N86" s="231">
        <v>15.721840521401663</v>
      </c>
      <c r="O86" s="231">
        <v>5070.4596804643888</v>
      </c>
      <c r="P86" s="231">
        <v>4804.6841217773126</v>
      </c>
      <c r="Q86" s="231">
        <v>5766.4374572914139</v>
      </c>
      <c r="R86" s="231">
        <v>5479.5556455228043</v>
      </c>
      <c r="S86" s="231">
        <v>6098.671670727641</v>
      </c>
      <c r="T86" s="231">
        <v>6815.0101924050432</v>
      </c>
      <c r="U86" s="231">
        <v>7197.580181743474</v>
      </c>
      <c r="V86" s="231">
        <v>7741.7710467966663</v>
      </c>
      <c r="W86" s="231">
        <v>6613.4398578813598</v>
      </c>
      <c r="X86" s="231">
        <v>6457.7953468049445</v>
      </c>
      <c r="Y86" s="231">
        <v>5120.9748353135938</v>
      </c>
      <c r="Z86" s="231">
        <v>5061.8258658439736</v>
      </c>
      <c r="AA86" s="231"/>
      <c r="AB86" s="231">
        <v>1917.1435844620435</v>
      </c>
      <c r="AC86" s="231">
        <v>1658.3426830389246</v>
      </c>
      <c r="AD86" s="231">
        <v>1765.7676965300627</v>
      </c>
      <c r="AE86" s="231">
        <v>2117.0505042647965</v>
      </c>
      <c r="AF86" s="231">
        <v>2366.5338572512769</v>
      </c>
      <c r="AG86" s="231">
        <v>2640.183137675172</v>
      </c>
      <c r="AH86" s="231">
        <v>3251.8666400129209</v>
      </c>
      <c r="AI86" s="231">
        <v>3020.5813495575567</v>
      </c>
      <c r="AJ86" s="231">
        <v>3087.0270474790118</v>
      </c>
      <c r="AK86" s="231">
        <v>2276.4479741734885</v>
      </c>
      <c r="AL86" s="231">
        <v>1808.0139113259095</v>
      </c>
      <c r="AM86" s="215">
        <v>1920.3738119226527</v>
      </c>
      <c r="AN86" s="215"/>
      <c r="AO86" s="215"/>
      <c r="AP86" s="215"/>
      <c r="AQ86" s="215"/>
      <c r="AR86" s="215"/>
      <c r="AS86" s="215"/>
      <c r="AT86" s="215"/>
      <c r="AU86" s="215"/>
      <c r="AV86" s="215"/>
      <c r="AW86" s="215"/>
      <c r="AX86" s="215"/>
      <c r="AY86" s="215"/>
      <c r="AZ86" s="215"/>
      <c r="BA86" s="215"/>
      <c r="BB86" s="215"/>
      <c r="BC86" s="215"/>
      <c r="BD86" s="215"/>
      <c r="BE86" s="215"/>
      <c r="BF86" s="215"/>
      <c r="BG86" s="215"/>
      <c r="BH86" s="215"/>
      <c r="BI86" s="215"/>
      <c r="BJ86" s="215"/>
      <c r="BK86" s="215"/>
      <c r="BL86" s="215"/>
      <c r="BM86" s="215"/>
      <c r="BN86" s="215"/>
      <c r="BO86" s="215"/>
      <c r="BP86" s="215"/>
      <c r="BQ86" s="215"/>
      <c r="BR86" s="215"/>
      <c r="BS86" s="215"/>
      <c r="BT86" s="215"/>
      <c r="BU86" s="215"/>
      <c r="BV86" s="215"/>
      <c r="BW86" s="215"/>
      <c r="BX86" s="215"/>
      <c r="BY86" s="215"/>
      <c r="BZ86" s="215"/>
      <c r="CA86" s="215"/>
      <c r="CB86" s="215"/>
      <c r="CC86" s="215"/>
      <c r="CD86" s="215"/>
      <c r="CE86" s="215"/>
      <c r="CF86" s="215"/>
      <c r="CG86" s="215"/>
      <c r="CH86" s="215"/>
      <c r="CI86" s="215"/>
      <c r="CJ86" s="215"/>
      <c r="CK86" s="215"/>
      <c r="CL86" s="215"/>
      <c r="CM86" s="215"/>
      <c r="CN86" s="215"/>
      <c r="CO86" s="215"/>
      <c r="CP86" s="215"/>
      <c r="CQ86" s="215"/>
      <c r="CR86" s="215"/>
      <c r="CS86" s="215"/>
      <c r="CT86" s="215"/>
      <c r="CU86" s="215"/>
      <c r="CV86" s="215"/>
      <c r="CW86" s="215"/>
    </row>
    <row r="87" spans="1:101">
      <c r="A87" t="s">
        <v>816</v>
      </c>
      <c r="C87" s="231">
        <v>80807.37285016627</v>
      </c>
      <c r="D87" s="231">
        <v>47324.287442737863</v>
      </c>
      <c r="E87" s="231">
        <v>9464.8574885475737</v>
      </c>
      <c r="F87" s="231">
        <v>56789.144931285438</v>
      </c>
      <c r="G87" s="231">
        <v>53477.440735304051</v>
      </c>
      <c r="H87" s="231">
        <v>51590.963204328888</v>
      </c>
      <c r="I87" s="231">
        <v>6156.2811913274172</v>
      </c>
      <c r="J87" s="231">
        <v>28.14833529862949</v>
      </c>
      <c r="K87" s="231">
        <v>39.77446296180814</v>
      </c>
      <c r="L87" s="223">
        <v>0.97777096246276696</v>
      </c>
      <c r="M87" s="231">
        <v>767.6779685223346</v>
      </c>
      <c r="N87" s="231">
        <v>12.697100618552732</v>
      </c>
      <c r="O87" s="231">
        <v>4094.9491032892979</v>
      </c>
      <c r="P87" s="231">
        <v>3880.3063579944214</v>
      </c>
      <c r="Q87" s="231">
        <v>4657.0270513908554</v>
      </c>
      <c r="R87" s="231">
        <v>4425.3387051886257</v>
      </c>
      <c r="S87" s="231">
        <v>4925.3424074195027</v>
      </c>
      <c r="T87" s="231">
        <v>5503.8638772373633</v>
      </c>
      <c r="U87" s="231">
        <v>5812.8308612018864</v>
      </c>
      <c r="V87" s="231">
        <v>6252.3243263513232</v>
      </c>
      <c r="W87" s="231">
        <v>5341.0738517515711</v>
      </c>
      <c r="X87" s="231">
        <v>5215.3739367083863</v>
      </c>
      <c r="Y87" s="231">
        <v>4135.745599285362</v>
      </c>
      <c r="Z87" s="231">
        <v>4087.9763565038229</v>
      </c>
      <c r="AA87" s="231"/>
      <c r="AB87" s="231">
        <v>1548.3025005241063</v>
      </c>
      <c r="AC87" s="231">
        <v>1339.292551525557</v>
      </c>
      <c r="AD87" s="231">
        <v>1426.0499641446211</v>
      </c>
      <c r="AE87" s="231">
        <v>1709.7491372346922</v>
      </c>
      <c r="AF87" s="231">
        <v>1911.2341498330034</v>
      </c>
      <c r="AG87" s="231">
        <v>2132.2357840250656</v>
      </c>
      <c r="AH87" s="231">
        <v>2626.2369135568583</v>
      </c>
      <c r="AI87" s="231">
        <v>2439.4488208710577</v>
      </c>
      <c r="AJ87" s="231">
        <v>2493.1109675535795</v>
      </c>
      <c r="AK87" s="231">
        <v>1838.4799757785856</v>
      </c>
      <c r="AL87" s="231">
        <v>1460.1683893560755</v>
      </c>
      <c r="AM87" s="215">
        <v>1550.9112614406374</v>
      </c>
      <c r="AN87" s="215"/>
      <c r="AO87" s="215"/>
      <c r="AP87" s="215"/>
      <c r="AQ87" s="215"/>
      <c r="AR87" s="215"/>
      <c r="AS87" s="215"/>
      <c r="AT87" s="215"/>
      <c r="AU87" s="215"/>
      <c r="AV87" s="215"/>
      <c r="AW87" s="215"/>
      <c r="AX87" s="215"/>
      <c r="AY87" s="215"/>
      <c r="AZ87" s="215"/>
      <c r="BA87" s="215"/>
      <c r="BB87" s="215"/>
      <c r="BC87" s="215"/>
      <c r="BD87" s="215"/>
      <c r="BE87" s="215"/>
      <c r="BF87" s="215"/>
      <c r="BG87" s="215"/>
      <c r="BH87" s="215"/>
      <c r="BI87" s="215"/>
      <c r="BJ87" s="215"/>
      <c r="BK87" s="215"/>
      <c r="BL87" s="215"/>
      <c r="BM87" s="215"/>
      <c r="BN87" s="215"/>
      <c r="BO87" s="215"/>
      <c r="BP87" s="215"/>
      <c r="BQ87" s="215"/>
      <c r="BR87" s="215"/>
      <c r="BS87" s="215"/>
      <c r="BT87" s="215"/>
      <c r="BU87" s="215"/>
      <c r="BV87" s="215"/>
      <c r="BW87" s="215"/>
      <c r="BX87" s="215"/>
      <c r="BY87" s="215"/>
      <c r="BZ87" s="215"/>
      <c r="CA87" s="215"/>
      <c r="CB87" s="215"/>
      <c r="CC87" s="215"/>
      <c r="CD87" s="215"/>
      <c r="CE87" s="215"/>
      <c r="CF87" s="215"/>
      <c r="CG87" s="215"/>
      <c r="CH87" s="215"/>
      <c r="CI87" s="215"/>
      <c r="CJ87" s="215"/>
      <c r="CK87" s="215"/>
      <c r="CL87" s="215"/>
      <c r="CM87" s="215"/>
      <c r="CN87" s="215"/>
      <c r="CO87" s="215"/>
      <c r="CP87" s="215"/>
      <c r="CQ87" s="215"/>
      <c r="CR87" s="215"/>
      <c r="CS87" s="215"/>
      <c r="CT87" s="215"/>
      <c r="CU87" s="215"/>
      <c r="CV87" s="215"/>
      <c r="CW87" s="215"/>
    </row>
    <row r="88" spans="1:101">
      <c r="C88" s="215"/>
      <c r="D88" s="215"/>
      <c r="E88" s="215"/>
      <c r="F88" s="215"/>
      <c r="G88" s="215"/>
      <c r="H88" s="215"/>
      <c r="I88" s="215"/>
      <c r="J88" s="215"/>
      <c r="K88" s="215"/>
      <c r="L88" s="215"/>
      <c r="M88" s="215"/>
      <c r="N88" s="215"/>
      <c r="O88" s="215"/>
      <c r="P88" s="215"/>
      <c r="Q88" s="215"/>
      <c r="R88" s="215"/>
      <c r="S88" s="215"/>
      <c r="T88" s="215"/>
      <c r="U88" s="215"/>
      <c r="V88" s="215"/>
      <c r="W88" s="215"/>
      <c r="X88" s="215"/>
      <c r="Y88" s="215"/>
      <c r="Z88" s="215"/>
      <c r="AA88" s="215"/>
      <c r="AB88" s="215"/>
      <c r="AC88" s="215"/>
      <c r="AD88" s="215"/>
      <c r="AE88" s="215"/>
      <c r="AF88" s="215"/>
      <c r="AG88" s="215"/>
      <c r="AH88" s="215"/>
      <c r="AI88" s="215"/>
      <c r="AJ88" s="215"/>
      <c r="AK88" s="215"/>
      <c r="AL88" s="215"/>
      <c r="AM88" s="215"/>
      <c r="AN88" s="215"/>
      <c r="AO88" s="215"/>
      <c r="AP88" s="215"/>
      <c r="AQ88" s="215"/>
      <c r="AR88" s="215"/>
      <c r="AS88" s="215"/>
      <c r="AT88" s="215"/>
      <c r="AU88" s="215"/>
      <c r="AV88" s="215"/>
      <c r="AW88" s="215"/>
      <c r="AX88" s="215"/>
      <c r="AY88" s="215"/>
      <c r="AZ88" s="215"/>
      <c r="BA88" s="215"/>
      <c r="BB88" s="215"/>
      <c r="BC88" s="215"/>
      <c r="BD88" s="215"/>
      <c r="BE88" s="215"/>
      <c r="BF88" s="215"/>
      <c r="BG88" s="215"/>
      <c r="BH88" s="215"/>
      <c r="BI88" s="215"/>
      <c r="BJ88" s="215"/>
      <c r="BK88" s="215"/>
      <c r="BL88" s="215"/>
      <c r="BM88" s="215"/>
      <c r="BN88" s="215"/>
      <c r="BO88" s="215"/>
      <c r="BP88" s="215"/>
      <c r="BQ88" s="215"/>
      <c r="BR88" s="215"/>
      <c r="BS88" s="215"/>
      <c r="BT88" s="215"/>
      <c r="BU88" s="215"/>
      <c r="BV88" s="215"/>
      <c r="BW88" s="215"/>
      <c r="BX88" s="215"/>
      <c r="BY88" s="215"/>
      <c r="BZ88" s="215"/>
      <c r="CA88" s="215"/>
      <c r="CB88" s="215"/>
      <c r="CC88" s="215"/>
      <c r="CD88" s="215"/>
      <c r="CE88" s="215"/>
      <c r="CF88" s="215"/>
      <c r="CG88" s="215"/>
      <c r="CH88" s="215"/>
      <c r="CI88" s="215"/>
      <c r="CJ88" s="215"/>
      <c r="CK88" s="215"/>
      <c r="CL88" s="215"/>
      <c r="CM88" s="215"/>
      <c r="CN88" s="215"/>
      <c r="CO88" s="215"/>
      <c r="CP88" s="215"/>
      <c r="CQ88" s="215"/>
      <c r="CR88" s="215"/>
      <c r="CS88" s="215"/>
      <c r="CT88" s="215"/>
      <c r="CU88" s="215"/>
      <c r="CV88" s="215"/>
      <c r="CW88" s="215"/>
    </row>
  </sheetData>
  <sortState ref="A84:AL87">
    <sortCondition descending="1" ref="L84"/>
  </sortState>
  <dataConsolidate/>
  <mergeCells count="3">
    <mergeCell ref="I6:N6"/>
    <mergeCell ref="O6:P6"/>
    <mergeCell ref="R6:T6"/>
  </mergeCells>
  <pageMargins left="0.75" right="0.75" top="1" bottom="1" header="0.5" footer="0.5"/>
  <pageSetup orientation="portrait"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sheetPr codeName="Sheet7"/>
  <dimension ref="A1"/>
  <sheetViews>
    <sheetView workbookViewId="0">
      <selection activeCell="F21" sqref="F21"/>
    </sheetView>
  </sheetViews>
  <sheetFormatPr defaultRowHeight="12.75"/>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8"/>
  <dimension ref="A1"/>
  <sheetViews>
    <sheetView workbookViewId="0">
      <selection activeCell="I23" sqref="I23"/>
    </sheetView>
  </sheetViews>
  <sheetFormatPr defaultRowHeight="12.75"/>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CW7"/>
  <sheetViews>
    <sheetView workbookViewId="0">
      <selection sqref="A1:EA7"/>
    </sheetView>
  </sheetViews>
  <sheetFormatPr defaultRowHeight="12.75"/>
  <sheetData>
    <row r="1" spans="1:101" ht="13.5" thickBot="1">
      <c r="A1" s="201" t="s">
        <v>786</v>
      </c>
      <c r="B1" s="200"/>
      <c r="C1" s="215"/>
      <c r="D1" s="215"/>
      <c r="E1" s="215"/>
      <c r="F1" s="215"/>
      <c r="G1" s="215"/>
      <c r="H1" s="215"/>
      <c r="I1" s="215"/>
      <c r="J1" s="215"/>
      <c r="K1" s="215"/>
      <c r="L1" s="215"/>
      <c r="M1" s="215"/>
      <c r="N1" s="215"/>
      <c r="O1" s="215"/>
      <c r="P1" s="215"/>
      <c r="Q1" s="215"/>
      <c r="R1" s="215"/>
      <c r="S1" s="215"/>
      <c r="T1" s="215"/>
      <c r="U1" s="215"/>
      <c r="V1" s="215"/>
      <c r="W1" s="215"/>
      <c r="X1" s="215"/>
      <c r="Y1" s="215"/>
      <c r="Z1" s="215"/>
      <c r="AA1" s="215"/>
      <c r="AB1" s="215"/>
      <c r="AC1" s="215"/>
      <c r="AD1" s="215"/>
      <c r="AE1" s="215"/>
      <c r="AF1" s="215"/>
      <c r="AG1" s="215"/>
      <c r="AH1" s="215"/>
      <c r="AI1" s="215"/>
      <c r="AJ1" s="215"/>
      <c r="AK1" s="215"/>
      <c r="AL1" s="215"/>
      <c r="AM1" s="215"/>
      <c r="AN1" s="215"/>
      <c r="AO1" s="215"/>
      <c r="AP1" s="215"/>
      <c r="AQ1" s="215"/>
      <c r="AR1" s="215"/>
      <c r="AS1" s="215"/>
      <c r="AT1" s="215"/>
      <c r="AU1" s="215"/>
      <c r="AV1" s="215"/>
      <c r="AW1" s="215"/>
      <c r="AX1" s="215"/>
      <c r="AY1" s="215"/>
      <c r="AZ1" s="215"/>
      <c r="BA1" s="215"/>
      <c r="BB1" s="215"/>
      <c r="BC1" s="215"/>
      <c r="BD1" s="215"/>
      <c r="BE1" s="215"/>
      <c r="BF1" s="215"/>
      <c r="BG1" s="215"/>
      <c r="BH1" s="215"/>
      <c r="BI1" s="215"/>
      <c r="BJ1" s="215"/>
      <c r="BK1" s="215"/>
      <c r="BL1" s="215"/>
      <c r="BM1" s="215"/>
      <c r="BN1" s="215"/>
      <c r="BO1" s="215"/>
      <c r="BP1" s="215"/>
      <c r="BQ1" s="215"/>
      <c r="BR1" s="215"/>
      <c r="BS1" s="215"/>
      <c r="BT1" s="215"/>
      <c r="BU1" s="215"/>
      <c r="BV1" s="215"/>
      <c r="BW1" s="215"/>
      <c r="BX1" s="215"/>
      <c r="BY1" s="215"/>
      <c r="BZ1" s="215"/>
      <c r="CA1" s="215"/>
      <c r="CB1" s="215"/>
      <c r="CC1" s="215"/>
      <c r="CD1" s="215"/>
      <c r="CE1" s="215"/>
      <c r="CF1" s="215"/>
      <c r="CG1" s="215"/>
      <c r="CH1" s="215"/>
      <c r="CI1" s="215"/>
      <c r="CJ1" s="215"/>
      <c r="CK1" s="215"/>
      <c r="CL1" s="215"/>
      <c r="CM1" s="215"/>
      <c r="CN1" s="215"/>
      <c r="CO1" s="215"/>
      <c r="CP1" s="215"/>
      <c r="CQ1" s="215"/>
      <c r="CR1" s="215"/>
      <c r="CS1" s="215"/>
      <c r="CT1" s="215"/>
      <c r="CU1" s="215"/>
      <c r="CV1" s="215"/>
      <c r="CW1" s="215"/>
    </row>
    <row r="2" spans="1:101" ht="13.5" thickBot="1">
      <c r="A2" s="235"/>
      <c r="B2" s="236"/>
      <c r="C2" s="225"/>
      <c r="D2" s="225"/>
      <c r="E2" s="225"/>
      <c r="F2" s="225"/>
      <c r="G2" s="225"/>
      <c r="H2" s="225"/>
      <c r="I2" s="225"/>
      <c r="J2" s="225"/>
      <c r="K2" s="225"/>
      <c r="L2" s="225"/>
      <c r="M2" s="225"/>
      <c r="N2" s="225"/>
      <c r="O2" s="237" t="s">
        <v>1318</v>
      </c>
      <c r="P2" s="238"/>
      <c r="Q2" s="238"/>
      <c r="R2" s="238"/>
      <c r="S2" s="238"/>
      <c r="T2" s="238"/>
      <c r="U2" s="238"/>
      <c r="V2" s="238"/>
      <c r="W2" s="238"/>
      <c r="X2" s="238"/>
      <c r="Y2" s="238"/>
      <c r="Z2" s="229"/>
      <c r="AA2" s="225"/>
      <c r="AB2" s="237" t="s">
        <v>1319</v>
      </c>
      <c r="AC2" s="238"/>
      <c r="AD2" s="238"/>
      <c r="AE2" s="238"/>
      <c r="AF2" s="238"/>
      <c r="AG2" s="238"/>
      <c r="AH2" s="238"/>
      <c r="AI2" s="238"/>
      <c r="AJ2" s="238"/>
      <c r="AK2" s="238"/>
      <c r="AL2" s="238"/>
      <c r="AM2" s="229"/>
      <c r="AN2" s="215"/>
      <c r="AO2" s="215"/>
      <c r="AP2" s="215"/>
      <c r="AQ2" s="215"/>
      <c r="AR2" s="215"/>
      <c r="AS2" s="215"/>
      <c r="AT2" s="215"/>
      <c r="AU2" s="215"/>
      <c r="AV2" s="215"/>
      <c r="AW2" s="215"/>
      <c r="AX2" s="215"/>
      <c r="AY2" s="215"/>
      <c r="AZ2" s="215"/>
      <c r="BA2" s="215"/>
      <c r="BB2" s="215"/>
      <c r="BC2" s="215"/>
      <c r="BD2" s="215"/>
      <c r="BE2" s="215"/>
      <c r="BF2" s="215"/>
      <c r="BG2" s="215"/>
      <c r="BH2" s="215"/>
      <c r="BI2" s="215"/>
      <c r="BJ2" s="215"/>
      <c r="BK2" s="215"/>
      <c r="BL2" s="215"/>
      <c r="BM2" s="215"/>
      <c r="BN2" s="215"/>
      <c r="BO2" s="215"/>
      <c r="BP2" s="215"/>
      <c r="BQ2" s="215"/>
      <c r="BR2" s="215"/>
      <c r="BS2" s="215"/>
      <c r="BT2" s="215"/>
      <c r="BU2" s="215"/>
      <c r="BV2" s="215"/>
      <c r="BW2" s="215"/>
      <c r="BX2" s="215"/>
      <c r="BY2" s="215"/>
      <c r="BZ2" s="215"/>
      <c r="CA2" s="215"/>
      <c r="CB2" s="215"/>
      <c r="CC2" s="215"/>
      <c r="CD2" s="215"/>
      <c r="CE2" s="215"/>
      <c r="CF2" s="215"/>
      <c r="CG2" s="215"/>
      <c r="CH2" s="215"/>
      <c r="CI2" s="215"/>
      <c r="CJ2" s="215"/>
      <c r="CK2" s="215"/>
      <c r="CL2" s="215"/>
      <c r="CM2" s="215"/>
      <c r="CN2" s="215"/>
      <c r="CO2" s="215"/>
      <c r="CP2" s="215"/>
      <c r="CQ2" s="215"/>
      <c r="CR2" s="215"/>
      <c r="CS2" s="215"/>
      <c r="CT2" s="215"/>
      <c r="CU2" s="215"/>
      <c r="CV2" s="215"/>
      <c r="CW2" s="215"/>
    </row>
    <row r="3" spans="1:101" ht="204">
      <c r="A3" s="214" t="s">
        <v>88</v>
      </c>
      <c r="B3" s="213" t="s">
        <v>195</v>
      </c>
      <c r="C3" s="220" t="s">
        <v>787</v>
      </c>
      <c r="D3" s="220" t="s">
        <v>741</v>
      </c>
      <c r="E3" s="220" t="s">
        <v>742</v>
      </c>
      <c r="F3" s="220" t="s">
        <v>743</v>
      </c>
      <c r="G3" s="220" t="s">
        <v>744</v>
      </c>
      <c r="H3" s="220" t="s">
        <v>745</v>
      </c>
      <c r="I3" s="220" t="s">
        <v>746</v>
      </c>
      <c r="J3" s="220" t="s">
        <v>747</v>
      </c>
      <c r="K3" s="220" t="s">
        <v>722</v>
      </c>
      <c r="L3" s="220" t="s">
        <v>721</v>
      </c>
      <c r="M3" s="220" t="s">
        <v>748</v>
      </c>
      <c r="N3" s="220" t="s">
        <v>1317</v>
      </c>
      <c r="O3" s="220" t="s">
        <v>749</v>
      </c>
      <c r="P3" s="220" t="s">
        <v>750</v>
      </c>
      <c r="Q3" s="220" t="s">
        <v>751</v>
      </c>
      <c r="R3" s="220" t="s">
        <v>752</v>
      </c>
      <c r="S3" s="220" t="s">
        <v>753</v>
      </c>
      <c r="T3" s="220" t="s">
        <v>754</v>
      </c>
      <c r="U3" s="220" t="s">
        <v>755</v>
      </c>
      <c r="V3" s="220" t="s">
        <v>756</v>
      </c>
      <c r="W3" s="220" t="s">
        <v>757</v>
      </c>
      <c r="X3" s="220" t="s">
        <v>758</v>
      </c>
      <c r="Y3" s="220" t="s">
        <v>759</v>
      </c>
      <c r="Z3" s="220" t="s">
        <v>760</v>
      </c>
      <c r="AA3" s="220"/>
      <c r="AB3" s="220" t="s">
        <v>749</v>
      </c>
      <c r="AC3" s="220" t="s">
        <v>750</v>
      </c>
      <c r="AD3" s="220" t="s">
        <v>751</v>
      </c>
      <c r="AE3" s="220" t="s">
        <v>752</v>
      </c>
      <c r="AF3" s="220" t="s">
        <v>753</v>
      </c>
      <c r="AG3" s="220" t="s">
        <v>754</v>
      </c>
      <c r="AH3" s="220" t="s">
        <v>755</v>
      </c>
      <c r="AI3" s="220" t="s">
        <v>756</v>
      </c>
      <c r="AJ3" s="220" t="s">
        <v>757</v>
      </c>
      <c r="AK3" s="220" t="s">
        <v>758</v>
      </c>
      <c r="AL3" s="220" t="s">
        <v>759</v>
      </c>
      <c r="AM3" s="220" t="s">
        <v>760</v>
      </c>
      <c r="AN3" s="215"/>
      <c r="AO3" s="215"/>
      <c r="AP3" s="215"/>
      <c r="AQ3" s="215"/>
      <c r="AR3" s="215"/>
      <c r="AS3" s="215"/>
      <c r="AT3" s="215"/>
      <c r="AU3" s="215"/>
      <c r="AV3" s="215"/>
      <c r="AW3" s="215"/>
      <c r="AX3" s="215"/>
      <c r="AY3" s="215"/>
      <c r="AZ3" s="215"/>
      <c r="BA3" s="215"/>
      <c r="BB3" s="215"/>
      <c r="BC3" s="215"/>
      <c r="BD3" s="215"/>
      <c r="BE3" s="215"/>
      <c r="BF3" s="215"/>
      <c r="BG3" s="215"/>
      <c r="BH3" s="215"/>
      <c r="BI3" s="215"/>
      <c r="BJ3" s="215"/>
      <c r="BK3" s="215"/>
      <c r="BL3" s="215"/>
      <c r="BM3" s="215"/>
      <c r="BN3" s="215"/>
      <c r="BO3" s="215"/>
      <c r="BP3" s="215"/>
      <c r="BQ3" s="215"/>
      <c r="BR3" s="215"/>
      <c r="BS3" s="215"/>
      <c r="BT3" s="215"/>
      <c r="BU3" s="215"/>
      <c r="BV3" s="215"/>
      <c r="BW3" s="215"/>
      <c r="BX3" s="215"/>
      <c r="BY3" s="215"/>
      <c r="BZ3" s="215"/>
      <c r="CA3" s="215"/>
      <c r="CB3" s="215"/>
      <c r="CC3" s="215"/>
      <c r="CD3" s="215"/>
      <c r="CE3" s="215"/>
      <c r="CF3" s="215"/>
      <c r="CG3" s="215"/>
      <c r="CH3" s="215"/>
      <c r="CI3" s="215"/>
      <c r="CJ3" s="215"/>
      <c r="CK3" s="215"/>
      <c r="CL3" s="215"/>
      <c r="CM3" s="215"/>
      <c r="CN3" s="215"/>
      <c r="CO3" s="215"/>
      <c r="CP3" s="215"/>
      <c r="CQ3" s="215"/>
      <c r="CR3" s="215"/>
      <c r="CS3" s="215"/>
      <c r="CT3" s="215"/>
      <c r="CU3" s="215"/>
      <c r="CV3" s="215"/>
      <c r="CW3" s="215"/>
    </row>
    <row r="4" spans="1:101">
      <c r="A4" t="s">
        <v>818</v>
      </c>
      <c r="C4" s="231">
        <v>1919877.8170155815</v>
      </c>
      <c r="D4" s="231">
        <v>403865.60653109004</v>
      </c>
      <c r="E4" s="231">
        <v>80773.121306218018</v>
      </c>
      <c r="F4" s="231">
        <v>484638.72783730808</v>
      </c>
      <c r="G4" s="231">
        <v>-21496.353769493362</v>
      </c>
      <c r="H4" s="231">
        <v>1225734.0180841472</v>
      </c>
      <c r="I4" s="231">
        <v>2211.304916504675</v>
      </c>
      <c r="J4" s="231">
        <v>4.3940275477090207</v>
      </c>
      <c r="K4" s="231">
        <v>-9.7450143525555539</v>
      </c>
      <c r="L4" s="222">
        <v>2.7221180311715329</v>
      </c>
      <c r="M4" s="231">
        <v>18239.027583664199</v>
      </c>
      <c r="N4" s="231">
        <v>301.66655539184569</v>
      </c>
      <c r="O4" s="231">
        <v>97290.651433383333</v>
      </c>
      <c r="P4" s="231">
        <v>92191.019670337948</v>
      </c>
      <c r="Q4" s="231">
        <v>110644.89060651834</v>
      </c>
      <c r="R4" s="231">
        <v>105140.27759107649</v>
      </c>
      <c r="S4" s="231">
        <v>117019.71361876006</v>
      </c>
      <c r="T4" s="231">
        <v>130764.62942774214</v>
      </c>
      <c r="U4" s="231">
        <v>138105.28211550586</v>
      </c>
      <c r="V4" s="231">
        <v>148547.07380731407</v>
      </c>
      <c r="W4" s="231">
        <v>126896.95067841462</v>
      </c>
      <c r="X4" s="231">
        <v>123910.484592707</v>
      </c>
      <c r="Y4" s="231">
        <v>98259.922985126977</v>
      </c>
      <c r="Z4" s="231">
        <v>97124.988061280863</v>
      </c>
      <c r="AA4" s="231"/>
      <c r="AB4" s="231">
        <v>36785.648635028869</v>
      </c>
      <c r="AC4" s="231">
        <v>31819.844767578335</v>
      </c>
      <c r="AD4" s="231">
        <v>33881.087771454389</v>
      </c>
      <c r="AE4" s="231">
        <v>40621.410218655081</v>
      </c>
      <c r="AF4" s="231">
        <v>45408.431408737073</v>
      </c>
      <c r="AG4" s="231">
        <v>50659.142080846977</v>
      </c>
      <c r="AH4" s="231">
        <v>62395.964807744705</v>
      </c>
      <c r="AI4" s="231">
        <v>57958.12327198463</v>
      </c>
      <c r="AJ4" s="231">
        <v>59233.065908967023</v>
      </c>
      <c r="AK4" s="231">
        <v>43679.887094824509</v>
      </c>
      <c r="AL4" s="231">
        <v>34691.69706865841</v>
      </c>
      <c r="AM4" s="215">
        <v>36847.629392933617</v>
      </c>
      <c r="AN4" s="215"/>
      <c r="AO4" s="215"/>
      <c r="AP4" s="215"/>
      <c r="AQ4" s="215"/>
      <c r="AR4" s="215"/>
      <c r="AS4" s="215"/>
      <c r="AT4" s="215"/>
      <c r="AU4" s="215"/>
      <c r="AV4" s="215"/>
      <c r="AW4" s="215"/>
      <c r="AX4" s="215"/>
      <c r="AY4" s="215"/>
      <c r="AZ4" s="215"/>
      <c r="BA4" s="215"/>
      <c r="BB4" s="215"/>
      <c r="BC4" s="215"/>
      <c r="BD4" s="215"/>
      <c r="BE4" s="215"/>
      <c r="BF4" s="215"/>
      <c r="BG4" s="215"/>
      <c r="BH4" s="215"/>
      <c r="BI4" s="215"/>
      <c r="BJ4" s="215"/>
      <c r="BK4" s="215"/>
      <c r="BL4" s="215"/>
      <c r="BM4" s="215"/>
      <c r="BN4" s="215"/>
      <c r="BO4" s="215"/>
      <c r="BP4" s="215"/>
      <c r="BQ4" s="215"/>
      <c r="BR4" s="215"/>
      <c r="BS4" s="215"/>
      <c r="BT4" s="215"/>
      <c r="BU4" s="215"/>
      <c r="BV4" s="215"/>
      <c r="BW4" s="215"/>
      <c r="BX4" s="215"/>
      <c r="BY4" s="215"/>
      <c r="BZ4" s="215"/>
      <c r="CA4" s="215"/>
      <c r="CB4" s="215"/>
      <c r="CC4" s="215"/>
      <c r="CD4" s="215"/>
      <c r="CE4" s="215"/>
      <c r="CF4" s="215"/>
      <c r="CG4" s="215"/>
      <c r="CH4" s="215"/>
      <c r="CI4" s="215"/>
      <c r="CJ4" s="215"/>
      <c r="CK4" s="215"/>
      <c r="CL4" s="215"/>
      <c r="CM4" s="215"/>
      <c r="CN4" s="215"/>
      <c r="CO4" s="215"/>
      <c r="CP4" s="215"/>
      <c r="CQ4" s="215"/>
      <c r="CR4" s="215"/>
      <c r="CS4" s="215"/>
      <c r="CT4" s="215"/>
      <c r="CU4" s="215"/>
      <c r="CV4" s="215"/>
      <c r="CW4" s="215"/>
    </row>
    <row r="5" spans="1:101">
      <c r="A5" t="s">
        <v>814</v>
      </c>
      <c r="C5" s="231">
        <v>172927.81861352207</v>
      </c>
      <c r="D5" s="231">
        <v>87957.789587314182</v>
      </c>
      <c r="E5" s="231">
        <v>17591.557917462836</v>
      </c>
      <c r="F5" s="231">
        <v>105549.34750477702</v>
      </c>
      <c r="G5" s="231">
        <v>90562.12473118215</v>
      </c>
      <c r="H5" s="231">
        <v>110404.68725096947</v>
      </c>
      <c r="I5" s="231">
        <v>5346.8105453193211</v>
      </c>
      <c r="J5" s="231">
        <v>23.274183085514672</v>
      </c>
      <c r="K5" s="231">
        <v>29.613549308799591</v>
      </c>
      <c r="L5" s="222">
        <v>1.1257988168114812</v>
      </c>
      <c r="M5" s="231">
        <v>1642.8312394263703</v>
      </c>
      <c r="N5" s="231">
        <v>27.171801721038236</v>
      </c>
      <c r="O5" s="231">
        <v>8763.1931442473524</v>
      </c>
      <c r="P5" s="231">
        <v>8303.8575611702381</v>
      </c>
      <c r="Q5" s="231">
        <v>9966.0402363832873</v>
      </c>
      <c r="R5" s="231">
        <v>9470.227058776145</v>
      </c>
      <c r="S5" s="231">
        <v>10540.235233473197</v>
      </c>
      <c r="T5" s="231">
        <v>11778.271470366963</v>
      </c>
      <c r="U5" s="231">
        <v>12439.460971721654</v>
      </c>
      <c r="V5" s="231">
        <v>13379.977208576813</v>
      </c>
      <c r="W5" s="231">
        <v>11429.900733806879</v>
      </c>
      <c r="X5" s="231">
        <v>11160.902852281539</v>
      </c>
      <c r="Y5" s="231">
        <v>8850.4976662339268</v>
      </c>
      <c r="Z5" s="231">
        <v>8748.2714626132711</v>
      </c>
      <c r="AA5" s="231"/>
      <c r="AB5" s="231">
        <v>3313.3681312217595</v>
      </c>
      <c r="AC5" s="231">
        <v>2866.0867350568269</v>
      </c>
      <c r="AD5" s="231">
        <v>3051.7476417736716</v>
      </c>
      <c r="AE5" s="231">
        <v>3658.8640151260456</v>
      </c>
      <c r="AF5" s="231">
        <v>4090.0420436030877</v>
      </c>
      <c r="AG5" s="231">
        <v>4562.9856521240554</v>
      </c>
      <c r="AH5" s="231">
        <v>5620.1483182207185</v>
      </c>
      <c r="AI5" s="231">
        <v>5220.4217057613769</v>
      </c>
      <c r="AJ5" s="231">
        <v>5335.2587266992296</v>
      </c>
      <c r="AK5" s="231">
        <v>3934.3480744700091</v>
      </c>
      <c r="AL5" s="231">
        <v>3124.7610889164871</v>
      </c>
      <c r="AM5" s="215">
        <v>3318.9508808975402</v>
      </c>
      <c r="AN5" s="215"/>
      <c r="AO5" s="215"/>
      <c r="AP5" s="215"/>
      <c r="AQ5" s="215"/>
      <c r="AR5" s="215"/>
      <c r="AS5" s="215"/>
      <c r="AT5" s="215"/>
      <c r="AU5" s="215"/>
      <c r="AV5" s="215"/>
      <c r="AW5" s="215"/>
      <c r="AX5" s="215"/>
      <c r="AY5" s="215"/>
      <c r="AZ5" s="215"/>
      <c r="BA5" s="215"/>
      <c r="BB5" s="215"/>
      <c r="BC5" s="215"/>
      <c r="BD5" s="215"/>
      <c r="BE5" s="215"/>
      <c r="BF5" s="215"/>
      <c r="BG5" s="215"/>
      <c r="BH5" s="215"/>
      <c r="BI5" s="215"/>
      <c r="BJ5" s="215"/>
      <c r="BK5" s="215"/>
      <c r="BL5" s="215"/>
      <c r="BM5" s="215"/>
      <c r="BN5" s="215"/>
      <c r="BO5" s="215"/>
      <c r="BP5" s="215"/>
      <c r="BQ5" s="215"/>
      <c r="BR5" s="215"/>
      <c r="BS5" s="215"/>
      <c r="BT5" s="215"/>
      <c r="BU5" s="215"/>
      <c r="BV5" s="215"/>
      <c r="BW5" s="215"/>
      <c r="BX5" s="215"/>
      <c r="BY5" s="215"/>
      <c r="BZ5" s="215"/>
      <c r="CA5" s="215"/>
      <c r="CB5" s="215"/>
      <c r="CC5" s="215"/>
      <c r="CD5" s="215"/>
      <c r="CE5" s="215"/>
      <c r="CF5" s="215"/>
      <c r="CG5" s="215"/>
      <c r="CH5" s="215"/>
      <c r="CI5" s="215"/>
      <c r="CJ5" s="215"/>
      <c r="CK5" s="215"/>
      <c r="CL5" s="215"/>
      <c r="CM5" s="215"/>
      <c r="CN5" s="215"/>
      <c r="CO5" s="215"/>
      <c r="CP5" s="215"/>
      <c r="CQ5" s="215"/>
      <c r="CR5" s="215"/>
      <c r="CS5" s="215"/>
      <c r="CT5" s="215"/>
      <c r="CU5" s="215"/>
      <c r="CV5" s="215"/>
      <c r="CW5" s="215"/>
    </row>
    <row r="6" spans="1:101">
      <c r="A6" t="s">
        <v>816</v>
      </c>
      <c r="C6" s="231">
        <v>601866.66038199991</v>
      </c>
      <c r="D6" s="231">
        <v>352479.10968386155</v>
      </c>
      <c r="E6" s="231">
        <v>70495.821936772307</v>
      </c>
      <c r="F6" s="231">
        <v>422974.93162063387</v>
      </c>
      <c r="G6" s="231">
        <v>398308.81175674236</v>
      </c>
      <c r="H6" s="231">
        <v>384258.01550626912</v>
      </c>
      <c r="I6" s="231">
        <v>6156.2811913274172</v>
      </c>
      <c r="J6" s="231">
        <v>28.148335298629487</v>
      </c>
      <c r="K6" s="231">
        <v>39.774462961808133</v>
      </c>
      <c r="L6" s="223">
        <v>0.97777096246276674</v>
      </c>
      <c r="M6" s="231">
        <v>5717.7923111062419</v>
      </c>
      <c r="N6" s="231">
        <v>94.57010265625577</v>
      </c>
      <c r="O6" s="231">
        <v>30499.857306348797</v>
      </c>
      <c r="P6" s="231">
        <v>28901.16268568108</v>
      </c>
      <c r="Q6" s="231">
        <v>34686.306705285737</v>
      </c>
      <c r="R6" s="231">
        <v>32960.653633545298</v>
      </c>
      <c r="S6" s="231">
        <v>36684.763796096064</v>
      </c>
      <c r="T6" s="231">
        <v>40993.687260842089</v>
      </c>
      <c r="U6" s="231">
        <v>43294.924391169661</v>
      </c>
      <c r="V6" s="231">
        <v>46568.34431313238</v>
      </c>
      <c r="W6" s="231">
        <v>39781.200262108621</v>
      </c>
      <c r="X6" s="231">
        <v>38844.966532327278</v>
      </c>
      <c r="Y6" s="231">
        <v>30803.716347106958</v>
      </c>
      <c r="Z6" s="231">
        <v>30447.923136564008</v>
      </c>
      <c r="AA6" s="231"/>
      <c r="AB6" s="231">
        <v>11532.012765461737</v>
      </c>
      <c r="AC6" s="231">
        <v>9975.2721420087109</v>
      </c>
      <c r="AD6" s="231">
        <v>10621.455681389943</v>
      </c>
      <c r="AE6" s="231">
        <v>12734.493982702626</v>
      </c>
      <c r="AF6" s="231">
        <v>14235.187636911942</v>
      </c>
      <c r="AG6" s="231">
        <v>15881.244312418219</v>
      </c>
      <c r="AH6" s="231">
        <v>19560.646322028584</v>
      </c>
      <c r="AI6" s="231">
        <v>18169.417754897968</v>
      </c>
      <c r="AJ6" s="231">
        <v>18569.102287058478</v>
      </c>
      <c r="AK6" s="231">
        <v>13693.302531351392</v>
      </c>
      <c r="AL6" s="231">
        <v>10875.575347891003</v>
      </c>
      <c r="AM6" s="215">
        <v>11551.443247671312</v>
      </c>
      <c r="AN6" s="215"/>
      <c r="AO6" s="215"/>
      <c r="AP6" s="215"/>
      <c r="AQ6" s="215"/>
      <c r="AR6" s="215"/>
      <c r="AS6" s="215"/>
      <c r="AT6" s="215"/>
      <c r="AU6" s="215"/>
      <c r="AV6" s="215"/>
      <c r="AW6" s="215"/>
      <c r="AX6" s="215"/>
      <c r="AY6" s="215"/>
      <c r="AZ6" s="215"/>
      <c r="BA6" s="215"/>
      <c r="BB6" s="215"/>
      <c r="BC6" s="215"/>
      <c r="BD6" s="215"/>
      <c r="BE6" s="215"/>
      <c r="BF6" s="215"/>
      <c r="BG6" s="215"/>
      <c r="BH6" s="215"/>
      <c r="BI6" s="215"/>
      <c r="BJ6" s="215"/>
      <c r="BK6" s="215"/>
      <c r="BL6" s="215"/>
      <c r="BM6" s="215"/>
      <c r="BN6" s="215"/>
      <c r="BO6" s="215"/>
      <c r="BP6" s="215"/>
      <c r="BQ6" s="215"/>
      <c r="BR6" s="215"/>
      <c r="BS6" s="215"/>
      <c r="BT6" s="215"/>
      <c r="BU6" s="215"/>
      <c r="BV6" s="215"/>
      <c r="BW6" s="215"/>
      <c r="BX6" s="215"/>
      <c r="BY6" s="215"/>
      <c r="BZ6" s="215"/>
      <c r="CA6" s="215"/>
      <c r="CB6" s="215"/>
      <c r="CC6" s="215"/>
      <c r="CD6" s="215"/>
      <c r="CE6" s="215"/>
      <c r="CF6" s="215"/>
      <c r="CG6" s="215"/>
      <c r="CH6" s="215"/>
      <c r="CI6" s="215"/>
      <c r="CJ6" s="215"/>
      <c r="CK6" s="215"/>
      <c r="CL6" s="215"/>
      <c r="CM6" s="215"/>
      <c r="CN6" s="215"/>
      <c r="CO6" s="215"/>
      <c r="CP6" s="215"/>
      <c r="CQ6" s="215"/>
      <c r="CR6" s="215"/>
      <c r="CS6" s="215"/>
      <c r="CT6" s="215"/>
      <c r="CU6" s="215"/>
      <c r="CV6" s="215"/>
      <c r="CW6" s="215"/>
    </row>
    <row r="7" spans="1:101">
      <c r="C7" s="215"/>
      <c r="D7" s="215"/>
      <c r="E7" s="215"/>
      <c r="F7" s="215"/>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18">
    <tabColor rgb="FFFFC000"/>
  </sheetPr>
  <dimension ref="A1:DA88"/>
  <sheetViews>
    <sheetView zoomScale="90" zoomScaleNormal="90" workbookViewId="0">
      <selection activeCell="A13" sqref="A13:EA88"/>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5" t="s">
        <v>30</v>
      </c>
      <c r="B1" s="62" t="e">
        <f ca="1">IF(AND('ProCost 6th Plan Inputs'!B66=TRUE,'ProCost 6th Plan Inputs'!C66=TRUE,'ProCost 6th Plan Inputs'!D66=TRUE,'ProCost 6th Plan Inputs'!E66=TRUE,'ProCost 6th Plan Inputs'!F66=TRUE,'ProCost 6th Plan Inputs'!B69=TRUE,'ProCost 6th Plan Inputs'!C69=TRUE,'ProCost 6th Plan Inputs'!D69=TRUE,'ProCost 6th Plan Inputs'!E69=TRUE,'ProCost 6th Plan Inputs'!F69=TRUE,'ProCost 6th Plan Inputs'!B72=TRUE,'ProCost 6th Plan Inputs'!C72=TRUE,'ProCost 6th Plan Inputs'!D72=TRUE,'ProCost 6th Plan Inputs'!E72=TRUE,'ProCost 6th Plan Inputs'!F72=TRUE,'ProCost 6th Plan Inputs'!G66=TRUE,'ProCost 6th Plan Inputs'!G69=TRUE,'ProCost 6th Plan Inputs'!G72=TRUE),"","ERROR - Inputs have changed re-run ProCost")</f>
        <v>#REF!</v>
      </c>
      <c r="C1" s="62" t="e">
        <f ca="1">IF(AND('ProCost 6th Plan Inputs'!B66=TRUE,'ProCost 6th Plan Inputs'!B69=TRUE,'ProCost 6th Plan Inputs'!B72=TRUE),"","Re-run ProCost")</f>
        <v>#REF!</v>
      </c>
      <c r="D1" s="62" t="e">
        <f ca="1">IF(AND('ProCost 6th Plan Inputs'!C66=TRUE,'ProCost 6th Plan Inputs'!C69=TRUE,'ProCost 6th Plan Inputs'!C72=TRUE),"","Re-run ProCost")</f>
        <v>#REF!</v>
      </c>
      <c r="E1" s="62" t="e">
        <f ca="1">IF(AND('ProCost 6th Plan Inputs'!D66=TRUE,'ProCost 6th Plan Inputs'!D69=TRUE,'ProCost 6th Plan Inputs'!D72=TRUE),"","Re-run ProCost")</f>
        <v>#REF!</v>
      </c>
      <c r="F1" s="62" t="e">
        <f ca="1">IF(AND('ProCost 6th Plan Inputs'!E66=TRUE,'ProCost 6th Plan Inputs'!E69=TRUE,'ProCost 6th Plan Inputs'!E72=TRUE),"","Re-run ProCost")</f>
        <v>#REF!</v>
      </c>
      <c r="G1" s="62" t="e">
        <f ca="1">IF(AND('ProCost 6th Plan Inputs'!F66=TRUE,'ProCost 6th Plan Inputs'!F69=TRUE,'ProCost 6th Plan Inputs'!F72=TRUE),"","Re-run ProCost")</f>
        <v>#REF!</v>
      </c>
      <c r="H1" s="6"/>
      <c r="I1" s="7"/>
      <c r="J1" s="7"/>
      <c r="K1" s="7"/>
      <c r="L1" s="7"/>
      <c r="M1" s="7"/>
      <c r="N1" s="8"/>
      <c r="O1" s="91" t="e">
        <f ca="1">IF(AND('ProCost 6th Plan Inputs'!G66=TRUE,'ProCost 6th Plan Inputs'!G69=TRUE,'ProCost 6th Plan Inputs'!G72=TRUE),"","Re-run ProCost")</f>
        <v>#REF!</v>
      </c>
      <c r="P1" s="8"/>
      <c r="Q1" s="8"/>
      <c r="R1" s="8"/>
      <c r="S1" s="6"/>
      <c r="T1" s="6"/>
      <c r="U1" s="6"/>
      <c r="V1" s="8"/>
      <c r="W1" s="6"/>
      <c r="X1" s="6"/>
      <c r="Y1" s="6"/>
      <c r="Z1" s="6"/>
      <c r="AA1" s="6"/>
      <c r="AB1" s="6"/>
      <c r="AC1" s="6"/>
      <c r="AD1" s="6"/>
      <c r="AE1" s="6"/>
      <c r="AF1" s="6"/>
      <c r="AG1" s="6"/>
      <c r="AH1" s="6"/>
      <c r="AI1" s="6"/>
      <c r="AJ1" s="6"/>
      <c r="AK1" s="6"/>
      <c r="AL1" s="6"/>
      <c r="AM1" s="6"/>
      <c r="AN1" s="6"/>
      <c r="AO1" s="6"/>
      <c r="AP1" s="20"/>
      <c r="AQ1" s="6"/>
      <c r="AR1" s="6"/>
      <c r="AS1" s="6"/>
      <c r="AT1" s="6"/>
      <c r="AU1" s="6"/>
      <c r="AV1" s="20"/>
      <c r="AW1" s="6"/>
      <c r="AX1" s="6"/>
      <c r="AY1" s="6"/>
      <c r="AZ1" s="6"/>
      <c r="BA1" s="6"/>
      <c r="BB1" s="6"/>
      <c r="BC1" s="6"/>
      <c r="BD1" s="6"/>
      <c r="BE1" s="6"/>
      <c r="BF1" s="6"/>
      <c r="BG1" s="6"/>
      <c r="BH1" s="6"/>
      <c r="BI1" s="6"/>
      <c r="BJ1" s="6"/>
      <c r="BK1" s="6"/>
      <c r="BL1" s="6"/>
      <c r="BM1" s="18"/>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20"/>
      <c r="CQ1" s="6"/>
      <c r="CR1" s="6"/>
      <c r="CS1" s="6"/>
      <c r="CT1" s="6"/>
      <c r="CU1" s="6"/>
      <c r="CV1" s="6"/>
      <c r="CW1" s="6"/>
      <c r="CX1" s="6"/>
      <c r="CY1" s="6"/>
      <c r="CZ1" s="6"/>
      <c r="DA1" s="6"/>
    </row>
    <row r="2" spans="1:105">
      <c r="A2" s="17" t="s">
        <v>43</v>
      </c>
      <c r="B2" s="6"/>
      <c r="C2" s="6"/>
      <c r="D2" s="6"/>
      <c r="E2" s="6"/>
      <c r="F2" s="6" t="s">
        <v>633</v>
      </c>
      <c r="G2" s="6"/>
      <c r="H2" s="6"/>
      <c r="I2" s="7"/>
      <c r="J2" s="7"/>
      <c r="K2" s="7"/>
      <c r="L2" s="7"/>
      <c r="M2" s="7"/>
      <c r="N2" s="8"/>
      <c r="O2" s="8"/>
      <c r="P2" s="8"/>
      <c r="Q2" s="8"/>
      <c r="R2" s="8"/>
      <c r="S2" s="6"/>
      <c r="T2" s="6"/>
      <c r="U2" s="6"/>
      <c r="V2" s="8"/>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20"/>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row>
    <row r="3" spans="1:105">
      <c r="A3" s="17" t="s">
        <v>2</v>
      </c>
      <c r="C3" s="17">
        <v>2012</v>
      </c>
      <c r="J3" s="21"/>
      <c r="K3" s="22"/>
      <c r="CO3" s="22"/>
      <c r="CP3" s="22"/>
    </row>
    <row r="5" spans="1:105">
      <c r="A5" s="9">
        <v>1</v>
      </c>
      <c r="B5" s="9">
        <v>2</v>
      </c>
      <c r="C5" s="9">
        <v>3</v>
      </c>
      <c r="D5" s="9">
        <v>4</v>
      </c>
      <c r="E5" s="9">
        <v>5</v>
      </c>
      <c r="F5" s="9">
        <v>6</v>
      </c>
      <c r="G5" s="9">
        <v>7</v>
      </c>
      <c r="H5" s="9">
        <v>8</v>
      </c>
      <c r="I5" s="9">
        <v>9</v>
      </c>
      <c r="J5" s="9">
        <v>10</v>
      </c>
      <c r="K5" s="9">
        <v>11</v>
      </c>
      <c r="L5" s="9">
        <v>12</v>
      </c>
      <c r="M5" s="9">
        <v>13</v>
      </c>
      <c r="N5" s="9">
        <v>14</v>
      </c>
      <c r="O5" s="9">
        <v>15</v>
      </c>
      <c r="P5" s="9">
        <v>16</v>
      </c>
      <c r="Q5" s="9">
        <v>17</v>
      </c>
      <c r="R5" s="9">
        <v>18</v>
      </c>
      <c r="S5" s="9">
        <v>19</v>
      </c>
      <c r="T5" s="9">
        <v>20</v>
      </c>
      <c r="U5" s="9">
        <v>21</v>
      </c>
      <c r="V5" s="9">
        <v>22</v>
      </c>
      <c r="W5" s="9">
        <v>23</v>
      </c>
      <c r="X5" s="9">
        <v>24</v>
      </c>
      <c r="Y5" s="9">
        <v>25</v>
      </c>
      <c r="Z5" s="9">
        <v>26</v>
      </c>
      <c r="AA5" s="9">
        <v>27</v>
      </c>
      <c r="AB5" s="9">
        <v>28</v>
      </c>
      <c r="AC5" s="9">
        <v>29</v>
      </c>
      <c r="AD5" s="9">
        <v>30</v>
      </c>
      <c r="AE5" s="9">
        <v>31</v>
      </c>
      <c r="AF5" s="9">
        <v>32</v>
      </c>
      <c r="AG5" s="9">
        <v>33</v>
      </c>
      <c r="AH5" s="9">
        <v>34</v>
      </c>
      <c r="AI5" s="9">
        <v>35</v>
      </c>
      <c r="AJ5" s="9">
        <v>36</v>
      </c>
      <c r="AK5" s="9">
        <v>37</v>
      </c>
      <c r="AL5" s="9">
        <v>38</v>
      </c>
      <c r="AM5" s="9">
        <v>39</v>
      </c>
      <c r="AN5" s="9">
        <v>40</v>
      </c>
      <c r="AO5" s="9">
        <v>41</v>
      </c>
      <c r="AP5" s="9">
        <v>42</v>
      </c>
      <c r="AQ5" s="9">
        <v>43</v>
      </c>
      <c r="AR5" s="9">
        <v>44</v>
      </c>
      <c r="AS5" s="9">
        <v>45</v>
      </c>
      <c r="AT5" s="9">
        <v>46</v>
      </c>
      <c r="AU5" s="9">
        <v>47</v>
      </c>
      <c r="AV5" s="9">
        <v>48</v>
      </c>
      <c r="AW5" s="9">
        <v>49</v>
      </c>
      <c r="AX5" s="9">
        <v>50</v>
      </c>
      <c r="AY5" s="9">
        <v>51</v>
      </c>
      <c r="AZ5" s="9">
        <v>52</v>
      </c>
      <c r="BA5" s="9">
        <v>53</v>
      </c>
      <c r="BB5" s="9">
        <v>54</v>
      </c>
      <c r="BC5" s="9">
        <v>55</v>
      </c>
      <c r="BD5" s="9">
        <v>56</v>
      </c>
      <c r="BE5" s="9">
        <v>57</v>
      </c>
      <c r="BF5" s="9">
        <v>58</v>
      </c>
      <c r="BG5" s="9">
        <v>59</v>
      </c>
      <c r="BH5" s="9">
        <v>60</v>
      </c>
      <c r="BI5" s="9">
        <v>61</v>
      </c>
      <c r="BJ5" s="9">
        <v>62</v>
      </c>
      <c r="BK5" s="9">
        <v>63</v>
      </c>
      <c r="BL5" s="9">
        <v>64</v>
      </c>
      <c r="BM5" s="9">
        <v>65</v>
      </c>
      <c r="BN5" s="9">
        <v>66</v>
      </c>
      <c r="BO5" s="9">
        <v>67</v>
      </c>
      <c r="BP5" s="9">
        <v>68</v>
      </c>
      <c r="BQ5" s="9">
        <v>69</v>
      </c>
      <c r="BR5" s="9">
        <v>70</v>
      </c>
      <c r="BS5" s="9">
        <v>71</v>
      </c>
      <c r="BT5" s="9">
        <v>72</v>
      </c>
      <c r="BU5" s="9">
        <v>73</v>
      </c>
      <c r="BV5" s="9">
        <v>74</v>
      </c>
      <c r="BW5" s="9">
        <v>75</v>
      </c>
      <c r="BX5" s="9">
        <v>76</v>
      </c>
      <c r="BY5" s="9">
        <v>77</v>
      </c>
      <c r="BZ5" s="9">
        <v>78</v>
      </c>
      <c r="CA5" s="9">
        <v>79</v>
      </c>
      <c r="CB5" s="9">
        <v>80</v>
      </c>
      <c r="CC5" s="9">
        <v>81</v>
      </c>
      <c r="CD5" s="9">
        <v>82</v>
      </c>
      <c r="CE5" s="9">
        <v>83</v>
      </c>
      <c r="CF5" s="9">
        <v>84</v>
      </c>
      <c r="CG5" s="9">
        <v>85</v>
      </c>
      <c r="CH5" s="9">
        <v>86</v>
      </c>
      <c r="CI5" s="9">
        <v>87</v>
      </c>
      <c r="CJ5" s="9">
        <v>88</v>
      </c>
      <c r="CK5" s="9">
        <v>89</v>
      </c>
      <c r="CL5" s="9">
        <v>90</v>
      </c>
      <c r="CM5" s="9">
        <v>91</v>
      </c>
      <c r="CN5" s="9">
        <v>92</v>
      </c>
      <c r="CO5" s="9">
        <v>93</v>
      </c>
      <c r="CP5" s="9">
        <v>94</v>
      </c>
      <c r="CQ5" s="9">
        <v>95</v>
      </c>
      <c r="CR5" s="9">
        <v>96</v>
      </c>
      <c r="CS5" s="9">
        <v>97</v>
      </c>
      <c r="CT5" s="9">
        <v>98</v>
      </c>
      <c r="CU5" s="9">
        <v>99</v>
      </c>
      <c r="CV5" s="9">
        <v>100</v>
      </c>
      <c r="CW5" s="9">
        <v>101</v>
      </c>
      <c r="CX5" s="9">
        <v>102</v>
      </c>
      <c r="CY5" s="9">
        <v>103</v>
      </c>
      <c r="CZ5" s="9">
        <v>104</v>
      </c>
      <c r="DA5" s="9">
        <v>105</v>
      </c>
    </row>
    <row r="6" spans="1:105">
      <c r="A6" s="1" t="s">
        <v>20</v>
      </c>
      <c r="B6" s="2"/>
      <c r="C6" s="2"/>
      <c r="D6" s="2"/>
      <c r="E6" s="2"/>
      <c r="F6" s="2"/>
      <c r="G6" s="3"/>
      <c r="H6" s="4"/>
      <c r="I6" s="694" t="s">
        <v>4</v>
      </c>
      <c r="J6" s="695"/>
      <c r="K6" s="695"/>
      <c r="L6" s="695"/>
      <c r="M6" s="695"/>
      <c r="N6" s="696"/>
      <c r="O6" s="697" t="s">
        <v>42</v>
      </c>
      <c r="P6" s="698"/>
      <c r="Q6" s="92" t="s">
        <v>180</v>
      </c>
      <c r="R6" s="699" t="s">
        <v>179</v>
      </c>
      <c r="S6" s="699"/>
      <c r="T6" s="699"/>
      <c r="U6" s="13"/>
      <c r="V6" s="13"/>
      <c r="W6" s="13"/>
      <c r="X6" s="14"/>
      <c r="Y6" s="15"/>
      <c r="Z6" s="13"/>
      <c r="AA6" s="13"/>
      <c r="AB6" s="13"/>
      <c r="AC6" s="13"/>
      <c r="AD6" s="13"/>
      <c r="AE6" s="12"/>
      <c r="AF6" s="12"/>
      <c r="AG6" s="12"/>
      <c r="AH6" s="12"/>
      <c r="AI6" s="12"/>
      <c r="AJ6" s="12"/>
      <c r="AK6" s="12"/>
      <c r="AL6" s="12"/>
      <c r="AM6" s="12"/>
      <c r="AN6" s="12"/>
      <c r="AO6" s="12"/>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row>
    <row r="7" spans="1:105" ht="25.5">
      <c r="A7" s="51" t="s">
        <v>21</v>
      </c>
      <c r="B7" s="51" t="s">
        <v>22</v>
      </c>
      <c r="C7" s="51" t="s">
        <v>31</v>
      </c>
      <c r="D7" s="51" t="s">
        <v>32</v>
      </c>
      <c r="E7" s="51" t="s">
        <v>33</v>
      </c>
      <c r="F7" s="10" t="s">
        <v>34</v>
      </c>
      <c r="G7" s="51" t="s">
        <v>23</v>
      </c>
      <c r="H7" s="11" t="s">
        <v>35</v>
      </c>
      <c r="I7" s="11" t="s">
        <v>24</v>
      </c>
      <c r="J7" s="11" t="s">
        <v>25</v>
      </c>
      <c r="K7" s="11" t="s">
        <v>26</v>
      </c>
      <c r="L7" s="11" t="s">
        <v>27</v>
      </c>
      <c r="M7" s="11" t="s">
        <v>28</v>
      </c>
      <c r="N7" s="11" t="s">
        <v>29</v>
      </c>
      <c r="O7" s="19" t="s">
        <v>5</v>
      </c>
      <c r="P7" s="11" t="s">
        <v>23</v>
      </c>
      <c r="Q7" s="93" t="s">
        <v>184</v>
      </c>
      <c r="R7" s="94" t="s">
        <v>181</v>
      </c>
      <c r="S7" s="94" t="s">
        <v>182</v>
      </c>
      <c r="T7" s="94" t="s">
        <v>183</v>
      </c>
      <c r="U7" s="16"/>
      <c r="V7" s="16"/>
      <c r="W7" s="16"/>
      <c r="X7" s="16"/>
      <c r="Y7" s="16"/>
      <c r="Z7" s="16"/>
      <c r="AA7" s="16"/>
      <c r="AB7" s="16"/>
      <c r="AC7" s="16"/>
      <c r="AD7" s="16"/>
      <c r="AE7" s="12"/>
      <c r="AF7" s="12"/>
      <c r="AG7" s="12"/>
      <c r="AH7" s="12"/>
      <c r="AI7" s="12"/>
      <c r="AJ7" s="12"/>
      <c r="AK7" s="12"/>
      <c r="AL7" s="12"/>
      <c r="AM7" s="12"/>
      <c r="AN7" s="12"/>
      <c r="AO7" s="12"/>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row>
    <row r="8" spans="1:105" s="98" customFormat="1">
      <c r="A8" s="215" t="s">
        <v>814</v>
      </c>
      <c r="B8" s="215" t="s">
        <v>814</v>
      </c>
      <c r="C8" s="460">
        <f>'Savings and Cost'!M3</f>
        <v>160594.93975900981</v>
      </c>
      <c r="D8" s="240">
        <v>12</v>
      </c>
      <c r="E8" s="461">
        <f>'Savings and Cost'!T3</f>
        <v>87719.623059852107</v>
      </c>
      <c r="F8" s="461">
        <f>-'Savings and Cost'!U3</f>
        <v>-4929.1311344272162</v>
      </c>
      <c r="G8" s="96" t="s">
        <v>1214</v>
      </c>
      <c r="H8" s="240"/>
      <c r="I8" s="240"/>
      <c r="J8" s="240"/>
      <c r="K8" s="240"/>
      <c r="L8" s="240"/>
      <c r="M8" s="240"/>
      <c r="N8" s="240"/>
      <c r="O8"/>
      <c r="P8" s="462"/>
      <c r="Q8" s="463" t="s">
        <v>788</v>
      </c>
      <c r="R8" s="240"/>
      <c r="S8" s="240"/>
      <c r="T8" s="240"/>
      <c r="U8" s="16"/>
      <c r="V8" s="16"/>
      <c r="W8" s="16"/>
      <c r="X8" s="16"/>
      <c r="Y8" s="16"/>
      <c r="Z8" s="16"/>
      <c r="AA8" s="16"/>
      <c r="AB8" s="16"/>
      <c r="AC8" s="16"/>
      <c r="AD8" s="16"/>
      <c r="AE8" s="12"/>
      <c r="AF8" s="12"/>
      <c r="AG8" s="12"/>
      <c r="AH8" s="12"/>
      <c r="AI8" s="12"/>
      <c r="AJ8" s="12"/>
      <c r="AK8" s="12"/>
      <c r="AL8" s="12"/>
      <c r="AM8" s="12"/>
      <c r="AN8" s="12"/>
      <c r="AO8" s="12"/>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row>
    <row r="9" spans="1:105">
      <c r="A9" s="215" t="s">
        <v>816</v>
      </c>
      <c r="B9" s="215" t="s">
        <v>816</v>
      </c>
      <c r="C9" s="460">
        <f>'Savings and Cost'!M4</f>
        <v>558942.6897416818</v>
      </c>
      <c r="D9" s="240">
        <v>12</v>
      </c>
      <c r="E9" s="461">
        <f>'Savings and Cost'!T4</f>
        <v>351524.68909245968</v>
      </c>
      <c r="F9" s="461">
        <f>-'Savings and Cost'!U4</f>
        <v>-17155.595428477049</v>
      </c>
      <c r="G9" s="96" t="s">
        <v>1214</v>
      </c>
      <c r="P9" s="462"/>
      <c r="Q9" s="464" t="s">
        <v>788</v>
      </c>
    </row>
    <row r="10" spans="1:105">
      <c r="A10" s="215" t="s">
        <v>818</v>
      </c>
      <c r="B10" s="215" t="s">
        <v>818</v>
      </c>
      <c r="C10" s="460">
        <f>'Savings and Cost'!M5</f>
        <v>1782955.83001223</v>
      </c>
      <c r="D10" s="240">
        <v>12</v>
      </c>
      <c r="E10" s="461">
        <f>'Savings and Cost'!T5</f>
        <v>402772.04484064545</v>
      </c>
      <c r="F10" s="461">
        <f>-'Savings and Cost'!U5</f>
        <v>-54724.159467351761</v>
      </c>
      <c r="G10" s="96" t="s">
        <v>1214</v>
      </c>
      <c r="P10" s="462"/>
      <c r="Q10" s="464" t="s">
        <v>788</v>
      </c>
    </row>
    <row r="14" spans="1:105">
      <c r="A14" s="198" t="s">
        <v>77</v>
      </c>
      <c r="B14" s="197"/>
    </row>
    <row r="15" spans="1:105">
      <c r="A15" t="s">
        <v>634</v>
      </c>
      <c r="B15" t="s">
        <v>635</v>
      </c>
    </row>
    <row r="16" spans="1:105">
      <c r="A16" t="s">
        <v>636</v>
      </c>
      <c r="B16" t="s">
        <v>1352</v>
      </c>
    </row>
    <row r="18" spans="1:35" ht="13.5" thickBot="1">
      <c r="A18" s="201" t="s">
        <v>637</v>
      </c>
      <c r="B18" s="199"/>
      <c r="C18" s="199"/>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200"/>
    </row>
    <row r="19" spans="1:35">
      <c r="B19" s="202" t="s">
        <v>40</v>
      </c>
      <c r="C19" s="203"/>
      <c r="D19" s="203" t="s">
        <v>40</v>
      </c>
      <c r="E19" s="204"/>
      <c r="G19" s="202" t="s">
        <v>51</v>
      </c>
      <c r="H19" s="203"/>
      <c r="I19" s="203"/>
      <c r="J19" s="203"/>
      <c r="K19" s="203"/>
      <c r="L19" s="203"/>
      <c r="M19" s="203"/>
      <c r="N19" s="203"/>
      <c r="O19" s="204"/>
      <c r="Q19" s="202" t="s">
        <v>45</v>
      </c>
      <c r="R19" s="203"/>
      <c r="S19" s="203"/>
      <c r="T19" s="203"/>
      <c r="U19" s="204"/>
      <c r="W19" s="202" t="s">
        <v>44</v>
      </c>
      <c r="X19" s="204"/>
      <c r="Z19" s="202" t="s">
        <v>55</v>
      </c>
      <c r="AA19" s="203"/>
      <c r="AB19" s="204"/>
    </row>
    <row r="20" spans="1:35">
      <c r="B20" s="205" t="s">
        <v>41</v>
      </c>
      <c r="C20" s="206" t="s">
        <v>38</v>
      </c>
      <c r="D20" s="206" t="s">
        <v>41</v>
      </c>
      <c r="E20" s="207" t="s">
        <v>38</v>
      </c>
      <c r="G20" s="205" t="s">
        <v>37</v>
      </c>
      <c r="H20" s="206" t="s">
        <v>1350</v>
      </c>
      <c r="I20" s="206"/>
      <c r="J20" s="206"/>
      <c r="K20" s="206" t="s">
        <v>64</v>
      </c>
      <c r="L20" s="206"/>
      <c r="M20" s="206"/>
      <c r="N20" s="206"/>
      <c r="O20" s="207"/>
      <c r="Q20" s="205"/>
      <c r="R20" s="206" t="s">
        <v>6</v>
      </c>
      <c r="S20" s="206" t="s">
        <v>52</v>
      </c>
      <c r="T20" s="206" t="s">
        <v>53</v>
      </c>
      <c r="U20" s="207" t="s">
        <v>54</v>
      </c>
      <c r="W20" s="205" t="s">
        <v>46</v>
      </c>
      <c r="X20" s="207">
        <v>20</v>
      </c>
      <c r="Z20" s="205"/>
      <c r="AA20" s="206" t="s">
        <v>38</v>
      </c>
      <c r="AB20" s="207" t="s">
        <v>39</v>
      </c>
    </row>
    <row r="21" spans="1:35">
      <c r="B21" s="205" t="s">
        <v>7</v>
      </c>
      <c r="C21" s="206" t="s">
        <v>190</v>
      </c>
      <c r="D21" s="206" t="s">
        <v>7</v>
      </c>
      <c r="E21" s="207" t="s">
        <v>190</v>
      </c>
      <c r="G21" s="205" t="s">
        <v>78</v>
      </c>
      <c r="H21" s="206" t="s">
        <v>1158</v>
      </c>
      <c r="I21" s="206"/>
      <c r="J21" s="206"/>
      <c r="K21" s="206" t="s">
        <v>1313</v>
      </c>
      <c r="L21" s="206"/>
      <c r="M21" s="206"/>
      <c r="N21" s="206"/>
      <c r="O21" s="207"/>
      <c r="Q21" s="205" t="s">
        <v>17</v>
      </c>
      <c r="R21" s="206">
        <v>6.8012888465852586E-2</v>
      </c>
      <c r="S21" s="206">
        <v>4.387844424080023E-2</v>
      </c>
      <c r="T21" s="206">
        <v>5.3289007766645871E-2</v>
      </c>
      <c r="U21" s="207">
        <v>5.447903102274565E-2</v>
      </c>
      <c r="W21" s="205" t="s">
        <v>47</v>
      </c>
      <c r="X21" s="207">
        <v>2016</v>
      </c>
      <c r="Z21" s="205" t="s">
        <v>187</v>
      </c>
      <c r="AA21" s="206">
        <v>4.03890184699085E-3</v>
      </c>
      <c r="AB21" s="207">
        <v>0.01</v>
      </c>
    </row>
    <row r="22" spans="1:35">
      <c r="B22" s="205" t="s">
        <v>9</v>
      </c>
      <c r="C22" s="206" t="s">
        <v>191</v>
      </c>
      <c r="D22" s="206" t="s">
        <v>9</v>
      </c>
      <c r="E22" s="207" t="s">
        <v>191</v>
      </c>
      <c r="G22" s="205" t="s">
        <v>79</v>
      </c>
      <c r="H22" s="206" t="s">
        <v>189</v>
      </c>
      <c r="I22" s="206"/>
      <c r="J22" s="206"/>
      <c r="K22" s="206" t="s">
        <v>65</v>
      </c>
      <c r="L22" s="206"/>
      <c r="M22" s="206"/>
      <c r="N22" s="206"/>
      <c r="O22" s="207"/>
      <c r="Q22" s="205" t="s">
        <v>0</v>
      </c>
      <c r="R22" s="206">
        <v>12</v>
      </c>
      <c r="S22" s="206">
        <v>12</v>
      </c>
      <c r="T22" s="206">
        <v>1</v>
      </c>
      <c r="U22" s="207">
        <v>1</v>
      </c>
      <c r="W22" s="205" t="s">
        <v>48</v>
      </c>
      <c r="X22" s="207">
        <v>2016</v>
      </c>
      <c r="Z22" s="205" t="s">
        <v>10</v>
      </c>
      <c r="AA22" s="206">
        <v>26</v>
      </c>
      <c r="AB22" s="207">
        <v>0</v>
      </c>
    </row>
    <row r="23" spans="1:35" ht="13.5" thickBot="1">
      <c r="B23" s="208" t="s">
        <v>3</v>
      </c>
      <c r="C23" s="209" t="s">
        <v>191</v>
      </c>
      <c r="D23" s="209" t="s">
        <v>3</v>
      </c>
      <c r="E23" s="210" t="s">
        <v>191</v>
      </c>
      <c r="G23" s="205" t="s">
        <v>80</v>
      </c>
      <c r="H23" s="206" t="s">
        <v>1206</v>
      </c>
      <c r="I23" s="206"/>
      <c r="J23" s="206"/>
      <c r="K23" s="206" t="s">
        <v>1313</v>
      </c>
      <c r="L23" s="206"/>
      <c r="M23" s="206"/>
      <c r="N23" s="206"/>
      <c r="O23" s="207"/>
      <c r="Q23" s="205"/>
      <c r="R23" s="206" t="s">
        <v>6</v>
      </c>
      <c r="S23" s="206" t="s">
        <v>52</v>
      </c>
      <c r="T23" s="206" t="s">
        <v>53</v>
      </c>
      <c r="U23" s="207" t="s">
        <v>54</v>
      </c>
      <c r="W23" s="205" t="s">
        <v>1</v>
      </c>
      <c r="X23" s="207">
        <v>2012</v>
      </c>
      <c r="Z23" s="205" t="s">
        <v>185</v>
      </c>
      <c r="AA23" s="206">
        <v>0.9</v>
      </c>
      <c r="AB23" s="207" t="s">
        <v>178</v>
      </c>
    </row>
    <row r="24" spans="1:35">
      <c r="G24" s="205" t="s">
        <v>81</v>
      </c>
      <c r="H24" s="206" t="s">
        <v>189</v>
      </c>
      <c r="I24" s="206"/>
      <c r="J24" s="206"/>
      <c r="K24" s="206"/>
      <c r="L24" s="206"/>
      <c r="M24" s="206"/>
      <c r="N24" s="206"/>
      <c r="O24" s="207"/>
      <c r="Q24" s="205" t="s">
        <v>16</v>
      </c>
      <c r="R24" s="206">
        <v>0.35</v>
      </c>
      <c r="S24" s="206">
        <v>0.19500000000000001</v>
      </c>
      <c r="T24" s="206">
        <v>0.45499999999999996</v>
      </c>
      <c r="U24" s="207">
        <v>0</v>
      </c>
      <c r="W24" s="205" t="s">
        <v>49</v>
      </c>
      <c r="X24" s="207">
        <v>0.04</v>
      </c>
      <c r="Z24" s="205" t="s">
        <v>188</v>
      </c>
      <c r="AA24" s="206">
        <v>4.7399348199455904E-2</v>
      </c>
      <c r="AB24" s="207">
        <v>0</v>
      </c>
    </row>
    <row r="25" spans="1:35">
      <c r="B25" t="s">
        <v>638</v>
      </c>
      <c r="C25" t="s">
        <v>38</v>
      </c>
      <c r="G25" s="205" t="s">
        <v>82</v>
      </c>
      <c r="H25" s="206" t="s">
        <v>1207</v>
      </c>
      <c r="I25" s="206"/>
      <c r="J25" s="206"/>
      <c r="K25" s="206" t="s">
        <v>12</v>
      </c>
      <c r="L25" s="206"/>
      <c r="M25" s="206"/>
      <c r="N25" s="206"/>
      <c r="O25" s="207"/>
      <c r="Q25" s="205" t="s">
        <v>15</v>
      </c>
      <c r="R25" s="206">
        <v>1</v>
      </c>
      <c r="S25" s="206">
        <v>0</v>
      </c>
      <c r="T25" s="206">
        <v>0</v>
      </c>
      <c r="U25" s="207">
        <v>0</v>
      </c>
      <c r="W25" s="205" t="s">
        <v>36</v>
      </c>
      <c r="X25" s="207">
        <v>0</v>
      </c>
      <c r="Z25" s="205" t="s">
        <v>11</v>
      </c>
      <c r="AA25" s="206">
        <v>31</v>
      </c>
      <c r="AB25" s="207">
        <v>0</v>
      </c>
    </row>
    <row r="26" spans="1:35">
      <c r="B26" t="s">
        <v>639</v>
      </c>
      <c r="C26" t="s">
        <v>640</v>
      </c>
      <c r="G26" s="205" t="s">
        <v>83</v>
      </c>
      <c r="H26" s="206" t="s">
        <v>12</v>
      </c>
      <c r="I26" s="206"/>
      <c r="J26" s="206"/>
      <c r="K26" s="206" t="s">
        <v>56</v>
      </c>
      <c r="L26" s="206"/>
      <c r="M26" s="206"/>
      <c r="N26" s="206"/>
      <c r="O26" s="207"/>
      <c r="Q26" s="205" t="s">
        <v>14</v>
      </c>
      <c r="R26" s="206">
        <v>1</v>
      </c>
      <c r="S26" s="206">
        <v>0</v>
      </c>
      <c r="T26" s="206">
        <v>0</v>
      </c>
      <c r="U26" s="207">
        <v>0</v>
      </c>
      <c r="W26" s="205" t="s">
        <v>192</v>
      </c>
      <c r="X26" s="207">
        <v>0.2</v>
      </c>
      <c r="Z26" s="205" t="s">
        <v>186</v>
      </c>
      <c r="AA26" s="206">
        <v>0.7</v>
      </c>
      <c r="AB26" s="207" t="s">
        <v>178</v>
      </c>
    </row>
    <row r="27" spans="1:35">
      <c r="B27" t="s">
        <v>641</v>
      </c>
      <c r="C27" t="s">
        <v>642</v>
      </c>
      <c r="G27" s="205" t="s">
        <v>84</v>
      </c>
      <c r="H27" s="206" t="s">
        <v>56</v>
      </c>
      <c r="I27" s="206"/>
      <c r="J27" s="206"/>
      <c r="K27" s="206" t="s">
        <v>57</v>
      </c>
      <c r="L27" s="206"/>
      <c r="M27" s="206"/>
      <c r="N27" s="206"/>
      <c r="O27" s="207"/>
      <c r="Q27" s="205" t="s">
        <v>13</v>
      </c>
      <c r="R27" s="206"/>
      <c r="S27" s="206">
        <v>0.3</v>
      </c>
      <c r="T27" s="206">
        <v>0.7</v>
      </c>
      <c r="U27" s="207">
        <v>0</v>
      </c>
      <c r="W27" s="205" t="s">
        <v>50</v>
      </c>
      <c r="X27" s="207">
        <v>0</v>
      </c>
      <c r="Z27" s="205" t="s">
        <v>194</v>
      </c>
      <c r="AA27" s="206">
        <v>0</v>
      </c>
      <c r="AB27" s="207">
        <v>0</v>
      </c>
    </row>
    <row r="28" spans="1:35" ht="13.5" thickBot="1">
      <c r="B28" t="s">
        <v>643</v>
      </c>
      <c r="C28" t="s">
        <v>644</v>
      </c>
      <c r="G28" s="208" t="s">
        <v>85</v>
      </c>
      <c r="H28" s="209" t="s">
        <v>57</v>
      </c>
      <c r="I28" s="209"/>
      <c r="J28" s="209"/>
      <c r="K28" s="209"/>
      <c r="L28" s="209"/>
      <c r="M28" s="209"/>
      <c r="N28" s="209"/>
      <c r="O28" s="210"/>
      <c r="Q28" s="208" t="s">
        <v>71</v>
      </c>
      <c r="R28" s="209"/>
      <c r="S28" s="209">
        <v>20</v>
      </c>
      <c r="T28" s="209"/>
      <c r="U28" s="210"/>
      <c r="W28" s="208" t="s">
        <v>19</v>
      </c>
      <c r="X28" s="210">
        <v>2018</v>
      </c>
      <c r="Z28" s="208" t="s">
        <v>193</v>
      </c>
      <c r="AA28" s="209">
        <v>0</v>
      </c>
      <c r="AB28" s="210">
        <v>0</v>
      </c>
    </row>
    <row r="36" spans="1:101" ht="13.5" thickBot="1">
      <c r="A36" s="201" t="s">
        <v>86</v>
      </c>
      <c r="B36" s="200"/>
      <c r="C36" s="215"/>
      <c r="D36" s="215"/>
      <c r="E36" s="215"/>
      <c r="F36" s="215"/>
      <c r="G36" s="215"/>
      <c r="H36" s="215"/>
      <c r="I36" s="215"/>
      <c r="J36" s="215"/>
      <c r="K36" s="215"/>
      <c r="L36" s="215"/>
      <c r="M36" s="215"/>
      <c r="N36" s="215"/>
      <c r="O36" s="215"/>
      <c r="P36" s="215"/>
      <c r="Q36" s="215"/>
      <c r="R36" s="215"/>
      <c r="S36" s="215"/>
      <c r="T36" s="215"/>
      <c r="U36" s="215"/>
      <c r="V36" s="215"/>
      <c r="W36" s="215"/>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5"/>
      <c r="AU36" s="215"/>
      <c r="AV36" s="215"/>
      <c r="AW36" s="215"/>
      <c r="AX36" s="215"/>
      <c r="AY36" s="215"/>
      <c r="AZ36" s="215"/>
      <c r="BA36" s="215"/>
      <c r="BB36" s="215"/>
      <c r="BC36" s="215"/>
      <c r="BD36" s="215"/>
      <c r="BE36" s="215"/>
      <c r="BF36" s="215"/>
      <c r="BG36" s="215"/>
      <c r="BH36" s="215"/>
      <c r="BI36" s="215"/>
      <c r="BJ36" s="215"/>
      <c r="BK36" s="215"/>
      <c r="BL36" s="215"/>
      <c r="BM36" s="215"/>
      <c r="BN36" s="215"/>
      <c r="BO36" s="215"/>
      <c r="BP36" s="215"/>
      <c r="BQ36" s="215"/>
      <c r="BR36" s="215"/>
      <c r="BS36" s="215"/>
      <c r="BT36" s="215"/>
      <c r="BU36" s="215"/>
      <c r="BV36" s="215"/>
      <c r="BW36" s="215"/>
      <c r="BX36" s="215"/>
      <c r="BY36" s="215"/>
      <c r="BZ36" s="215"/>
      <c r="CA36" s="215"/>
      <c r="CB36" s="215"/>
      <c r="CC36" s="215"/>
      <c r="CD36" s="215"/>
      <c r="CE36" s="215"/>
      <c r="CF36" s="215"/>
      <c r="CG36" s="215"/>
      <c r="CH36" s="215"/>
      <c r="CI36" s="215"/>
      <c r="CJ36" s="215"/>
      <c r="CK36" s="215"/>
      <c r="CL36" s="215"/>
      <c r="CM36" s="215"/>
      <c r="CN36" s="215"/>
      <c r="CO36" s="215"/>
      <c r="CP36" s="215"/>
      <c r="CQ36" s="215"/>
      <c r="CR36" s="215"/>
      <c r="CS36" s="215"/>
      <c r="CT36" s="215"/>
      <c r="CU36" s="215"/>
      <c r="CV36" s="215"/>
      <c r="CW36" s="215"/>
    </row>
    <row r="37" spans="1:101" ht="26.25" thickBot="1">
      <c r="A37" s="211" t="s">
        <v>645</v>
      </c>
      <c r="B37" s="212"/>
      <c r="C37" s="216" t="s">
        <v>646</v>
      </c>
      <c r="D37" s="217"/>
      <c r="E37" s="217"/>
      <c r="F37" s="217"/>
      <c r="G37" s="217"/>
      <c r="H37" s="217"/>
      <c r="I37" s="217"/>
      <c r="J37" s="217"/>
      <c r="K37" s="218"/>
      <c r="L37" s="216" t="s">
        <v>87</v>
      </c>
      <c r="M37" s="217"/>
      <c r="N37" s="217"/>
      <c r="O37" s="217"/>
      <c r="P37" s="217"/>
      <c r="Q37" s="218"/>
      <c r="R37" s="216" t="s">
        <v>647</v>
      </c>
      <c r="S37" s="217"/>
      <c r="T37" s="217"/>
      <c r="U37" s="218"/>
      <c r="V37" s="216" t="s">
        <v>648</v>
      </c>
      <c r="W37" s="217"/>
      <c r="X37" s="217"/>
      <c r="Y37" s="218"/>
      <c r="Z37" s="216" t="s">
        <v>649</v>
      </c>
      <c r="AA37" s="217"/>
      <c r="AB37" s="217"/>
      <c r="AC37" s="218"/>
      <c r="AD37" s="216" t="s">
        <v>650</v>
      </c>
      <c r="AE37" s="217"/>
      <c r="AF37" s="217"/>
      <c r="AG37" s="218"/>
      <c r="AH37" s="216" t="s">
        <v>651</v>
      </c>
      <c r="AI37" s="217"/>
      <c r="AJ37" s="217"/>
      <c r="AK37" s="217"/>
      <c r="AL37" s="218"/>
      <c r="AM37" s="216" t="s">
        <v>652</v>
      </c>
      <c r="AN37" s="217"/>
      <c r="AO37" s="217"/>
      <c r="AP37" s="217"/>
      <c r="AQ37" s="217"/>
      <c r="AR37" s="217"/>
      <c r="AS37" s="218"/>
      <c r="AT37" s="216" t="s">
        <v>653</v>
      </c>
      <c r="AU37" s="217"/>
      <c r="AV37" s="217"/>
      <c r="AW37" s="217"/>
      <c r="AX37" s="217"/>
      <c r="AY37" s="217"/>
      <c r="AZ37" s="218"/>
      <c r="BA37" s="216" t="s">
        <v>654</v>
      </c>
      <c r="BB37" s="217"/>
      <c r="BC37" s="217"/>
      <c r="BD37" s="217"/>
      <c r="BE37" s="217"/>
      <c r="BF37" s="218"/>
      <c r="BG37" s="216" t="s">
        <v>655</v>
      </c>
      <c r="BH37" s="218"/>
      <c r="BI37" s="216" t="s">
        <v>656</v>
      </c>
      <c r="BJ37" s="217"/>
      <c r="BK37" s="217"/>
      <c r="BL37" s="217"/>
      <c r="BM37" s="218"/>
      <c r="BN37" s="216" t="s">
        <v>657</v>
      </c>
      <c r="BO37" s="217"/>
      <c r="BP37" s="217"/>
      <c r="BQ37" s="217"/>
      <c r="BR37" s="217"/>
      <c r="BS37" s="217"/>
      <c r="BT37" s="217"/>
      <c r="BU37" s="217"/>
      <c r="BV37" s="217"/>
      <c r="BW37" s="217"/>
      <c r="BX37" s="217"/>
      <c r="BY37" s="217"/>
      <c r="BZ37" s="217"/>
      <c r="CA37" s="217"/>
      <c r="CB37" s="217"/>
      <c r="CC37" s="218"/>
      <c r="CD37" s="216" t="s">
        <v>658</v>
      </c>
      <c r="CE37" s="218"/>
      <c r="CF37" s="216" t="s">
        <v>659</v>
      </c>
      <c r="CG37" s="217"/>
      <c r="CH37" s="217"/>
      <c r="CI37" s="217"/>
      <c r="CJ37" s="217"/>
      <c r="CK37" s="218"/>
      <c r="CL37" s="219"/>
      <c r="CM37" s="216" t="s">
        <v>42</v>
      </c>
      <c r="CN37" s="217"/>
      <c r="CO37" s="217"/>
      <c r="CP37" s="218"/>
      <c r="CQ37" s="216" t="s">
        <v>660</v>
      </c>
      <c r="CR37" s="217"/>
      <c r="CS37" s="217"/>
      <c r="CT37" s="217"/>
      <c r="CU37" s="218"/>
      <c r="CV37" s="216" t="s">
        <v>661</v>
      </c>
      <c r="CW37" s="218"/>
    </row>
    <row r="38" spans="1:101" ht="127.5">
      <c r="A38" s="214" t="s">
        <v>88</v>
      </c>
      <c r="B38" s="213" t="s">
        <v>195</v>
      </c>
      <c r="C38" s="220" t="s">
        <v>662</v>
      </c>
      <c r="D38" s="220" t="s">
        <v>663</v>
      </c>
      <c r="E38" s="220" t="s">
        <v>664</v>
      </c>
      <c r="F38" s="220" t="s">
        <v>665</v>
      </c>
      <c r="G38" s="220" t="s">
        <v>666</v>
      </c>
      <c r="H38" s="220" t="s">
        <v>667</v>
      </c>
      <c r="I38" s="220" t="s">
        <v>668</v>
      </c>
      <c r="J38" s="220" t="s">
        <v>669</v>
      </c>
      <c r="K38" s="220" t="s">
        <v>670</v>
      </c>
      <c r="L38" s="220" t="s">
        <v>671</v>
      </c>
      <c r="M38" s="220" t="s">
        <v>672</v>
      </c>
      <c r="N38" s="220" t="s">
        <v>673</v>
      </c>
      <c r="O38" s="220" t="s">
        <v>674</v>
      </c>
      <c r="P38" s="220" t="s">
        <v>675</v>
      </c>
      <c r="Q38" s="220" t="s">
        <v>676</v>
      </c>
      <c r="R38" s="220" t="s">
        <v>67</v>
      </c>
      <c r="S38" s="220" t="s">
        <v>68</v>
      </c>
      <c r="T38" s="220" t="s">
        <v>69</v>
      </c>
      <c r="U38" s="220" t="s">
        <v>6</v>
      </c>
      <c r="V38" s="220" t="s">
        <v>67</v>
      </c>
      <c r="W38" s="220" t="s">
        <v>68</v>
      </c>
      <c r="X38" s="220" t="s">
        <v>69</v>
      </c>
      <c r="Y38" s="220" t="s">
        <v>6</v>
      </c>
      <c r="Z38" s="220" t="s">
        <v>67</v>
      </c>
      <c r="AA38" s="220" t="s">
        <v>68</v>
      </c>
      <c r="AB38" s="220" t="s">
        <v>69</v>
      </c>
      <c r="AC38" s="220" t="s">
        <v>6</v>
      </c>
      <c r="AD38" s="220" t="s">
        <v>67</v>
      </c>
      <c r="AE38" s="220" t="s">
        <v>68</v>
      </c>
      <c r="AF38" s="220" t="s">
        <v>69</v>
      </c>
      <c r="AG38" s="220" t="s">
        <v>6</v>
      </c>
      <c r="AH38" s="220" t="s">
        <v>67</v>
      </c>
      <c r="AI38" s="220" t="s">
        <v>68</v>
      </c>
      <c r="AJ38" s="220" t="s">
        <v>69</v>
      </c>
      <c r="AK38" s="220" t="s">
        <v>6</v>
      </c>
      <c r="AL38" s="220" t="s">
        <v>677</v>
      </c>
      <c r="AM38" s="220" t="s">
        <v>678</v>
      </c>
      <c r="AN38" s="220" t="s">
        <v>679</v>
      </c>
      <c r="AO38" s="220" t="s">
        <v>680</v>
      </c>
      <c r="AP38" s="220" t="s">
        <v>681</v>
      </c>
      <c r="AQ38" s="220" t="s">
        <v>682</v>
      </c>
      <c r="AR38" s="220" t="s">
        <v>683</v>
      </c>
      <c r="AS38" s="220" t="s">
        <v>684</v>
      </c>
      <c r="AT38" s="220" t="s">
        <v>685</v>
      </c>
      <c r="AU38" s="220" t="s">
        <v>686</v>
      </c>
      <c r="AV38" s="220" t="s">
        <v>687</v>
      </c>
      <c r="AW38" s="220" t="s">
        <v>688</v>
      </c>
      <c r="AX38" s="220" t="s">
        <v>689</v>
      </c>
      <c r="AY38" s="220" t="s">
        <v>690</v>
      </c>
      <c r="AZ38" s="220" t="s">
        <v>691</v>
      </c>
      <c r="BA38" s="220" t="s">
        <v>692</v>
      </c>
      <c r="BB38" s="220" t="s">
        <v>693</v>
      </c>
      <c r="BC38" s="220" t="s">
        <v>694</v>
      </c>
      <c r="BD38" s="220" t="s">
        <v>695</v>
      </c>
      <c r="BE38" s="220" t="s">
        <v>696</v>
      </c>
      <c r="BF38" s="220" t="s">
        <v>697</v>
      </c>
      <c r="BG38" s="220" t="s">
        <v>698</v>
      </c>
      <c r="BH38" s="220" t="s">
        <v>699</v>
      </c>
      <c r="BI38" s="220" t="s">
        <v>700</v>
      </c>
      <c r="BJ38" s="220" t="s">
        <v>701</v>
      </c>
      <c r="BK38" s="220" t="s">
        <v>702</v>
      </c>
      <c r="BL38" s="220" t="s">
        <v>703</v>
      </c>
      <c r="BM38" s="220" t="s">
        <v>704</v>
      </c>
      <c r="BN38" s="220" t="s">
        <v>705</v>
      </c>
      <c r="BO38" s="220" t="s">
        <v>706</v>
      </c>
      <c r="BP38" s="220" t="s">
        <v>707</v>
      </c>
      <c r="BQ38" s="220" t="s">
        <v>708</v>
      </c>
      <c r="BR38" s="220" t="s">
        <v>709</v>
      </c>
      <c r="BS38" s="220" t="s">
        <v>710</v>
      </c>
      <c r="BT38" s="220" t="s">
        <v>711</v>
      </c>
      <c r="BU38" s="220" t="s">
        <v>712</v>
      </c>
      <c r="BV38" s="220" t="s">
        <v>713</v>
      </c>
      <c r="BW38" s="220" t="s">
        <v>714</v>
      </c>
      <c r="BX38" s="220" t="s">
        <v>715</v>
      </c>
      <c r="BY38" s="220" t="s">
        <v>716</v>
      </c>
      <c r="BZ38" s="220" t="s">
        <v>717</v>
      </c>
      <c r="CA38" s="220" t="s">
        <v>718</v>
      </c>
      <c r="CB38" s="220" t="s">
        <v>719</v>
      </c>
      <c r="CC38" s="220" t="s">
        <v>720</v>
      </c>
      <c r="CD38" s="220" t="s">
        <v>721</v>
      </c>
      <c r="CE38" s="220" t="s">
        <v>722</v>
      </c>
      <c r="CF38" s="220" t="s">
        <v>723</v>
      </c>
      <c r="CG38" s="220" t="s">
        <v>724</v>
      </c>
      <c r="CH38" s="220" t="s">
        <v>725</v>
      </c>
      <c r="CI38" s="220" t="s">
        <v>1314</v>
      </c>
      <c r="CJ38" s="220" t="s">
        <v>1315</v>
      </c>
      <c r="CK38" s="220" t="s">
        <v>1316</v>
      </c>
      <c r="CL38" s="220"/>
      <c r="CM38" s="220" t="s">
        <v>726</v>
      </c>
      <c r="CN38" s="220" t="s">
        <v>727</v>
      </c>
      <c r="CO38" s="220" t="s">
        <v>728</v>
      </c>
      <c r="CP38" s="220" t="s">
        <v>729</v>
      </c>
      <c r="CQ38" s="220" t="s">
        <v>730</v>
      </c>
      <c r="CR38" s="220" t="s">
        <v>731</v>
      </c>
      <c r="CS38" s="220" t="s">
        <v>732</v>
      </c>
      <c r="CT38" s="220" t="s">
        <v>733</v>
      </c>
      <c r="CU38" s="220" t="s">
        <v>734</v>
      </c>
      <c r="CV38" s="220" t="s">
        <v>735</v>
      </c>
      <c r="CW38" s="221" t="s">
        <v>736</v>
      </c>
    </row>
    <row r="39" spans="1:101">
      <c r="A39" t="s">
        <v>814</v>
      </c>
      <c r="B39" t="s">
        <v>814</v>
      </c>
      <c r="C39" s="215">
        <v>12</v>
      </c>
      <c r="D39" s="215">
        <v>161030.96921053046</v>
      </c>
      <c r="E39" s="215">
        <v>0</v>
      </c>
      <c r="F39" s="215">
        <v>87957.789587314182</v>
      </c>
      <c r="G39" s="215">
        <v>-4942.5141609923294</v>
      </c>
      <c r="H39" s="215">
        <v>0</v>
      </c>
      <c r="I39" s="215" t="s">
        <v>1214</v>
      </c>
      <c r="J39" s="215"/>
      <c r="K39" s="215"/>
      <c r="L39" s="215">
        <v>172927.81861352207</v>
      </c>
      <c r="M39" s="215">
        <v>27.171801721038236</v>
      </c>
      <c r="N39" s="215">
        <v>26.975687841235764</v>
      </c>
      <c r="O39" s="215">
        <v>0</v>
      </c>
      <c r="P39" s="215">
        <v>0</v>
      </c>
      <c r="Q39" s="215">
        <v>0</v>
      </c>
      <c r="R39" s="215">
        <v>17539.958228033713</v>
      </c>
      <c r="S39" s="215">
        <v>40532.175652399186</v>
      </c>
      <c r="T39" s="215">
        <v>0</v>
      </c>
      <c r="U39" s="215">
        <v>82068.813345796312</v>
      </c>
      <c r="V39" s="215" t="s">
        <v>737</v>
      </c>
      <c r="W39" s="215" t="s">
        <v>737</v>
      </c>
      <c r="X39" s="215" t="s">
        <v>737</v>
      </c>
      <c r="Y39" s="215" t="s">
        <v>737</v>
      </c>
      <c r="Z39" s="215">
        <v>0</v>
      </c>
      <c r="AA39" s="215">
        <v>0</v>
      </c>
      <c r="AB39" s="215">
        <v>0</v>
      </c>
      <c r="AC39" s="215">
        <v>-67170.380412509898</v>
      </c>
      <c r="AD39" s="215">
        <v>0</v>
      </c>
      <c r="AE39" s="215">
        <v>0</v>
      </c>
      <c r="AF39" s="215">
        <v>0</v>
      </c>
      <c r="AG39" s="215">
        <v>0</v>
      </c>
      <c r="AH39" s="215">
        <v>17539.958228033713</v>
      </c>
      <c r="AI39" s="215">
        <v>40532.175652399186</v>
      </c>
      <c r="AJ39" s="215">
        <v>0</v>
      </c>
      <c r="AK39" s="215">
        <v>14898.432933286414</v>
      </c>
      <c r="AL39" s="215">
        <v>72970.566813719313</v>
      </c>
      <c r="AM39" s="215">
        <v>89438.711843544705</v>
      </c>
      <c r="AN39" s="215">
        <v>9601.1149720112699</v>
      </c>
      <c r="AO39" s="215">
        <v>0</v>
      </c>
      <c r="AP39" s="215">
        <v>0</v>
      </c>
      <c r="AQ39" s="215">
        <v>99039.826815555978</v>
      </c>
      <c r="AR39" s="215">
        <v>17539.958228033713</v>
      </c>
      <c r="AS39" s="222">
        <v>5.6465258085542587</v>
      </c>
      <c r="AT39" s="215">
        <v>89438.711843544705</v>
      </c>
      <c r="AU39" s="215">
        <v>11364.860435413495</v>
      </c>
      <c r="AV39" s="215">
        <v>0</v>
      </c>
      <c r="AW39" s="215">
        <v>0</v>
      </c>
      <c r="AX39" s="215">
        <v>100803.57227895819</v>
      </c>
      <c r="AY39" s="215">
        <v>40532.175652399186</v>
      </c>
      <c r="AZ39" s="222">
        <v>2.4870012689040397</v>
      </c>
      <c r="BA39" s="215">
        <v>89438.711843544705</v>
      </c>
      <c r="BB39" s="215">
        <v>20965.975407424765</v>
      </c>
      <c r="BC39" s="215">
        <v>0</v>
      </c>
      <c r="BD39" s="215">
        <v>0</v>
      </c>
      <c r="BE39" s="215">
        <v>110404.68725096947</v>
      </c>
      <c r="BF39" s="215">
        <v>58072.133880432899</v>
      </c>
      <c r="BG39" s="215">
        <v>15.788877176074678</v>
      </c>
      <c r="BH39" s="222">
        <v>1.9011646356630567</v>
      </c>
      <c r="BI39" s="215">
        <v>7.4633499540879296</v>
      </c>
      <c r="BJ39" s="215">
        <v>17.246666574777201</v>
      </c>
      <c r="BK39" s="215">
        <v>0</v>
      </c>
      <c r="BL39" s="215">
        <v>6.3393662232849151</v>
      </c>
      <c r="BM39" s="215">
        <v>31.049382752150045</v>
      </c>
      <c r="BN39" s="215">
        <v>89438.711843544705</v>
      </c>
      <c r="BO39" s="215">
        <v>0</v>
      </c>
      <c r="BP39" s="215">
        <v>20965.975407424765</v>
      </c>
      <c r="BQ39" s="215">
        <v>0</v>
      </c>
      <c r="BR39" s="215">
        <v>0</v>
      </c>
      <c r="BS39" s="215">
        <v>0</v>
      </c>
      <c r="BT39" s="215">
        <v>0</v>
      </c>
      <c r="BU39" s="215">
        <v>0</v>
      </c>
      <c r="BV39" s="215">
        <v>0</v>
      </c>
      <c r="BW39" s="215">
        <v>0</v>
      </c>
      <c r="BX39" s="215">
        <v>140140.94722622921</v>
      </c>
      <c r="BY39" s="215"/>
      <c r="BZ39" s="215">
        <v>-67170.380412509898</v>
      </c>
      <c r="CA39" s="215">
        <v>0</v>
      </c>
      <c r="CB39" s="215">
        <v>110404.68725096947</v>
      </c>
      <c r="CC39" s="215">
        <v>72970.566813719313</v>
      </c>
      <c r="CD39" s="222">
        <v>1.2671176496104335</v>
      </c>
      <c r="CE39" s="215">
        <v>22.128243399359594</v>
      </c>
      <c r="CF39" s="215">
        <v>1642.8312394263703</v>
      </c>
      <c r="CG39" s="215">
        <v>0</v>
      </c>
      <c r="CH39" s="215">
        <v>1642.8312394263703</v>
      </c>
      <c r="CI39" s="215">
        <v>82.140713841422979</v>
      </c>
      <c r="CJ39" s="215">
        <v>0</v>
      </c>
      <c r="CK39" s="215">
        <v>82.140713841422979</v>
      </c>
      <c r="CL39" s="215"/>
      <c r="CM39" s="215">
        <v>0</v>
      </c>
      <c r="CN39" s="215"/>
      <c r="CO39" s="215">
        <v>0</v>
      </c>
      <c r="CP39" s="215">
        <v>0</v>
      </c>
      <c r="CQ39" s="215">
        <v>0</v>
      </c>
      <c r="CR39" s="215">
        <v>0</v>
      </c>
      <c r="CS39" s="215">
        <v>0</v>
      </c>
      <c r="CT39" s="215">
        <v>0</v>
      </c>
      <c r="CU39" s="215">
        <v>0</v>
      </c>
      <c r="CV39" s="215">
        <v>9999</v>
      </c>
      <c r="CW39" s="222">
        <v>9999</v>
      </c>
    </row>
    <row r="40" spans="1:101">
      <c r="A40" t="s">
        <v>816</v>
      </c>
      <c r="B40" t="s">
        <v>816</v>
      </c>
      <c r="C40" s="215">
        <v>12</v>
      </c>
      <c r="D40" s="215">
        <v>560460.26853217953</v>
      </c>
      <c r="E40" s="215">
        <v>0</v>
      </c>
      <c r="F40" s="215">
        <v>352479.10968386155</v>
      </c>
      <c r="G40" s="215">
        <v>-17202.174385923739</v>
      </c>
      <c r="H40" s="215">
        <v>0</v>
      </c>
      <c r="I40" s="215" t="s">
        <v>1214</v>
      </c>
      <c r="J40" s="215"/>
      <c r="K40" s="215"/>
      <c r="L40" s="215">
        <v>601866.66038199991</v>
      </c>
      <c r="M40" s="215">
        <v>94.57010265625577</v>
      </c>
      <c r="N40" s="215">
        <v>93.887538064638122</v>
      </c>
      <c r="O40" s="215">
        <v>0</v>
      </c>
      <c r="P40" s="215">
        <v>0</v>
      </c>
      <c r="Q40" s="215">
        <v>0</v>
      </c>
      <c r="R40" s="215">
        <v>70289.043063914374</v>
      </c>
      <c r="S40" s="215">
        <v>162427.28761760608</v>
      </c>
      <c r="T40" s="215">
        <v>0</v>
      </c>
      <c r="U40" s="215">
        <v>328879.8228861973</v>
      </c>
      <c r="V40" s="215" t="s">
        <v>737</v>
      </c>
      <c r="W40" s="215" t="s">
        <v>737</v>
      </c>
      <c r="X40" s="215" t="s">
        <v>737</v>
      </c>
      <c r="Y40" s="215" t="s">
        <v>737</v>
      </c>
      <c r="Z40" s="215">
        <v>0</v>
      </c>
      <c r="AA40" s="215">
        <v>0</v>
      </c>
      <c r="AB40" s="215">
        <v>0</v>
      </c>
      <c r="AC40" s="215">
        <v>-233783.16374774772</v>
      </c>
      <c r="AD40" s="215">
        <v>0</v>
      </c>
      <c r="AE40" s="215">
        <v>0</v>
      </c>
      <c r="AF40" s="215">
        <v>0</v>
      </c>
      <c r="AG40" s="215">
        <v>0</v>
      </c>
      <c r="AH40" s="215">
        <v>70289.043063914374</v>
      </c>
      <c r="AI40" s="215">
        <v>162427.28761760608</v>
      </c>
      <c r="AJ40" s="215">
        <v>0</v>
      </c>
      <c r="AK40" s="215">
        <v>95096.659138449584</v>
      </c>
      <c r="AL40" s="215">
        <v>327812.98981997004</v>
      </c>
      <c r="AM40" s="215">
        <v>311286.98226655897</v>
      </c>
      <c r="AN40" s="215">
        <v>33416.202496965889</v>
      </c>
      <c r="AO40" s="215">
        <v>0</v>
      </c>
      <c r="AP40" s="215">
        <v>0</v>
      </c>
      <c r="AQ40" s="215">
        <v>344703.18476352486</v>
      </c>
      <c r="AR40" s="215">
        <v>70289.043063914374</v>
      </c>
      <c r="AS40" s="222">
        <v>4.904081343803238</v>
      </c>
      <c r="AT40" s="215">
        <v>311286.98226655897</v>
      </c>
      <c r="AU40" s="215">
        <v>39554.830742744241</v>
      </c>
      <c r="AV40" s="215">
        <v>0</v>
      </c>
      <c r="AW40" s="215">
        <v>0</v>
      </c>
      <c r="AX40" s="215">
        <v>350841.81300930324</v>
      </c>
      <c r="AY40" s="215">
        <v>162427.28761760608</v>
      </c>
      <c r="AZ40" s="222">
        <v>2.1599930538474017</v>
      </c>
      <c r="BA40" s="215">
        <v>311286.98226655897</v>
      </c>
      <c r="BB40" s="215">
        <v>72971.03323971013</v>
      </c>
      <c r="BC40" s="215">
        <v>0</v>
      </c>
      <c r="BD40" s="215">
        <v>0</v>
      </c>
      <c r="BE40" s="215">
        <v>384258.01550626912</v>
      </c>
      <c r="BF40" s="215">
        <v>232716.33068152046</v>
      </c>
      <c r="BG40" s="215">
        <v>19.529805131713815</v>
      </c>
      <c r="BH40" s="222">
        <v>1.6511862935486816</v>
      </c>
      <c r="BI40" s="215">
        <v>8.5932502296847062</v>
      </c>
      <c r="BJ40" s="215">
        <v>19.857694254819563</v>
      </c>
      <c r="BK40" s="215">
        <v>0</v>
      </c>
      <c r="BL40" s="215">
        <v>11.626127663178647</v>
      </c>
      <c r="BM40" s="215">
        <v>40.077072147682912</v>
      </c>
      <c r="BN40" s="215">
        <v>311286.98226655897</v>
      </c>
      <c r="BO40" s="215">
        <v>0</v>
      </c>
      <c r="BP40" s="215">
        <v>72971.03323971013</v>
      </c>
      <c r="BQ40" s="215">
        <v>0</v>
      </c>
      <c r="BR40" s="215">
        <v>0</v>
      </c>
      <c r="BS40" s="215">
        <v>0</v>
      </c>
      <c r="BT40" s="215">
        <v>0</v>
      </c>
      <c r="BU40" s="215">
        <v>0</v>
      </c>
      <c r="BV40" s="215">
        <v>0</v>
      </c>
      <c r="BW40" s="215">
        <v>0</v>
      </c>
      <c r="BX40" s="215">
        <v>561596.15356771776</v>
      </c>
      <c r="BY40" s="215"/>
      <c r="BZ40" s="215">
        <v>-233783.16374774772</v>
      </c>
      <c r="CA40" s="215">
        <v>0</v>
      </c>
      <c r="CB40" s="215">
        <v>384258.01550626912</v>
      </c>
      <c r="CC40" s="215">
        <v>327812.98981997004</v>
      </c>
      <c r="CD40" s="222">
        <v>1.1005082127570036</v>
      </c>
      <c r="CE40" s="215">
        <v>31.155932794892461</v>
      </c>
      <c r="CF40" s="215">
        <v>5717.7923111062419</v>
      </c>
      <c r="CG40" s="215">
        <v>0</v>
      </c>
      <c r="CH40" s="215">
        <v>5717.7923111062419</v>
      </c>
      <c r="CI40" s="215">
        <v>285.88666368144987</v>
      </c>
      <c r="CJ40" s="215">
        <v>0</v>
      </c>
      <c r="CK40" s="215">
        <v>285.88666368144987</v>
      </c>
      <c r="CL40" s="215"/>
      <c r="CM40" s="215">
        <v>0</v>
      </c>
      <c r="CN40" s="215"/>
      <c r="CO40" s="215">
        <v>0</v>
      </c>
      <c r="CP40" s="215">
        <v>0</v>
      </c>
      <c r="CQ40" s="215">
        <v>0</v>
      </c>
      <c r="CR40" s="215">
        <v>0</v>
      </c>
      <c r="CS40" s="215">
        <v>0</v>
      </c>
      <c r="CT40" s="215">
        <v>0</v>
      </c>
      <c r="CU40" s="215">
        <v>0</v>
      </c>
      <c r="CV40" s="215">
        <v>9999</v>
      </c>
      <c r="CW40" s="222">
        <v>9999</v>
      </c>
    </row>
    <row r="41" spans="1:101">
      <c r="A41" t="s">
        <v>818</v>
      </c>
      <c r="B41" t="s">
        <v>818</v>
      </c>
      <c r="C41" s="215">
        <v>12</v>
      </c>
      <c r="D41" s="215">
        <v>1787796.712631647</v>
      </c>
      <c r="E41" s="215">
        <v>0</v>
      </c>
      <c r="F41" s="215">
        <v>403865.60653109004</v>
      </c>
      <c r="G41" s="215">
        <v>-54872.740395700326</v>
      </c>
      <c r="H41" s="215">
        <v>0</v>
      </c>
      <c r="I41" s="215" t="s">
        <v>1214</v>
      </c>
      <c r="J41" s="215"/>
      <c r="K41" s="215"/>
      <c r="L41" s="215">
        <v>1919877.8170155815</v>
      </c>
      <c r="M41" s="215">
        <v>301.66655539184569</v>
      </c>
      <c r="N41" s="215">
        <v>299.48926147545683</v>
      </c>
      <c r="O41" s="215">
        <v>0</v>
      </c>
      <c r="P41" s="215">
        <v>0</v>
      </c>
      <c r="Q41" s="215">
        <v>0</v>
      </c>
      <c r="R41" s="215">
        <v>80536.196981881498</v>
      </c>
      <c r="S41" s="215">
        <v>186106.90173871533</v>
      </c>
      <c r="T41" s="215">
        <v>0</v>
      </c>
      <c r="U41" s="215">
        <v>376825.87562395033</v>
      </c>
      <c r="V41" s="215" t="s">
        <v>737</v>
      </c>
      <c r="W41" s="215" t="s">
        <v>737</v>
      </c>
      <c r="X41" s="215" t="s">
        <v>737</v>
      </c>
      <c r="Y41" s="215" t="s">
        <v>737</v>
      </c>
      <c r="Z41" s="215">
        <v>0</v>
      </c>
      <c r="AA41" s="215">
        <v>0</v>
      </c>
      <c r="AB41" s="215">
        <v>0</v>
      </c>
      <c r="AC41" s="215">
        <v>-745738.44942025852</v>
      </c>
      <c r="AD41" s="215">
        <v>0</v>
      </c>
      <c r="AE41" s="215">
        <v>0</v>
      </c>
      <c r="AF41" s="215">
        <v>0</v>
      </c>
      <c r="AG41" s="215">
        <v>0</v>
      </c>
      <c r="AH41" s="215">
        <v>80536.196981881498</v>
      </c>
      <c r="AI41" s="215">
        <v>186106.90173871533</v>
      </c>
      <c r="AJ41" s="215">
        <v>0</v>
      </c>
      <c r="AK41" s="215">
        <v>-368912.57379630819</v>
      </c>
      <c r="AL41" s="215">
        <v>-102269.47507571138</v>
      </c>
      <c r="AM41" s="215">
        <v>992965.73696236417</v>
      </c>
      <c r="AN41" s="215">
        <v>106593.42031357379</v>
      </c>
      <c r="AO41" s="215">
        <v>0</v>
      </c>
      <c r="AP41" s="215">
        <v>0</v>
      </c>
      <c r="AQ41" s="215">
        <v>1099559.157275938</v>
      </c>
      <c r="AR41" s="215">
        <v>80536.196981881498</v>
      </c>
      <c r="AS41" s="222">
        <v>13.652980876702056</v>
      </c>
      <c r="AT41" s="215">
        <v>992965.73696236417</v>
      </c>
      <c r="AU41" s="215">
        <v>126174.86080820931</v>
      </c>
      <c r="AV41" s="215">
        <v>0</v>
      </c>
      <c r="AW41" s="215">
        <v>0</v>
      </c>
      <c r="AX41" s="215">
        <v>1119140.5977705736</v>
      </c>
      <c r="AY41" s="215">
        <v>186106.90173871533</v>
      </c>
      <c r="AZ41" s="222">
        <v>6.0134287730059057</v>
      </c>
      <c r="BA41" s="215">
        <v>992965.73696236417</v>
      </c>
      <c r="BB41" s="215">
        <v>232768.2811217831</v>
      </c>
      <c r="BC41" s="215">
        <v>0</v>
      </c>
      <c r="BD41" s="215">
        <v>0</v>
      </c>
      <c r="BE41" s="215">
        <v>1225734.0180841475</v>
      </c>
      <c r="BF41" s="215">
        <v>266643.09872059681</v>
      </c>
      <c r="BG41" s="215">
        <v>1.2982953128019359</v>
      </c>
      <c r="BH41" s="222">
        <v>4.596908841689312</v>
      </c>
      <c r="BI41" s="215">
        <v>3.086651809931289</v>
      </c>
      <c r="BJ41" s="215">
        <v>7.132782855661107</v>
      </c>
      <c r="BK41" s="215">
        <v>0</v>
      </c>
      <c r="BL41" s="215">
        <v>-14.139041900264587</v>
      </c>
      <c r="BM41" s="215">
        <v>-3.9196072346721906</v>
      </c>
      <c r="BN41" s="215">
        <v>992965.73696236417</v>
      </c>
      <c r="BO41" s="215">
        <v>0</v>
      </c>
      <c r="BP41" s="215">
        <v>232768.2811217831</v>
      </c>
      <c r="BQ41" s="215">
        <v>0</v>
      </c>
      <c r="BR41" s="215">
        <v>0</v>
      </c>
      <c r="BS41" s="215">
        <v>0</v>
      </c>
      <c r="BT41" s="215">
        <v>0</v>
      </c>
      <c r="BU41" s="215">
        <v>0</v>
      </c>
      <c r="BV41" s="215">
        <v>0</v>
      </c>
      <c r="BW41" s="215">
        <v>0</v>
      </c>
      <c r="BX41" s="215">
        <v>643468.97434454714</v>
      </c>
      <c r="BY41" s="215"/>
      <c r="BZ41" s="215">
        <v>-745738.44942025852</v>
      </c>
      <c r="CA41" s="215">
        <v>0</v>
      </c>
      <c r="CB41" s="215">
        <v>1225734.0180841472</v>
      </c>
      <c r="CC41" s="215">
        <v>-102269.47507571138</v>
      </c>
      <c r="CD41" s="222">
        <v>3.0638189968872931</v>
      </c>
      <c r="CE41" s="215">
        <v>-12.84074658746264</v>
      </c>
      <c r="CF41" s="215">
        <v>18239.027583664199</v>
      </c>
      <c r="CG41" s="215">
        <v>0</v>
      </c>
      <c r="CH41" s="215">
        <v>18239.027583664199</v>
      </c>
      <c r="CI41" s="215">
        <v>911.94196308240112</v>
      </c>
      <c r="CJ41" s="215">
        <v>0</v>
      </c>
      <c r="CK41" s="215">
        <v>911.94196308240112</v>
      </c>
      <c r="CL41" s="215"/>
      <c r="CM41" s="215">
        <v>0</v>
      </c>
      <c r="CN41" s="215"/>
      <c r="CO41" s="215">
        <v>0</v>
      </c>
      <c r="CP41" s="215">
        <v>0</v>
      </c>
      <c r="CQ41" s="215">
        <v>0</v>
      </c>
      <c r="CR41" s="215">
        <v>0</v>
      </c>
      <c r="CS41" s="215">
        <v>0</v>
      </c>
      <c r="CT41" s="215">
        <v>0</v>
      </c>
      <c r="CU41" s="215">
        <v>0</v>
      </c>
      <c r="CV41" s="215">
        <v>9999</v>
      </c>
      <c r="CW41" s="222">
        <v>9999</v>
      </c>
    </row>
    <row r="42" spans="1:101">
      <c r="C42" s="215"/>
      <c r="D42" s="215"/>
      <c r="E42" s="215"/>
      <c r="F42" s="215"/>
      <c r="G42" s="215"/>
      <c r="H42" s="215"/>
      <c r="I42" s="215"/>
      <c r="J42" s="215"/>
      <c r="K42" s="215"/>
      <c r="L42" s="215"/>
      <c r="M42" s="215"/>
      <c r="N42" s="215"/>
      <c r="O42" s="215"/>
      <c r="P42" s="215"/>
      <c r="Q42" s="215"/>
      <c r="R42" s="215"/>
      <c r="S42" s="215"/>
      <c r="T42" s="215"/>
      <c r="U42" s="215"/>
      <c r="V42" s="215"/>
      <c r="W42" s="215"/>
      <c r="X42" s="215"/>
      <c r="Y42" s="215"/>
      <c r="Z42" s="215"/>
      <c r="AA42" s="215"/>
      <c r="AB42" s="215"/>
      <c r="AC42" s="215"/>
      <c r="AD42" s="215"/>
      <c r="AE42" s="215"/>
      <c r="AF42" s="215"/>
      <c r="AG42" s="215"/>
      <c r="AH42" s="215"/>
      <c r="AI42" s="215"/>
      <c r="AJ42" s="215"/>
      <c r="AK42" s="215"/>
      <c r="AL42" s="215"/>
      <c r="AM42" s="215"/>
      <c r="AN42" s="215"/>
      <c r="AO42" s="215"/>
      <c r="AP42" s="215"/>
      <c r="AQ42" s="215"/>
      <c r="AR42" s="215"/>
      <c r="AS42" s="215"/>
      <c r="AT42" s="215"/>
      <c r="AU42" s="215"/>
      <c r="AV42" s="215"/>
      <c r="AW42" s="215"/>
      <c r="AX42" s="215"/>
      <c r="AY42" s="215"/>
      <c r="AZ42" s="215"/>
      <c r="BA42" s="215"/>
      <c r="BB42" s="215"/>
      <c r="BC42" s="215"/>
      <c r="BD42" s="215"/>
      <c r="BE42" s="215"/>
      <c r="BF42" s="215"/>
      <c r="BG42" s="215"/>
      <c r="BH42" s="215"/>
      <c r="BI42" s="215"/>
      <c r="BJ42" s="215"/>
      <c r="BK42" s="215"/>
      <c r="BL42" s="215"/>
      <c r="BM42" s="215"/>
      <c r="BN42" s="215"/>
      <c r="BO42" s="215"/>
      <c r="BP42" s="215"/>
      <c r="BQ42" s="215"/>
      <c r="BR42" s="215"/>
      <c r="BS42" s="215"/>
      <c r="BT42" s="215"/>
      <c r="BU42" s="215"/>
      <c r="BV42" s="215"/>
      <c r="BW42" s="215"/>
      <c r="BX42" s="215"/>
      <c r="BY42" s="215"/>
      <c r="BZ42" s="215"/>
      <c r="CA42" s="215"/>
      <c r="CB42" s="215"/>
      <c r="CC42" s="215"/>
      <c r="CD42" s="215"/>
      <c r="CE42" s="215"/>
      <c r="CF42" s="215"/>
      <c r="CG42" s="215"/>
      <c r="CH42" s="215"/>
      <c r="CI42" s="215"/>
      <c r="CJ42" s="215"/>
      <c r="CK42" s="215"/>
      <c r="CL42" s="215"/>
      <c r="CM42" s="215"/>
      <c r="CN42" s="215"/>
      <c r="CO42" s="215"/>
      <c r="CP42" s="215"/>
      <c r="CQ42" s="215"/>
      <c r="CR42" s="215"/>
      <c r="CS42" s="215"/>
      <c r="CT42" s="215"/>
      <c r="CU42" s="215"/>
      <c r="CV42" s="215"/>
      <c r="CW42" s="215"/>
    </row>
    <row r="43" spans="1:101">
      <c r="C43" s="215"/>
      <c r="D43" s="215"/>
      <c r="E43" s="215"/>
      <c r="F43" s="215"/>
      <c r="G43" s="215"/>
      <c r="H43" s="215"/>
      <c r="I43" s="215"/>
      <c r="J43" s="215"/>
      <c r="K43" s="215"/>
      <c r="L43" s="215"/>
      <c r="M43" s="215"/>
      <c r="N43" s="215"/>
      <c r="O43" s="215"/>
      <c r="P43" s="215"/>
      <c r="Q43" s="215"/>
      <c r="R43" s="215"/>
      <c r="S43" s="215"/>
      <c r="T43" s="215"/>
      <c r="U43" s="215"/>
      <c r="V43" s="215"/>
      <c r="W43" s="215"/>
      <c r="X43" s="215"/>
      <c r="Y43" s="215"/>
      <c r="Z43" s="215"/>
      <c r="AA43" s="215"/>
      <c r="AB43" s="215"/>
      <c r="AC43" s="215"/>
      <c r="AD43" s="215"/>
      <c r="AE43" s="215"/>
      <c r="AF43" s="215"/>
      <c r="AG43" s="215"/>
      <c r="AH43" s="215"/>
      <c r="AI43" s="215"/>
      <c r="AJ43" s="215"/>
      <c r="AK43" s="215"/>
      <c r="AL43" s="215"/>
      <c r="AM43" s="215"/>
      <c r="AN43" s="215"/>
      <c r="AO43" s="215"/>
      <c r="AP43" s="215"/>
      <c r="AQ43" s="215"/>
      <c r="AR43" s="215"/>
      <c r="AS43" s="215"/>
      <c r="AT43" s="215"/>
      <c r="AU43" s="215"/>
      <c r="AV43" s="215"/>
      <c r="AW43" s="215"/>
      <c r="AX43" s="215"/>
      <c r="AY43" s="215"/>
      <c r="AZ43" s="215"/>
      <c r="BA43" s="215"/>
      <c r="BB43" s="215"/>
      <c r="BC43" s="215"/>
      <c r="BD43" s="215"/>
      <c r="BE43" s="215"/>
      <c r="BF43" s="215"/>
      <c r="BG43" s="215"/>
      <c r="BH43" s="215"/>
      <c r="BI43" s="215"/>
      <c r="BJ43" s="215"/>
      <c r="BK43" s="215"/>
      <c r="BL43" s="215"/>
      <c r="BM43" s="215"/>
      <c r="BN43" s="215"/>
      <c r="BO43" s="215"/>
      <c r="BP43" s="215"/>
      <c r="BQ43" s="215"/>
      <c r="BR43" s="215"/>
      <c r="BS43" s="215"/>
      <c r="BT43" s="215"/>
      <c r="BU43" s="215"/>
      <c r="BV43" s="215"/>
      <c r="BW43" s="215"/>
      <c r="BX43" s="215"/>
      <c r="BY43" s="215"/>
      <c r="BZ43" s="215"/>
      <c r="CA43" s="215"/>
      <c r="CB43" s="215"/>
      <c r="CC43" s="215"/>
      <c r="CD43" s="215"/>
      <c r="CE43" s="215"/>
      <c r="CF43" s="215"/>
      <c r="CG43" s="215"/>
      <c r="CH43" s="215"/>
      <c r="CI43" s="215"/>
      <c r="CJ43" s="215"/>
      <c r="CK43" s="215"/>
      <c r="CL43" s="215"/>
      <c r="CM43" s="215"/>
      <c r="CN43" s="215"/>
      <c r="CO43" s="215"/>
      <c r="CP43" s="215"/>
      <c r="CQ43" s="215"/>
      <c r="CR43" s="215"/>
      <c r="CS43" s="215"/>
      <c r="CT43" s="215"/>
      <c r="CU43" s="215"/>
      <c r="CV43" s="215"/>
      <c r="CW43" s="215"/>
    </row>
    <row r="44" spans="1:101" ht="13.5" thickBot="1">
      <c r="A44" s="201" t="s">
        <v>89</v>
      </c>
      <c r="B44" s="200"/>
      <c r="C44" s="215"/>
      <c r="D44" s="215"/>
      <c r="E44" s="215"/>
      <c r="F44" s="215"/>
      <c r="G44" s="215"/>
      <c r="H44" s="215"/>
      <c r="I44" s="215"/>
      <c r="J44" s="215"/>
      <c r="K44" s="215"/>
      <c r="L44" s="215"/>
      <c r="M44" s="215"/>
      <c r="N44" s="215"/>
      <c r="O44" s="215"/>
      <c r="P44" s="215"/>
      <c r="Q44" s="215"/>
      <c r="R44" s="215"/>
      <c r="S44" s="215"/>
      <c r="T44" s="215"/>
      <c r="U44" s="215"/>
      <c r="V44" s="215"/>
      <c r="W44" s="215"/>
      <c r="X44" s="215"/>
      <c r="Y44" s="215"/>
      <c r="Z44" s="215"/>
      <c r="AA44" s="215"/>
      <c r="AB44" s="215"/>
      <c r="AC44" s="215"/>
      <c r="AD44" s="215"/>
      <c r="AE44" s="215"/>
      <c r="AF44" s="215"/>
      <c r="AG44" s="215"/>
      <c r="AH44" s="215"/>
      <c r="AI44" s="215"/>
      <c r="AJ44" s="215"/>
      <c r="AK44" s="215"/>
      <c r="AL44" s="215"/>
      <c r="AM44" s="215"/>
      <c r="AN44" s="215"/>
      <c r="AO44" s="215"/>
      <c r="AP44" s="215"/>
      <c r="AQ44" s="215"/>
      <c r="AR44" s="215"/>
      <c r="AS44" s="215"/>
      <c r="AT44" s="215"/>
      <c r="AU44" s="215"/>
      <c r="AV44" s="215"/>
      <c r="AW44" s="215"/>
      <c r="AX44" s="215"/>
      <c r="AY44" s="215"/>
      <c r="AZ44" s="215"/>
      <c r="BA44" s="215"/>
      <c r="BB44" s="215"/>
      <c r="BC44" s="215"/>
      <c r="BD44" s="215"/>
      <c r="BE44" s="215"/>
      <c r="BF44" s="215"/>
      <c r="BG44" s="215"/>
      <c r="BH44" s="215"/>
      <c r="BI44" s="215"/>
      <c r="BJ44" s="215"/>
      <c r="BK44" s="215"/>
      <c r="BL44" s="215"/>
      <c r="BM44" s="215"/>
      <c r="BN44" s="215"/>
      <c r="BO44" s="215"/>
      <c r="BP44" s="215"/>
      <c r="BQ44" s="215"/>
      <c r="BR44" s="215"/>
      <c r="BS44" s="215"/>
      <c r="BT44" s="215"/>
      <c r="BU44" s="215"/>
      <c r="BV44" s="215"/>
      <c r="BW44" s="215"/>
      <c r="BX44" s="215"/>
      <c r="BY44" s="215"/>
      <c r="BZ44" s="215"/>
      <c r="CA44" s="215"/>
      <c r="CB44" s="215"/>
      <c r="CC44" s="215"/>
      <c r="CD44" s="215"/>
      <c r="CE44" s="215"/>
      <c r="CF44" s="215"/>
      <c r="CG44" s="215"/>
      <c r="CH44" s="215"/>
      <c r="CI44" s="215"/>
      <c r="CJ44" s="215"/>
      <c r="CK44" s="215"/>
      <c r="CL44" s="215"/>
      <c r="CM44" s="215"/>
      <c r="CN44" s="215"/>
      <c r="CO44" s="215"/>
      <c r="CP44" s="215"/>
      <c r="CQ44" s="215"/>
      <c r="CR44" s="215"/>
      <c r="CS44" s="215"/>
      <c r="CT44" s="215"/>
      <c r="CU44" s="215"/>
      <c r="CV44" s="215"/>
      <c r="CW44" s="215"/>
    </row>
    <row r="45" spans="1:101" ht="26.25" thickBot="1">
      <c r="A45" s="211" t="s">
        <v>645</v>
      </c>
      <c r="B45" s="212"/>
      <c r="C45" s="216" t="s">
        <v>646</v>
      </c>
      <c r="D45" s="217"/>
      <c r="E45" s="217"/>
      <c r="F45" s="217"/>
      <c r="G45" s="217"/>
      <c r="H45" s="217"/>
      <c r="I45" s="217"/>
      <c r="J45" s="217"/>
      <c r="K45" s="218"/>
      <c r="L45" s="216" t="s">
        <v>87</v>
      </c>
      <c r="M45" s="217"/>
      <c r="N45" s="217"/>
      <c r="O45" s="217"/>
      <c r="P45" s="217"/>
      <c r="Q45" s="218"/>
      <c r="R45" s="216" t="s">
        <v>647</v>
      </c>
      <c r="S45" s="217"/>
      <c r="T45" s="217"/>
      <c r="U45" s="218"/>
      <c r="V45" s="216" t="s">
        <v>648</v>
      </c>
      <c r="W45" s="217"/>
      <c r="X45" s="217"/>
      <c r="Y45" s="218"/>
      <c r="Z45" s="216" t="s">
        <v>649</v>
      </c>
      <c r="AA45" s="217"/>
      <c r="AB45" s="217"/>
      <c r="AC45" s="218"/>
      <c r="AD45" s="216" t="s">
        <v>650</v>
      </c>
      <c r="AE45" s="217"/>
      <c r="AF45" s="217"/>
      <c r="AG45" s="218"/>
      <c r="AH45" s="216" t="s">
        <v>651</v>
      </c>
      <c r="AI45" s="217"/>
      <c r="AJ45" s="217"/>
      <c r="AK45" s="217"/>
      <c r="AL45" s="218"/>
      <c r="AM45" s="216" t="s">
        <v>652</v>
      </c>
      <c r="AN45" s="217"/>
      <c r="AO45" s="217"/>
      <c r="AP45" s="217"/>
      <c r="AQ45" s="217"/>
      <c r="AR45" s="217"/>
      <c r="AS45" s="218"/>
      <c r="AT45" s="216" t="s">
        <v>653</v>
      </c>
      <c r="AU45" s="217"/>
      <c r="AV45" s="217"/>
      <c r="AW45" s="217"/>
      <c r="AX45" s="217"/>
      <c r="AY45" s="217"/>
      <c r="AZ45" s="218"/>
      <c r="BA45" s="216" t="s">
        <v>654</v>
      </c>
      <c r="BB45" s="217"/>
      <c r="BC45" s="217"/>
      <c r="BD45" s="217"/>
      <c r="BE45" s="217"/>
      <c r="BF45" s="218"/>
      <c r="BG45" s="216" t="s">
        <v>655</v>
      </c>
      <c r="BH45" s="218"/>
      <c r="BI45" s="216" t="s">
        <v>656</v>
      </c>
      <c r="BJ45" s="217"/>
      <c r="BK45" s="217"/>
      <c r="BL45" s="217"/>
      <c r="BM45" s="218"/>
      <c r="BN45" s="216" t="s">
        <v>657</v>
      </c>
      <c r="BO45" s="217"/>
      <c r="BP45" s="217"/>
      <c r="BQ45" s="217"/>
      <c r="BR45" s="217"/>
      <c r="BS45" s="217"/>
      <c r="BT45" s="217"/>
      <c r="BU45" s="217"/>
      <c r="BV45" s="217"/>
      <c r="BW45" s="217"/>
      <c r="BX45" s="217"/>
      <c r="BY45" s="217"/>
      <c r="BZ45" s="217"/>
      <c r="CA45" s="217"/>
      <c r="CB45" s="217"/>
      <c r="CC45" s="218"/>
      <c r="CD45" s="216" t="s">
        <v>658</v>
      </c>
      <c r="CE45" s="218"/>
      <c r="CF45" s="216" t="s">
        <v>659</v>
      </c>
      <c r="CG45" s="217"/>
      <c r="CH45" s="217"/>
      <c r="CI45" s="217"/>
      <c r="CJ45" s="217"/>
      <c r="CK45" s="218"/>
      <c r="CL45" s="219"/>
      <c r="CM45" s="216" t="s">
        <v>42</v>
      </c>
      <c r="CN45" s="217"/>
      <c r="CO45" s="217"/>
      <c r="CP45" s="218"/>
      <c r="CQ45" s="216" t="s">
        <v>660</v>
      </c>
      <c r="CR45" s="217"/>
      <c r="CS45" s="217"/>
      <c r="CT45" s="217"/>
      <c r="CU45" s="218"/>
      <c r="CV45" s="216" t="s">
        <v>661</v>
      </c>
      <c r="CW45" s="218"/>
    </row>
    <row r="46" spans="1:101" ht="127.5">
      <c r="A46" s="214" t="s">
        <v>88</v>
      </c>
      <c r="B46" s="213" t="s">
        <v>195</v>
      </c>
      <c r="C46" s="220" t="s">
        <v>662</v>
      </c>
      <c r="D46" s="220" t="s">
        <v>663</v>
      </c>
      <c r="E46" s="220" t="s">
        <v>664</v>
      </c>
      <c r="F46" s="220" t="s">
        <v>665</v>
      </c>
      <c r="G46" s="220" t="s">
        <v>666</v>
      </c>
      <c r="H46" s="220" t="s">
        <v>667</v>
      </c>
      <c r="I46" s="220" t="s">
        <v>668</v>
      </c>
      <c r="J46" s="220" t="s">
        <v>669</v>
      </c>
      <c r="K46" s="220" t="s">
        <v>670</v>
      </c>
      <c r="L46" s="220" t="s">
        <v>671</v>
      </c>
      <c r="M46" s="220" t="s">
        <v>672</v>
      </c>
      <c r="N46" s="220" t="s">
        <v>673</v>
      </c>
      <c r="O46" s="220" t="s">
        <v>674</v>
      </c>
      <c r="P46" s="220" t="s">
        <v>675</v>
      </c>
      <c r="Q46" s="220" t="s">
        <v>676</v>
      </c>
      <c r="R46" s="220" t="s">
        <v>67</v>
      </c>
      <c r="S46" s="220" t="s">
        <v>68</v>
      </c>
      <c r="T46" s="220" t="s">
        <v>69</v>
      </c>
      <c r="U46" s="220" t="s">
        <v>6</v>
      </c>
      <c r="V46" s="220" t="s">
        <v>67</v>
      </c>
      <c r="W46" s="220" t="s">
        <v>68</v>
      </c>
      <c r="X46" s="220" t="s">
        <v>69</v>
      </c>
      <c r="Y46" s="220" t="s">
        <v>6</v>
      </c>
      <c r="Z46" s="220" t="s">
        <v>67</v>
      </c>
      <c r="AA46" s="220" t="s">
        <v>68</v>
      </c>
      <c r="AB46" s="220" t="s">
        <v>69</v>
      </c>
      <c r="AC46" s="220" t="s">
        <v>6</v>
      </c>
      <c r="AD46" s="220" t="s">
        <v>67</v>
      </c>
      <c r="AE46" s="220" t="s">
        <v>68</v>
      </c>
      <c r="AF46" s="220" t="s">
        <v>69</v>
      </c>
      <c r="AG46" s="220" t="s">
        <v>6</v>
      </c>
      <c r="AH46" s="220" t="s">
        <v>67</v>
      </c>
      <c r="AI46" s="220" t="s">
        <v>68</v>
      </c>
      <c r="AJ46" s="220" t="s">
        <v>69</v>
      </c>
      <c r="AK46" s="220" t="s">
        <v>6</v>
      </c>
      <c r="AL46" s="220" t="s">
        <v>677</v>
      </c>
      <c r="AM46" s="220" t="s">
        <v>678</v>
      </c>
      <c r="AN46" s="220" t="s">
        <v>679</v>
      </c>
      <c r="AO46" s="220" t="s">
        <v>680</v>
      </c>
      <c r="AP46" s="220" t="s">
        <v>681</v>
      </c>
      <c r="AQ46" s="220" t="s">
        <v>682</v>
      </c>
      <c r="AR46" s="220" t="s">
        <v>683</v>
      </c>
      <c r="AS46" s="220" t="s">
        <v>684</v>
      </c>
      <c r="AT46" s="220" t="s">
        <v>685</v>
      </c>
      <c r="AU46" s="220" t="s">
        <v>686</v>
      </c>
      <c r="AV46" s="220" t="s">
        <v>687</v>
      </c>
      <c r="AW46" s="220" t="s">
        <v>688</v>
      </c>
      <c r="AX46" s="220" t="s">
        <v>689</v>
      </c>
      <c r="AY46" s="220" t="s">
        <v>690</v>
      </c>
      <c r="AZ46" s="220" t="s">
        <v>691</v>
      </c>
      <c r="BA46" s="220" t="s">
        <v>692</v>
      </c>
      <c r="BB46" s="220" t="s">
        <v>693</v>
      </c>
      <c r="BC46" s="220" t="s">
        <v>694</v>
      </c>
      <c r="BD46" s="220" t="s">
        <v>695</v>
      </c>
      <c r="BE46" s="220" t="s">
        <v>696</v>
      </c>
      <c r="BF46" s="220" t="s">
        <v>697</v>
      </c>
      <c r="BG46" s="220" t="s">
        <v>698</v>
      </c>
      <c r="BH46" s="220" t="s">
        <v>699</v>
      </c>
      <c r="BI46" s="220" t="s">
        <v>700</v>
      </c>
      <c r="BJ46" s="220" t="s">
        <v>701</v>
      </c>
      <c r="BK46" s="220" t="s">
        <v>702</v>
      </c>
      <c r="BL46" s="220" t="s">
        <v>703</v>
      </c>
      <c r="BM46" s="220" t="s">
        <v>704</v>
      </c>
      <c r="BN46" s="220" t="s">
        <v>705</v>
      </c>
      <c r="BO46" s="220" t="s">
        <v>706</v>
      </c>
      <c r="BP46" s="220" t="s">
        <v>707</v>
      </c>
      <c r="BQ46" s="220" t="s">
        <v>708</v>
      </c>
      <c r="BR46" s="220" t="s">
        <v>709</v>
      </c>
      <c r="BS46" s="220" t="s">
        <v>710</v>
      </c>
      <c r="BT46" s="220" t="s">
        <v>711</v>
      </c>
      <c r="BU46" s="220" t="s">
        <v>712</v>
      </c>
      <c r="BV46" s="220" t="s">
        <v>713</v>
      </c>
      <c r="BW46" s="220" t="s">
        <v>714</v>
      </c>
      <c r="BX46" s="220" t="s">
        <v>715</v>
      </c>
      <c r="BY46" s="220" t="s">
        <v>716</v>
      </c>
      <c r="BZ46" s="220" t="s">
        <v>717</v>
      </c>
      <c r="CA46" s="220" t="s">
        <v>718</v>
      </c>
      <c r="CB46" s="220" t="s">
        <v>719</v>
      </c>
      <c r="CC46" s="220" t="s">
        <v>720</v>
      </c>
      <c r="CD46" s="220" t="s">
        <v>721</v>
      </c>
      <c r="CE46" s="220" t="s">
        <v>722</v>
      </c>
      <c r="CF46" s="220" t="s">
        <v>723</v>
      </c>
      <c r="CG46" s="220" t="s">
        <v>724</v>
      </c>
      <c r="CH46" s="220" t="s">
        <v>725</v>
      </c>
      <c r="CI46" s="220" t="s">
        <v>1314</v>
      </c>
      <c r="CJ46" s="220" t="s">
        <v>1315</v>
      </c>
      <c r="CK46" s="220" t="s">
        <v>1316</v>
      </c>
      <c r="CL46" s="220"/>
      <c r="CM46" s="220" t="s">
        <v>726</v>
      </c>
      <c r="CN46" s="220" t="s">
        <v>727</v>
      </c>
      <c r="CO46" s="220" t="s">
        <v>728</v>
      </c>
      <c r="CP46" s="220" t="s">
        <v>729</v>
      </c>
      <c r="CQ46" s="220" t="s">
        <v>730</v>
      </c>
      <c r="CR46" s="220" t="s">
        <v>731</v>
      </c>
      <c r="CS46" s="220" t="s">
        <v>732</v>
      </c>
      <c r="CT46" s="220" t="s">
        <v>733</v>
      </c>
      <c r="CU46" s="220" t="s">
        <v>734</v>
      </c>
      <c r="CV46" s="220" t="s">
        <v>735</v>
      </c>
      <c r="CW46" s="220" t="s">
        <v>736</v>
      </c>
    </row>
    <row r="47" spans="1:101">
      <c r="A47" t="s">
        <v>818</v>
      </c>
      <c r="C47" s="215">
        <v>12.000000000000002</v>
      </c>
      <c r="D47" s="215">
        <v>1787796.712631647</v>
      </c>
      <c r="E47" s="215">
        <v>0</v>
      </c>
      <c r="F47" s="215">
        <v>403865.60653109004</v>
      </c>
      <c r="G47" s="215">
        <v>-54872.740395700326</v>
      </c>
      <c r="H47" s="215">
        <v>0</v>
      </c>
      <c r="I47" s="215"/>
      <c r="J47" s="215"/>
      <c r="K47" s="215"/>
      <c r="L47" s="215">
        <v>1919877.8170155815</v>
      </c>
      <c r="M47" s="215">
        <v>301.66655539184569</v>
      </c>
      <c r="N47" s="215">
        <v>299.48926147545683</v>
      </c>
      <c r="O47" s="215">
        <v>0</v>
      </c>
      <c r="P47" s="215">
        <v>0</v>
      </c>
      <c r="Q47" s="215">
        <v>0</v>
      </c>
      <c r="R47" s="215">
        <v>80536.196981881498</v>
      </c>
      <c r="S47" s="215">
        <v>186106.90173871533</v>
      </c>
      <c r="T47" s="215">
        <v>0</v>
      </c>
      <c r="U47" s="215">
        <v>376825.87562395033</v>
      </c>
      <c r="V47" s="215">
        <v>24231.936391865402</v>
      </c>
      <c r="W47" s="215">
        <v>56541.184914352605</v>
      </c>
      <c r="X47" s="215">
        <v>0</v>
      </c>
      <c r="Y47" s="215">
        <v>0</v>
      </c>
      <c r="Z47" s="215">
        <v>0</v>
      </c>
      <c r="AA47" s="215">
        <v>0</v>
      </c>
      <c r="AB47" s="215">
        <v>0</v>
      </c>
      <c r="AC47" s="215">
        <v>-745738.44942025852</v>
      </c>
      <c r="AD47" s="215">
        <v>0</v>
      </c>
      <c r="AE47" s="215">
        <v>0</v>
      </c>
      <c r="AF47" s="215">
        <v>0</v>
      </c>
      <c r="AG47" s="215">
        <v>0</v>
      </c>
      <c r="AH47" s="215">
        <v>104768.1333737469</v>
      </c>
      <c r="AI47" s="215">
        <v>242648.08665306793</v>
      </c>
      <c r="AJ47" s="215">
        <v>0</v>
      </c>
      <c r="AK47" s="215">
        <v>-368912.57379630819</v>
      </c>
      <c r="AL47" s="215">
        <v>-21496.353769493362</v>
      </c>
      <c r="AM47" s="215">
        <v>992965.73696236417</v>
      </c>
      <c r="AN47" s="215">
        <v>106593.42031357379</v>
      </c>
      <c r="AO47" s="215">
        <v>0</v>
      </c>
      <c r="AP47" s="215">
        <v>0</v>
      </c>
      <c r="AQ47" s="215">
        <v>1099559.157275938</v>
      </c>
      <c r="AR47" s="215">
        <v>104768.1333737469</v>
      </c>
      <c r="AS47" s="222">
        <v>10.495167966326187</v>
      </c>
      <c r="AT47" s="215">
        <v>992965.73696236417</v>
      </c>
      <c r="AU47" s="215">
        <v>126174.86080820931</v>
      </c>
      <c r="AV47" s="215">
        <v>0</v>
      </c>
      <c r="AW47" s="215">
        <v>0</v>
      </c>
      <c r="AX47" s="215">
        <v>1119140.5977705736</v>
      </c>
      <c r="AY47" s="215">
        <v>242648.08665306793</v>
      </c>
      <c r="AZ47" s="222">
        <v>4.6121962600541435</v>
      </c>
      <c r="BA47" s="215">
        <v>992965.73696236417</v>
      </c>
      <c r="BB47" s="215">
        <v>232768.2811217831</v>
      </c>
      <c r="BC47" s="215">
        <v>0</v>
      </c>
      <c r="BD47" s="215">
        <v>0</v>
      </c>
      <c r="BE47" s="215">
        <v>1225734.0180841475</v>
      </c>
      <c r="BF47" s="215">
        <v>347416.22002681484</v>
      </c>
      <c r="BG47" s="215">
        <v>4.3940275477090207</v>
      </c>
      <c r="BH47" s="222">
        <v>3.5281427504724472</v>
      </c>
      <c r="BI47" s="215">
        <v>4.0153714804034149</v>
      </c>
      <c r="BJ47" s="215">
        <v>9.2997954200960677</v>
      </c>
      <c r="BK47" s="215">
        <v>0</v>
      </c>
      <c r="BL47" s="215">
        <v>-14.139041900264587</v>
      </c>
      <c r="BM47" s="215">
        <v>-0.82387499976510381</v>
      </c>
      <c r="BN47" s="215">
        <v>992965.73696236417</v>
      </c>
      <c r="BO47" s="215">
        <v>0</v>
      </c>
      <c r="BP47" s="215">
        <v>232768.2811217831</v>
      </c>
      <c r="BQ47" s="215">
        <v>0</v>
      </c>
      <c r="BR47" s="215">
        <v>0</v>
      </c>
      <c r="BS47" s="215">
        <v>0</v>
      </c>
      <c r="BT47" s="215">
        <v>0</v>
      </c>
      <c r="BU47" s="215">
        <v>0</v>
      </c>
      <c r="BV47" s="215">
        <v>0</v>
      </c>
      <c r="BW47" s="215">
        <v>0</v>
      </c>
      <c r="BX47" s="215">
        <v>643468.97434454714</v>
      </c>
      <c r="BY47" s="215">
        <v>80773.121306218018</v>
      </c>
      <c r="BZ47" s="215">
        <v>-745738.44942025852</v>
      </c>
      <c r="CA47" s="215">
        <v>0</v>
      </c>
      <c r="CB47" s="215">
        <v>1225734.0180841472</v>
      </c>
      <c r="CC47" s="215">
        <v>-21496.353769493362</v>
      </c>
      <c r="CD47" s="222">
        <v>2.7221180311715329</v>
      </c>
      <c r="CE47" s="215">
        <v>-9.7450143525555539</v>
      </c>
      <c r="CF47" s="215">
        <v>18239.027583664199</v>
      </c>
      <c r="CG47" s="215">
        <v>0</v>
      </c>
      <c r="CH47" s="215">
        <v>18239.027583664199</v>
      </c>
      <c r="CI47" s="215">
        <v>911.94196308240112</v>
      </c>
      <c r="CJ47" s="215">
        <v>0</v>
      </c>
      <c r="CK47" s="215">
        <v>911.94196308240112</v>
      </c>
      <c r="CL47" s="215"/>
      <c r="CM47" s="215">
        <v>0</v>
      </c>
      <c r="CN47" s="215"/>
      <c r="CO47" s="215">
        <v>0</v>
      </c>
      <c r="CP47" s="215">
        <v>0</v>
      </c>
      <c r="CQ47" s="215">
        <v>0</v>
      </c>
      <c r="CR47" s="215">
        <v>0</v>
      </c>
      <c r="CS47" s="215">
        <v>0</v>
      </c>
      <c r="CT47" s="215">
        <v>0</v>
      </c>
      <c r="CU47" s="215">
        <v>0</v>
      </c>
      <c r="CV47" s="215">
        <v>9999</v>
      </c>
      <c r="CW47" s="222">
        <v>9999</v>
      </c>
    </row>
    <row r="48" spans="1:101">
      <c r="A48" t="s">
        <v>814</v>
      </c>
      <c r="C48" s="215">
        <v>12</v>
      </c>
      <c r="D48" s="215">
        <v>161030.96921053046</v>
      </c>
      <c r="E48" s="215">
        <v>0</v>
      </c>
      <c r="F48" s="215">
        <v>87957.789587314182</v>
      </c>
      <c r="G48" s="215">
        <v>-4942.5141609923294</v>
      </c>
      <c r="H48" s="215">
        <v>0</v>
      </c>
      <c r="I48" s="215"/>
      <c r="J48" s="215"/>
      <c r="K48" s="215"/>
      <c r="L48" s="215">
        <v>172927.81861352207</v>
      </c>
      <c r="M48" s="215">
        <v>27.171801721038236</v>
      </c>
      <c r="N48" s="215">
        <v>26.975687841235764</v>
      </c>
      <c r="O48" s="215">
        <v>0</v>
      </c>
      <c r="P48" s="215">
        <v>0</v>
      </c>
      <c r="Q48" s="215">
        <v>0</v>
      </c>
      <c r="R48" s="215">
        <v>17539.958228033713</v>
      </c>
      <c r="S48" s="215">
        <v>40532.175652399186</v>
      </c>
      <c r="T48" s="215">
        <v>0</v>
      </c>
      <c r="U48" s="215">
        <v>82068.813345796312</v>
      </c>
      <c r="V48" s="215">
        <v>5277.4673752388508</v>
      </c>
      <c r="W48" s="215">
        <v>12314.090542223985</v>
      </c>
      <c r="X48" s="215">
        <v>0</v>
      </c>
      <c r="Y48" s="215">
        <v>0</v>
      </c>
      <c r="Z48" s="215">
        <v>0</v>
      </c>
      <c r="AA48" s="215">
        <v>0</v>
      </c>
      <c r="AB48" s="215">
        <v>0</v>
      </c>
      <c r="AC48" s="215">
        <v>-67170.380412509898</v>
      </c>
      <c r="AD48" s="215">
        <v>0</v>
      </c>
      <c r="AE48" s="215">
        <v>0</v>
      </c>
      <c r="AF48" s="215">
        <v>0</v>
      </c>
      <c r="AG48" s="215">
        <v>0</v>
      </c>
      <c r="AH48" s="215">
        <v>22817.425603272564</v>
      </c>
      <c r="AI48" s="215">
        <v>52846.266194623167</v>
      </c>
      <c r="AJ48" s="215">
        <v>0</v>
      </c>
      <c r="AK48" s="215">
        <v>14898.432933286414</v>
      </c>
      <c r="AL48" s="215">
        <v>90562.12473118215</v>
      </c>
      <c r="AM48" s="215">
        <v>89438.711843544705</v>
      </c>
      <c r="AN48" s="215">
        <v>9601.1149720112699</v>
      </c>
      <c r="AO48" s="215">
        <v>0</v>
      </c>
      <c r="AP48" s="215">
        <v>0</v>
      </c>
      <c r="AQ48" s="215">
        <v>99039.826815555978</v>
      </c>
      <c r="AR48" s="215">
        <v>22817.425603272564</v>
      </c>
      <c r="AS48" s="222">
        <v>4.3405346658104715</v>
      </c>
      <c r="AT48" s="215">
        <v>89438.711843544705</v>
      </c>
      <c r="AU48" s="215">
        <v>11364.860435413495</v>
      </c>
      <c r="AV48" s="215">
        <v>0</v>
      </c>
      <c r="AW48" s="215">
        <v>0</v>
      </c>
      <c r="AX48" s="215">
        <v>100803.57227895819</v>
      </c>
      <c r="AY48" s="215">
        <v>52846.266194623167</v>
      </c>
      <c r="AZ48" s="222">
        <v>1.9074871232665143</v>
      </c>
      <c r="BA48" s="215">
        <v>89438.711843544705</v>
      </c>
      <c r="BB48" s="215">
        <v>20965.975407424765</v>
      </c>
      <c r="BC48" s="215">
        <v>0</v>
      </c>
      <c r="BD48" s="215">
        <v>0</v>
      </c>
      <c r="BE48" s="215">
        <v>110404.68725096947</v>
      </c>
      <c r="BF48" s="215">
        <v>75663.691797895735</v>
      </c>
      <c r="BG48" s="215">
        <v>23.274183085514672</v>
      </c>
      <c r="BH48" s="222">
        <v>1.4591501501918507</v>
      </c>
      <c r="BI48" s="215">
        <v>9.7089417269199281</v>
      </c>
      <c r="BJ48" s="215">
        <v>22.486380711385195</v>
      </c>
      <c r="BK48" s="215">
        <v>0</v>
      </c>
      <c r="BL48" s="215">
        <v>6.3393662232849151</v>
      </c>
      <c r="BM48" s="215">
        <v>38.534688661590039</v>
      </c>
      <c r="BN48" s="215">
        <v>89438.711843544705</v>
      </c>
      <c r="BO48" s="215">
        <v>0</v>
      </c>
      <c r="BP48" s="215">
        <v>20965.975407424765</v>
      </c>
      <c r="BQ48" s="215">
        <v>0</v>
      </c>
      <c r="BR48" s="215">
        <v>0</v>
      </c>
      <c r="BS48" s="215">
        <v>0</v>
      </c>
      <c r="BT48" s="215">
        <v>0</v>
      </c>
      <c r="BU48" s="215">
        <v>0</v>
      </c>
      <c r="BV48" s="215">
        <v>0</v>
      </c>
      <c r="BW48" s="215">
        <v>0</v>
      </c>
      <c r="BX48" s="215">
        <v>140140.94722622921</v>
      </c>
      <c r="BY48" s="215">
        <v>17591.557917462836</v>
      </c>
      <c r="BZ48" s="215">
        <v>-67170.380412509898</v>
      </c>
      <c r="CA48" s="215">
        <v>0</v>
      </c>
      <c r="CB48" s="215">
        <v>110404.68725096947</v>
      </c>
      <c r="CC48" s="215">
        <v>90562.12473118215</v>
      </c>
      <c r="CD48" s="222">
        <v>1.1257988168114812</v>
      </c>
      <c r="CE48" s="215">
        <v>29.613549308799591</v>
      </c>
      <c r="CF48" s="215">
        <v>1642.8312394263703</v>
      </c>
      <c r="CG48" s="215">
        <v>0</v>
      </c>
      <c r="CH48" s="215">
        <v>1642.8312394263703</v>
      </c>
      <c r="CI48" s="215">
        <v>82.140713841422979</v>
      </c>
      <c r="CJ48" s="215">
        <v>0</v>
      </c>
      <c r="CK48" s="215">
        <v>82.140713841422979</v>
      </c>
      <c r="CL48" s="215"/>
      <c r="CM48" s="215">
        <v>0</v>
      </c>
      <c r="CN48" s="215"/>
      <c r="CO48" s="215">
        <v>0</v>
      </c>
      <c r="CP48" s="215">
        <v>0</v>
      </c>
      <c r="CQ48" s="215">
        <v>0</v>
      </c>
      <c r="CR48" s="215">
        <v>0</v>
      </c>
      <c r="CS48" s="215">
        <v>0</v>
      </c>
      <c r="CT48" s="215">
        <v>0</v>
      </c>
      <c r="CU48" s="215">
        <v>0</v>
      </c>
      <c r="CV48" s="215">
        <v>9999</v>
      </c>
      <c r="CW48" s="222">
        <v>9999</v>
      </c>
    </row>
    <row r="49" spans="1:101">
      <c r="A49" t="s">
        <v>816</v>
      </c>
      <c r="C49" s="215">
        <v>12</v>
      </c>
      <c r="D49" s="215">
        <v>560460.26853217953</v>
      </c>
      <c r="E49" s="215">
        <v>0</v>
      </c>
      <c r="F49" s="215">
        <v>352479.10968386155</v>
      </c>
      <c r="G49" s="215">
        <v>-17202.174385923739</v>
      </c>
      <c r="H49" s="215">
        <v>0</v>
      </c>
      <c r="I49" s="215"/>
      <c r="J49" s="215"/>
      <c r="K49" s="215"/>
      <c r="L49" s="215">
        <v>601866.66038199991</v>
      </c>
      <c r="M49" s="215">
        <v>94.57010265625577</v>
      </c>
      <c r="N49" s="215">
        <v>93.887538064638122</v>
      </c>
      <c r="O49" s="215">
        <v>0</v>
      </c>
      <c r="P49" s="215">
        <v>0</v>
      </c>
      <c r="Q49" s="215">
        <v>0</v>
      </c>
      <c r="R49" s="215">
        <v>70289.043063914374</v>
      </c>
      <c r="S49" s="215">
        <v>162427.28761760608</v>
      </c>
      <c r="T49" s="215">
        <v>0</v>
      </c>
      <c r="U49" s="215">
        <v>328879.8228861973</v>
      </c>
      <c r="V49" s="215">
        <v>21148.746581031693</v>
      </c>
      <c r="W49" s="215">
        <v>49347.075355740613</v>
      </c>
      <c r="X49" s="215">
        <v>0</v>
      </c>
      <c r="Y49" s="215">
        <v>0</v>
      </c>
      <c r="Z49" s="215">
        <v>0</v>
      </c>
      <c r="AA49" s="215">
        <v>0</v>
      </c>
      <c r="AB49" s="215">
        <v>0</v>
      </c>
      <c r="AC49" s="215">
        <v>-233783.16374774772</v>
      </c>
      <c r="AD49" s="215">
        <v>0</v>
      </c>
      <c r="AE49" s="215">
        <v>0</v>
      </c>
      <c r="AF49" s="215">
        <v>0</v>
      </c>
      <c r="AG49" s="215">
        <v>0</v>
      </c>
      <c r="AH49" s="215">
        <v>91437.789644946068</v>
      </c>
      <c r="AI49" s="215">
        <v>211774.3629733467</v>
      </c>
      <c r="AJ49" s="215">
        <v>0</v>
      </c>
      <c r="AK49" s="215">
        <v>95096.659138449584</v>
      </c>
      <c r="AL49" s="215">
        <v>398308.81175674236</v>
      </c>
      <c r="AM49" s="215">
        <v>311286.98226655897</v>
      </c>
      <c r="AN49" s="215">
        <v>33416.202496965889</v>
      </c>
      <c r="AO49" s="215">
        <v>0</v>
      </c>
      <c r="AP49" s="215">
        <v>0</v>
      </c>
      <c r="AQ49" s="215">
        <v>344703.18476352486</v>
      </c>
      <c r="AR49" s="215">
        <v>91437.789644946068</v>
      </c>
      <c r="AS49" s="222">
        <v>3.7698109950165142</v>
      </c>
      <c r="AT49" s="215">
        <v>311286.98226655897</v>
      </c>
      <c r="AU49" s="215">
        <v>39554.830742744241</v>
      </c>
      <c r="AV49" s="215">
        <v>0</v>
      </c>
      <c r="AW49" s="215">
        <v>0</v>
      </c>
      <c r="AX49" s="215">
        <v>350841.81300930324</v>
      </c>
      <c r="AY49" s="215">
        <v>211774.3629733467</v>
      </c>
      <c r="AZ49" s="222">
        <v>1.6566774565316915</v>
      </c>
      <c r="BA49" s="215">
        <v>311286.98226655897</v>
      </c>
      <c r="BB49" s="215">
        <v>72971.03323971013</v>
      </c>
      <c r="BC49" s="215">
        <v>0</v>
      </c>
      <c r="BD49" s="215">
        <v>0</v>
      </c>
      <c r="BE49" s="215">
        <v>384258.01550626912</v>
      </c>
      <c r="BF49" s="215">
        <v>303212.15261829278</v>
      </c>
      <c r="BG49" s="215">
        <v>28.148335298629487</v>
      </c>
      <c r="BH49" s="222">
        <v>1.2672909452610339</v>
      </c>
      <c r="BI49" s="215">
        <v>11.17880927975941</v>
      </c>
      <c r="BJ49" s="215">
        <v>25.890665371660532</v>
      </c>
      <c r="BK49" s="215">
        <v>0</v>
      </c>
      <c r="BL49" s="215">
        <v>11.626127663178647</v>
      </c>
      <c r="BM49" s="215">
        <v>48.695602314598595</v>
      </c>
      <c r="BN49" s="215">
        <v>311286.98226655897</v>
      </c>
      <c r="BO49" s="215">
        <v>0</v>
      </c>
      <c r="BP49" s="215">
        <v>72971.03323971013</v>
      </c>
      <c r="BQ49" s="215">
        <v>0</v>
      </c>
      <c r="BR49" s="215">
        <v>0</v>
      </c>
      <c r="BS49" s="215">
        <v>0</v>
      </c>
      <c r="BT49" s="215">
        <v>0</v>
      </c>
      <c r="BU49" s="215">
        <v>0</v>
      </c>
      <c r="BV49" s="215">
        <v>0</v>
      </c>
      <c r="BW49" s="215">
        <v>0</v>
      </c>
      <c r="BX49" s="215">
        <v>561596.15356771776</v>
      </c>
      <c r="BY49" s="215">
        <v>70495.821936772307</v>
      </c>
      <c r="BZ49" s="215">
        <v>-233783.16374774772</v>
      </c>
      <c r="CA49" s="215">
        <v>0</v>
      </c>
      <c r="CB49" s="215">
        <v>384258.01550626912</v>
      </c>
      <c r="CC49" s="215">
        <v>398308.81175674236</v>
      </c>
      <c r="CD49" s="223">
        <v>0.97777096246276674</v>
      </c>
      <c r="CE49" s="215">
        <v>39.774462961808133</v>
      </c>
      <c r="CF49" s="215">
        <v>5717.7923111062419</v>
      </c>
      <c r="CG49" s="215">
        <v>0</v>
      </c>
      <c r="CH49" s="215">
        <v>5717.7923111062419</v>
      </c>
      <c r="CI49" s="215">
        <v>285.88666368144987</v>
      </c>
      <c r="CJ49" s="215">
        <v>0</v>
      </c>
      <c r="CK49" s="215">
        <v>285.88666368144987</v>
      </c>
      <c r="CL49" s="215"/>
      <c r="CM49" s="215">
        <v>0</v>
      </c>
      <c r="CN49" s="215"/>
      <c r="CO49" s="215">
        <v>0</v>
      </c>
      <c r="CP49" s="215">
        <v>0</v>
      </c>
      <c r="CQ49" s="215">
        <v>0</v>
      </c>
      <c r="CR49" s="215">
        <v>0</v>
      </c>
      <c r="CS49" s="215">
        <v>0</v>
      </c>
      <c r="CT49" s="215">
        <v>0</v>
      </c>
      <c r="CU49" s="215">
        <v>0</v>
      </c>
      <c r="CV49" s="215">
        <v>9999</v>
      </c>
      <c r="CW49" s="222">
        <v>9999</v>
      </c>
    </row>
    <row r="50" spans="1:101">
      <c r="C50" s="215"/>
      <c r="D50" s="215"/>
      <c r="E50" s="215"/>
      <c r="F50" s="215"/>
      <c r="G50" s="215"/>
      <c r="H50" s="215"/>
      <c r="I50" s="215"/>
      <c r="J50" s="215"/>
      <c r="K50" s="215"/>
      <c r="L50" s="215"/>
      <c r="M50" s="215"/>
      <c r="N50" s="215"/>
      <c r="O50" s="215"/>
      <c r="P50" s="215"/>
      <c r="Q50" s="215"/>
      <c r="R50" s="215"/>
      <c r="S50" s="215"/>
      <c r="T50" s="215"/>
      <c r="U50" s="215"/>
      <c r="V50" s="215"/>
      <c r="W50" s="215"/>
      <c r="X50" s="215"/>
      <c r="Y50" s="215"/>
      <c r="Z50" s="215"/>
      <c r="AA50" s="215"/>
      <c r="AB50" s="215"/>
      <c r="AC50" s="215"/>
      <c r="AD50" s="215"/>
      <c r="AE50" s="215"/>
      <c r="AF50" s="215"/>
      <c r="AG50" s="215"/>
      <c r="AH50" s="215"/>
      <c r="AI50" s="215"/>
      <c r="AJ50" s="215"/>
      <c r="AK50" s="215"/>
      <c r="AL50" s="215"/>
      <c r="AM50" s="215"/>
      <c r="AN50" s="215"/>
      <c r="AO50" s="215"/>
      <c r="AP50" s="215"/>
      <c r="AQ50" s="215"/>
      <c r="AR50" s="215"/>
      <c r="AS50" s="215"/>
      <c r="AT50" s="215"/>
      <c r="AU50" s="215"/>
      <c r="AV50" s="215"/>
      <c r="AW50" s="215"/>
      <c r="AX50" s="215"/>
      <c r="AY50" s="215"/>
      <c r="AZ50" s="215"/>
      <c r="BA50" s="215"/>
      <c r="BB50" s="215"/>
      <c r="BC50" s="215"/>
      <c r="BD50" s="215"/>
      <c r="BE50" s="215"/>
      <c r="BF50" s="215"/>
      <c r="BG50" s="215"/>
      <c r="BH50" s="215"/>
      <c r="BI50" s="215"/>
      <c r="BJ50" s="215"/>
      <c r="BK50" s="215"/>
      <c r="BL50" s="215"/>
      <c r="BM50" s="215"/>
      <c r="BN50" s="215"/>
      <c r="BO50" s="215"/>
      <c r="BP50" s="215"/>
      <c r="BQ50" s="215"/>
      <c r="BR50" s="215"/>
      <c r="BS50" s="215"/>
      <c r="BT50" s="215"/>
      <c r="BU50" s="215"/>
      <c r="BV50" s="215"/>
      <c r="BW50" s="215"/>
      <c r="BX50" s="215"/>
      <c r="BY50" s="215"/>
      <c r="BZ50" s="215"/>
      <c r="CA50" s="215"/>
      <c r="CB50" s="215"/>
      <c r="CC50" s="215"/>
      <c r="CD50" s="215"/>
      <c r="CE50" s="215"/>
      <c r="CF50" s="215"/>
      <c r="CG50" s="215"/>
      <c r="CH50" s="215"/>
      <c r="CI50" s="215"/>
      <c r="CJ50" s="215"/>
      <c r="CK50" s="215"/>
      <c r="CL50" s="215"/>
      <c r="CM50" s="215"/>
      <c r="CN50" s="215"/>
      <c r="CO50" s="215"/>
      <c r="CP50" s="215"/>
      <c r="CQ50" s="215"/>
      <c r="CR50" s="215"/>
      <c r="CS50" s="215"/>
      <c r="CT50" s="215"/>
      <c r="CU50" s="215"/>
      <c r="CV50" s="215"/>
      <c r="CW50" s="215"/>
    </row>
    <row r="51" spans="1:101">
      <c r="C51" s="215"/>
      <c r="D51" s="215"/>
      <c r="E51" s="215"/>
      <c r="F51" s="215"/>
      <c r="G51" s="215"/>
      <c r="H51" s="215"/>
      <c r="I51" s="215"/>
      <c r="J51" s="215"/>
      <c r="K51" s="215"/>
      <c r="L51" s="215"/>
      <c r="M51" s="215"/>
      <c r="N51" s="215"/>
      <c r="O51" s="215"/>
      <c r="P51" s="215"/>
      <c r="Q51" s="215"/>
      <c r="R51" s="215"/>
      <c r="S51" s="215"/>
      <c r="T51" s="215"/>
      <c r="U51" s="215"/>
      <c r="V51" s="215"/>
      <c r="W51" s="215"/>
      <c r="X51" s="215"/>
      <c r="Y51" s="215"/>
      <c r="Z51" s="215"/>
      <c r="AA51" s="215"/>
      <c r="AB51" s="215"/>
      <c r="AC51" s="215"/>
      <c r="AD51" s="215"/>
      <c r="AE51" s="215"/>
      <c r="AF51" s="215"/>
      <c r="AG51" s="215"/>
      <c r="AH51" s="215"/>
      <c r="AI51" s="215"/>
      <c r="AJ51" s="215"/>
      <c r="AK51" s="215"/>
      <c r="AL51" s="215"/>
      <c r="AM51" s="215"/>
      <c r="AN51" s="215"/>
      <c r="AO51" s="215"/>
      <c r="AP51" s="215"/>
      <c r="AQ51" s="215"/>
      <c r="AR51" s="215"/>
      <c r="AS51" s="215"/>
      <c r="AT51" s="215"/>
      <c r="AU51" s="215"/>
      <c r="AV51" s="215"/>
      <c r="AW51" s="215"/>
      <c r="AX51" s="215"/>
      <c r="AY51" s="215"/>
      <c r="AZ51" s="215"/>
      <c r="BA51" s="215"/>
      <c r="BB51" s="215"/>
      <c r="BC51" s="215"/>
      <c r="BD51" s="215"/>
      <c r="BE51" s="215"/>
      <c r="BF51" s="215"/>
      <c r="BG51" s="215"/>
      <c r="BH51" s="215"/>
      <c r="BI51" s="215"/>
      <c r="BJ51" s="215"/>
      <c r="BK51" s="215"/>
      <c r="BL51" s="215"/>
      <c r="BM51" s="215"/>
      <c r="BN51" s="215"/>
      <c r="BO51" s="215"/>
      <c r="BP51" s="215"/>
      <c r="BQ51" s="215"/>
      <c r="BR51" s="215"/>
      <c r="BS51" s="215"/>
      <c r="BT51" s="215"/>
      <c r="BU51" s="215"/>
      <c r="BV51" s="215"/>
      <c r="BW51" s="215"/>
      <c r="BX51" s="215"/>
      <c r="BY51" s="215"/>
      <c r="BZ51" s="215"/>
      <c r="CA51" s="215"/>
      <c r="CB51" s="215"/>
      <c r="CC51" s="215"/>
      <c r="CD51" s="215"/>
      <c r="CE51" s="215"/>
      <c r="CF51" s="215"/>
      <c r="CG51" s="215"/>
      <c r="CH51" s="215"/>
      <c r="CI51" s="215"/>
      <c r="CJ51" s="215"/>
      <c r="CK51" s="215"/>
      <c r="CL51" s="215"/>
      <c r="CM51" s="215"/>
      <c r="CN51" s="215"/>
      <c r="CO51" s="215"/>
      <c r="CP51" s="215"/>
      <c r="CQ51" s="215"/>
      <c r="CR51" s="215"/>
      <c r="CS51" s="215"/>
      <c r="CT51" s="215"/>
      <c r="CU51" s="215"/>
      <c r="CV51" s="215"/>
      <c r="CW51" s="215"/>
    </row>
    <row r="52" spans="1:101" ht="13.5" thickBot="1">
      <c r="A52" s="201" t="s">
        <v>90</v>
      </c>
      <c r="B52" s="200"/>
      <c r="C52" s="215"/>
      <c r="D52" s="215"/>
      <c r="E52" s="215"/>
      <c r="F52" s="215"/>
      <c r="G52" s="215"/>
      <c r="H52" s="215"/>
      <c r="I52" s="215"/>
      <c r="J52" s="215"/>
      <c r="K52" s="215"/>
      <c r="L52" s="215"/>
      <c r="M52" s="215"/>
      <c r="N52" s="215"/>
      <c r="O52" s="215"/>
      <c r="P52" s="215"/>
      <c r="Q52" s="215"/>
      <c r="R52" s="215"/>
      <c r="S52" s="215"/>
      <c r="T52" s="215"/>
      <c r="U52" s="215"/>
      <c r="V52" s="215"/>
      <c r="W52" s="215"/>
      <c r="X52" s="215"/>
      <c r="Y52" s="215"/>
      <c r="Z52" s="215"/>
      <c r="AA52" s="215"/>
      <c r="AB52" s="215"/>
      <c r="AC52" s="215"/>
      <c r="AD52" s="215"/>
      <c r="AE52" s="215"/>
      <c r="AF52" s="215"/>
      <c r="AG52" s="215"/>
      <c r="AH52" s="215"/>
      <c r="AI52" s="215"/>
      <c r="AJ52" s="215"/>
      <c r="AK52" s="215"/>
      <c r="AL52" s="215"/>
      <c r="AM52" s="215"/>
      <c r="AN52" s="215"/>
      <c r="AO52" s="215"/>
      <c r="AP52" s="215"/>
      <c r="AQ52" s="215"/>
      <c r="AR52" s="215"/>
      <c r="AS52" s="215"/>
      <c r="AT52" s="215"/>
      <c r="AU52" s="215"/>
      <c r="AV52" s="215"/>
      <c r="AW52" s="215"/>
      <c r="AX52" s="215"/>
      <c r="AY52" s="215"/>
      <c r="AZ52" s="215"/>
      <c r="BA52" s="215"/>
      <c r="BB52" s="215"/>
      <c r="BC52" s="215"/>
      <c r="BD52" s="215"/>
      <c r="BE52" s="215"/>
      <c r="BF52" s="215"/>
      <c r="BG52" s="215"/>
      <c r="BH52" s="215"/>
      <c r="BI52" s="215"/>
      <c r="BJ52" s="215"/>
      <c r="BK52" s="215"/>
      <c r="BL52" s="215"/>
      <c r="BM52" s="215"/>
      <c r="BN52" s="215"/>
      <c r="BO52" s="215"/>
      <c r="BP52" s="215"/>
      <c r="BQ52" s="215"/>
      <c r="BR52" s="215"/>
      <c r="BS52" s="215"/>
      <c r="BT52" s="215"/>
      <c r="BU52" s="215"/>
      <c r="BV52" s="215"/>
      <c r="BW52" s="215"/>
      <c r="BX52" s="215"/>
      <c r="BY52" s="215"/>
      <c r="BZ52" s="215"/>
      <c r="CA52" s="215"/>
      <c r="CB52" s="215"/>
      <c r="CC52" s="215"/>
      <c r="CD52" s="215"/>
      <c r="CE52" s="215"/>
      <c r="CF52" s="215"/>
      <c r="CG52" s="215"/>
      <c r="CH52" s="215"/>
      <c r="CI52" s="215"/>
      <c r="CJ52" s="215"/>
      <c r="CK52" s="215"/>
      <c r="CL52" s="215"/>
      <c r="CM52" s="215"/>
      <c r="CN52" s="215"/>
      <c r="CO52" s="215"/>
      <c r="CP52" s="215"/>
      <c r="CQ52" s="215"/>
      <c r="CR52" s="215"/>
      <c r="CS52" s="215"/>
      <c r="CT52" s="215"/>
      <c r="CU52" s="215"/>
      <c r="CV52" s="215"/>
      <c r="CW52" s="215"/>
    </row>
    <row r="53" spans="1:101" ht="13.5" thickBot="1">
      <c r="A53" s="226" t="s">
        <v>738</v>
      </c>
      <c r="B53" s="227"/>
      <c r="C53" s="228"/>
      <c r="D53" s="228"/>
      <c r="E53" s="228"/>
      <c r="F53" s="228"/>
      <c r="G53" s="228"/>
      <c r="H53" s="228"/>
      <c r="I53" s="228"/>
      <c r="J53" s="228"/>
      <c r="K53" s="228"/>
      <c r="L53" s="229"/>
      <c r="M53" s="224"/>
      <c r="N53" s="230" t="s">
        <v>1320</v>
      </c>
      <c r="O53" s="228"/>
      <c r="P53" s="228"/>
      <c r="Q53" s="228"/>
      <c r="R53" s="228"/>
      <c r="S53" s="228"/>
      <c r="T53" s="228"/>
      <c r="U53" s="228"/>
      <c r="V53" s="228"/>
      <c r="W53" s="228"/>
      <c r="X53" s="228"/>
      <c r="Y53" s="229"/>
      <c r="Z53" s="224"/>
      <c r="AA53" s="230" t="s">
        <v>1321</v>
      </c>
      <c r="AB53" s="228"/>
      <c r="AC53" s="228"/>
      <c r="AD53" s="228"/>
      <c r="AE53" s="228"/>
      <c r="AF53" s="228"/>
      <c r="AG53" s="228"/>
      <c r="AH53" s="228"/>
      <c r="AI53" s="228"/>
      <c r="AJ53" s="228"/>
      <c r="AK53" s="228"/>
      <c r="AL53" s="229"/>
      <c r="AM53" s="215"/>
      <c r="AN53" s="215"/>
      <c r="AO53" s="215"/>
      <c r="AP53" s="215"/>
      <c r="AQ53" s="215"/>
      <c r="AR53" s="215"/>
      <c r="AS53" s="215"/>
      <c r="AT53" s="215"/>
      <c r="AU53" s="215"/>
      <c r="AV53" s="215"/>
      <c r="AW53" s="215"/>
      <c r="AX53" s="215"/>
      <c r="AY53" s="215"/>
      <c r="AZ53" s="215"/>
      <c r="BA53" s="215"/>
      <c r="BB53" s="215"/>
      <c r="BC53" s="215"/>
      <c r="BD53" s="215"/>
      <c r="BE53" s="215"/>
      <c r="BF53" s="215"/>
      <c r="BG53" s="215"/>
      <c r="BH53" s="215"/>
      <c r="BI53" s="215"/>
      <c r="BJ53" s="215"/>
      <c r="BK53" s="215"/>
      <c r="BL53" s="215"/>
      <c r="BM53" s="215"/>
      <c r="BN53" s="215"/>
      <c r="BO53" s="215"/>
      <c r="BP53" s="215"/>
      <c r="BQ53" s="215"/>
      <c r="BR53" s="215"/>
      <c r="BS53" s="215"/>
      <c r="BT53" s="215"/>
      <c r="BU53" s="215"/>
      <c r="BV53" s="215"/>
      <c r="BW53" s="215"/>
      <c r="BX53" s="215"/>
      <c r="BY53" s="215"/>
      <c r="BZ53" s="215"/>
      <c r="CA53" s="215"/>
      <c r="CB53" s="215"/>
      <c r="CC53" s="215"/>
      <c r="CD53" s="215"/>
      <c r="CE53" s="215"/>
      <c r="CF53" s="215"/>
      <c r="CG53" s="215"/>
      <c r="CH53" s="215"/>
      <c r="CI53" s="215"/>
      <c r="CJ53" s="215"/>
      <c r="CK53" s="215"/>
      <c r="CL53" s="215"/>
      <c r="CM53" s="215"/>
      <c r="CN53" s="215"/>
      <c r="CO53" s="215"/>
      <c r="CP53" s="215"/>
      <c r="CQ53" s="215"/>
      <c r="CR53" s="215"/>
      <c r="CS53" s="215"/>
      <c r="CT53" s="215"/>
      <c r="CU53" s="215"/>
      <c r="CV53" s="215"/>
      <c r="CW53" s="215"/>
    </row>
    <row r="54" spans="1:101" ht="102">
      <c r="A54" s="214"/>
      <c r="B54" s="213" t="s">
        <v>739</v>
      </c>
      <c r="C54" s="220" t="s">
        <v>740</v>
      </c>
      <c r="D54" s="220" t="s">
        <v>741</v>
      </c>
      <c r="E54" s="220" t="s">
        <v>742</v>
      </c>
      <c r="F54" s="220" t="s">
        <v>743</v>
      </c>
      <c r="G54" s="220" t="s">
        <v>744</v>
      </c>
      <c r="H54" s="220" t="s">
        <v>745</v>
      </c>
      <c r="I54" s="220" t="s">
        <v>746</v>
      </c>
      <c r="J54" s="220" t="s">
        <v>747</v>
      </c>
      <c r="K54" s="220" t="s">
        <v>722</v>
      </c>
      <c r="L54" s="220" t="s">
        <v>721</v>
      </c>
      <c r="M54" s="220" t="s">
        <v>748</v>
      </c>
      <c r="N54" s="220" t="s">
        <v>749</v>
      </c>
      <c r="O54" s="220" t="s">
        <v>750</v>
      </c>
      <c r="P54" s="220" t="s">
        <v>751</v>
      </c>
      <c r="Q54" s="220" t="s">
        <v>752</v>
      </c>
      <c r="R54" s="220" t="s">
        <v>753</v>
      </c>
      <c r="S54" s="220" t="s">
        <v>754</v>
      </c>
      <c r="T54" s="220" t="s">
        <v>755</v>
      </c>
      <c r="U54" s="220" t="s">
        <v>756</v>
      </c>
      <c r="V54" s="220" t="s">
        <v>757</v>
      </c>
      <c r="W54" s="220" t="s">
        <v>758</v>
      </c>
      <c r="X54" s="220" t="s">
        <v>759</v>
      </c>
      <c r="Y54" s="220" t="s">
        <v>760</v>
      </c>
      <c r="Z54" s="220"/>
      <c r="AA54" s="220" t="s">
        <v>749</v>
      </c>
      <c r="AB54" s="220" t="s">
        <v>750</v>
      </c>
      <c r="AC54" s="220" t="s">
        <v>751</v>
      </c>
      <c r="AD54" s="220" t="s">
        <v>752</v>
      </c>
      <c r="AE54" s="220" t="s">
        <v>753</v>
      </c>
      <c r="AF54" s="220" t="s">
        <v>754</v>
      </c>
      <c r="AG54" s="220" t="s">
        <v>755</v>
      </c>
      <c r="AH54" s="220" t="s">
        <v>756</v>
      </c>
      <c r="AI54" s="220" t="s">
        <v>757</v>
      </c>
      <c r="AJ54" s="220" t="s">
        <v>758</v>
      </c>
      <c r="AK54" s="220" t="s">
        <v>759</v>
      </c>
      <c r="AL54" s="220" t="s">
        <v>760</v>
      </c>
      <c r="AM54" s="215"/>
      <c r="AN54" s="215"/>
      <c r="AO54" s="215"/>
      <c r="AP54" s="215"/>
      <c r="AQ54" s="215"/>
      <c r="AR54" s="215"/>
      <c r="AS54" s="215"/>
      <c r="AT54" s="215"/>
      <c r="AU54" s="215"/>
      <c r="AV54" s="215"/>
      <c r="AW54" s="215"/>
      <c r="AX54" s="215"/>
      <c r="AY54" s="215"/>
      <c r="AZ54" s="215"/>
      <c r="BA54" s="215"/>
      <c r="BB54" s="215"/>
      <c r="BC54" s="215"/>
      <c r="BD54" s="215"/>
      <c r="BE54" s="215"/>
      <c r="BF54" s="215"/>
      <c r="BG54" s="215"/>
      <c r="BH54" s="215"/>
      <c r="BI54" s="215"/>
      <c r="BJ54" s="215"/>
      <c r="BK54" s="215"/>
      <c r="BL54" s="215"/>
      <c r="BM54" s="215"/>
      <c r="BN54" s="215"/>
      <c r="BO54" s="215"/>
      <c r="BP54" s="215"/>
      <c r="BQ54" s="215"/>
      <c r="BR54" s="215"/>
      <c r="BS54" s="215"/>
      <c r="BT54" s="215"/>
      <c r="BU54" s="215"/>
      <c r="BV54" s="215"/>
      <c r="BW54" s="215"/>
      <c r="BX54" s="215"/>
      <c r="BY54" s="215"/>
      <c r="BZ54" s="215"/>
      <c r="CA54" s="215"/>
      <c r="CB54" s="215"/>
      <c r="CC54" s="215"/>
      <c r="CD54" s="215"/>
      <c r="CE54" s="215"/>
      <c r="CF54" s="215"/>
      <c r="CG54" s="215"/>
      <c r="CH54" s="215"/>
      <c r="CI54" s="215"/>
      <c r="CJ54" s="215"/>
      <c r="CK54" s="215"/>
      <c r="CL54" s="215"/>
      <c r="CM54" s="215"/>
      <c r="CN54" s="215"/>
      <c r="CO54" s="215"/>
      <c r="CP54" s="215"/>
      <c r="CQ54" s="215"/>
      <c r="CR54" s="215"/>
      <c r="CS54" s="215"/>
      <c r="CT54" s="215"/>
      <c r="CU54" s="215"/>
      <c r="CV54" s="215"/>
      <c r="CW54" s="215"/>
    </row>
    <row r="55" spans="1:101">
      <c r="B55" s="41" t="s">
        <v>761</v>
      </c>
      <c r="C55" s="239">
        <v>2694672.2960111033</v>
      </c>
      <c r="D55" s="239">
        <v>844302.50580226583</v>
      </c>
      <c r="E55" s="239">
        <v>0</v>
      </c>
      <c r="F55" s="239">
        <v>844302.50580226583</v>
      </c>
      <c r="G55" s="239">
        <v>298514.08155797794</v>
      </c>
      <c r="H55" s="239">
        <v>1720396.7208413859</v>
      </c>
      <c r="I55" s="239">
        <v>2744.7084982378774</v>
      </c>
      <c r="J55" s="239">
        <v>6.300299697690976</v>
      </c>
      <c r="K55" s="239">
        <v>-0.76979989259192072</v>
      </c>
      <c r="L55" s="222">
        <v>2.5100036213293309</v>
      </c>
      <c r="M55" s="215">
        <v>25599.651134196811</v>
      </c>
      <c r="N55" s="231">
        <v>136553.70188397949</v>
      </c>
      <c r="O55" s="231">
        <v>129396.03991718926</v>
      </c>
      <c r="P55" s="231">
        <v>155297.23754818735</v>
      </c>
      <c r="Q55" s="231">
        <v>147571.15828339793</v>
      </c>
      <c r="R55" s="231">
        <v>164244.71264832933</v>
      </c>
      <c r="S55" s="231">
        <v>183536.5881589512</v>
      </c>
      <c r="T55" s="231">
        <v>193839.66747839717</v>
      </c>
      <c r="U55" s="231">
        <v>208495.39532902325</v>
      </c>
      <c r="V55" s="231">
        <v>178108.05167433011</v>
      </c>
      <c r="W55" s="231">
        <v>173916.3539773158</v>
      </c>
      <c r="X55" s="231">
        <v>137914.13699846787</v>
      </c>
      <c r="Y55" s="231">
        <v>136321.18266045814</v>
      </c>
      <c r="Z55" s="231"/>
      <c r="AA55" s="231">
        <v>51631.029531712367</v>
      </c>
      <c r="AB55" s="231">
        <v>44661.203644643872</v>
      </c>
      <c r="AC55" s="231">
        <v>47554.291094617998</v>
      </c>
      <c r="AD55" s="231">
        <v>57014.768216483753</v>
      </c>
      <c r="AE55" s="231">
        <v>63733.661089252098</v>
      </c>
      <c r="AF55" s="231">
        <v>71103.37204538926</v>
      </c>
      <c r="AG55" s="231">
        <v>87576.759447994016</v>
      </c>
      <c r="AH55" s="231">
        <v>81347.96273264398</v>
      </c>
      <c r="AI55" s="231">
        <v>83137.426922724728</v>
      </c>
      <c r="AJ55" s="231">
        <v>61307.537700645909</v>
      </c>
      <c r="AK55" s="231">
        <v>48692.033505465901</v>
      </c>
      <c r="AL55" s="231">
        <v>51718.023521502473</v>
      </c>
      <c r="AM55" s="215"/>
      <c r="AN55" s="215"/>
      <c r="AO55" s="215"/>
      <c r="AP55" s="215"/>
      <c r="AQ55" s="215"/>
      <c r="AR55" s="215"/>
      <c r="AS55" s="215"/>
      <c r="AT55" s="215"/>
      <c r="AU55" s="215"/>
      <c r="AV55" s="215"/>
      <c r="AW55" s="215"/>
      <c r="AX55" s="215"/>
      <c r="AY55" s="215"/>
      <c r="AZ55" s="215"/>
      <c r="BA55" s="215"/>
      <c r="BB55" s="215"/>
      <c r="BC55" s="215"/>
      <c r="BD55" s="215"/>
      <c r="BE55" s="215"/>
      <c r="BF55" s="215"/>
      <c r="BG55" s="215"/>
      <c r="BH55" s="215"/>
      <c r="BI55" s="215"/>
      <c r="BJ55" s="215"/>
      <c r="BK55" s="215"/>
      <c r="BL55" s="215"/>
      <c r="BM55" s="215"/>
      <c r="BN55" s="215"/>
      <c r="BO55" s="215"/>
      <c r="BP55" s="215"/>
      <c r="BQ55" s="215"/>
      <c r="BR55" s="215"/>
      <c r="BS55" s="215"/>
      <c r="BT55" s="215"/>
      <c r="BU55" s="215"/>
      <c r="BV55" s="215"/>
      <c r="BW55" s="215"/>
      <c r="BX55" s="215"/>
      <c r="BY55" s="215"/>
      <c r="BZ55" s="215"/>
      <c r="CA55" s="215"/>
      <c r="CB55" s="215"/>
      <c r="CC55" s="215"/>
      <c r="CD55" s="215"/>
      <c r="CE55" s="215"/>
      <c r="CF55" s="215"/>
      <c r="CG55" s="215"/>
      <c r="CH55" s="215"/>
      <c r="CI55" s="215"/>
      <c r="CJ55" s="215"/>
      <c r="CK55" s="215"/>
      <c r="CL55" s="215"/>
      <c r="CM55" s="215"/>
      <c r="CN55" s="215"/>
      <c r="CO55" s="215"/>
      <c r="CP55" s="215"/>
      <c r="CQ55" s="215"/>
      <c r="CR55" s="215"/>
      <c r="CS55" s="215"/>
      <c r="CT55" s="215"/>
      <c r="CU55" s="215"/>
      <c r="CV55" s="215"/>
      <c r="CW55" s="215"/>
    </row>
    <row r="56" spans="1:101">
      <c r="B56" s="41" t="s">
        <v>762</v>
      </c>
      <c r="C56" s="239">
        <v>2092805.6356291035</v>
      </c>
      <c r="D56" s="239">
        <v>491823.39611840423</v>
      </c>
      <c r="E56" s="239">
        <v>98364.679223680854</v>
      </c>
      <c r="F56" s="239">
        <v>590188.0753420851</v>
      </c>
      <c r="G56" s="239">
        <v>69065.770961688788</v>
      </c>
      <c r="H56" s="239">
        <v>1336138.7053351167</v>
      </c>
      <c r="I56" s="239">
        <v>2470.3906812839473</v>
      </c>
      <c r="J56" s="239">
        <v>5.9540883850142974</v>
      </c>
      <c r="K56" s="239">
        <v>-6.4928296098125315</v>
      </c>
      <c r="L56" s="222">
        <v>2.590214716859617</v>
      </c>
      <c r="M56" s="215">
        <v>19881.85882309057</v>
      </c>
      <c r="N56" s="231">
        <v>127790.50873973213</v>
      </c>
      <c r="O56" s="231">
        <v>121092.18235601902</v>
      </c>
      <c r="P56" s="231">
        <v>145331.19731180408</v>
      </c>
      <c r="Q56" s="231">
        <v>138100.93122462177</v>
      </c>
      <c r="R56" s="231">
        <v>153704.47741485611</v>
      </c>
      <c r="S56" s="231">
        <v>171758.31668858422</v>
      </c>
      <c r="T56" s="231">
        <v>181400.20650667552</v>
      </c>
      <c r="U56" s="231">
        <v>195115.41812044644</v>
      </c>
      <c r="V56" s="231">
        <v>166678.15094052325</v>
      </c>
      <c r="W56" s="231">
        <v>162755.45112503428</v>
      </c>
      <c r="X56" s="231">
        <v>129063.63933223393</v>
      </c>
      <c r="Y56" s="231">
        <v>127572.91119784486</v>
      </c>
      <c r="Z56" s="231"/>
      <c r="AA56" s="231">
        <v>48317.661400490608</v>
      </c>
      <c r="AB56" s="231">
        <v>41795.116909587043</v>
      </c>
      <c r="AC56" s="231">
        <v>44502.543452844329</v>
      </c>
      <c r="AD56" s="231">
        <v>53355.904201357705</v>
      </c>
      <c r="AE56" s="231">
        <v>59643.619045649015</v>
      </c>
      <c r="AF56" s="231">
        <v>66540.386393265202</v>
      </c>
      <c r="AG56" s="231">
        <v>81956.611129773286</v>
      </c>
      <c r="AH56" s="231">
        <v>76127.541026882594</v>
      </c>
      <c r="AI56" s="231">
        <v>77802.168196025508</v>
      </c>
      <c r="AJ56" s="231">
        <v>57373.189626175903</v>
      </c>
      <c r="AK56" s="231">
        <v>45567.272416549415</v>
      </c>
      <c r="AL56" s="231">
        <v>48399.072640604929</v>
      </c>
      <c r="AM56" s="215"/>
      <c r="AN56" s="215"/>
      <c r="AO56" s="215"/>
      <c r="AP56" s="215"/>
      <c r="AQ56" s="215"/>
      <c r="AR56" s="215"/>
      <c r="AS56" s="215"/>
      <c r="AT56" s="215"/>
      <c r="AU56" s="215"/>
      <c r="AV56" s="215"/>
      <c r="AW56" s="215"/>
      <c r="AX56" s="215"/>
      <c r="AY56" s="215"/>
      <c r="AZ56" s="215"/>
      <c r="BA56" s="215"/>
      <c r="BB56" s="215"/>
      <c r="BC56" s="215"/>
      <c r="BD56" s="215"/>
      <c r="BE56" s="215"/>
      <c r="BF56" s="215"/>
      <c r="BG56" s="215"/>
      <c r="BH56" s="215"/>
      <c r="BI56" s="215"/>
      <c r="BJ56" s="215"/>
      <c r="BK56" s="215"/>
      <c r="BL56" s="215"/>
      <c r="BM56" s="215"/>
      <c r="BN56" s="215"/>
      <c r="BO56" s="215"/>
      <c r="BP56" s="215"/>
      <c r="BQ56" s="215"/>
      <c r="BR56" s="215"/>
      <c r="BS56" s="215"/>
      <c r="BT56" s="215"/>
      <c r="BU56" s="215"/>
      <c r="BV56" s="215"/>
      <c r="BW56" s="215"/>
      <c r="BX56" s="215"/>
      <c r="BY56" s="215"/>
      <c r="BZ56" s="215"/>
      <c r="CA56" s="215"/>
      <c r="CB56" s="215"/>
      <c r="CC56" s="215"/>
      <c r="CD56" s="215"/>
      <c r="CE56" s="215"/>
      <c r="CF56" s="215"/>
      <c r="CG56" s="215"/>
      <c r="CH56" s="215"/>
      <c r="CI56" s="215"/>
      <c r="CJ56" s="215"/>
      <c r="CK56" s="215"/>
      <c r="CL56" s="215"/>
      <c r="CM56" s="215"/>
      <c r="CN56" s="215"/>
      <c r="CO56" s="215"/>
      <c r="CP56" s="215"/>
      <c r="CQ56" s="215"/>
      <c r="CR56" s="215"/>
      <c r="CS56" s="215"/>
      <c r="CT56" s="215"/>
      <c r="CU56" s="215"/>
      <c r="CV56" s="215"/>
      <c r="CW56" s="215"/>
    </row>
    <row r="57" spans="1:101">
      <c r="B57" s="41" t="s">
        <v>763</v>
      </c>
      <c r="C57" s="233"/>
      <c r="D57" s="233"/>
      <c r="E57" s="233"/>
      <c r="F57" s="233"/>
      <c r="G57" s="233"/>
      <c r="H57" s="233"/>
      <c r="I57" s="233"/>
      <c r="J57" s="233"/>
      <c r="K57" s="233"/>
      <c r="L57" s="223"/>
      <c r="M57" s="232"/>
      <c r="N57" s="232"/>
      <c r="O57" s="232"/>
      <c r="P57" s="232"/>
      <c r="Q57" s="232"/>
      <c r="R57" s="232"/>
      <c r="S57" s="232"/>
      <c r="T57" s="232"/>
      <c r="U57" s="232"/>
      <c r="V57" s="232"/>
      <c r="W57" s="232"/>
      <c r="X57" s="232"/>
      <c r="Y57" s="232"/>
      <c r="Z57" s="232"/>
      <c r="AA57" s="232"/>
      <c r="AB57" s="232"/>
      <c r="AC57" s="232"/>
      <c r="AD57" s="232"/>
      <c r="AE57" s="232"/>
      <c r="AF57" s="232"/>
      <c r="AG57" s="232"/>
      <c r="AH57" s="232"/>
      <c r="AI57" s="232"/>
      <c r="AJ57" s="232"/>
      <c r="AK57" s="232"/>
      <c r="AL57" s="232"/>
      <c r="AM57" s="215"/>
      <c r="AN57" s="215"/>
      <c r="AO57" s="215"/>
      <c r="AP57" s="215"/>
      <c r="AQ57" s="215"/>
      <c r="AR57" s="215"/>
      <c r="AS57" s="215"/>
      <c r="AT57" s="215"/>
      <c r="AU57" s="215"/>
      <c r="AV57" s="215"/>
      <c r="AW57" s="215"/>
      <c r="AX57" s="215"/>
      <c r="AY57" s="215"/>
      <c r="AZ57" s="215"/>
      <c r="BA57" s="215"/>
      <c r="BB57" s="215"/>
      <c r="BC57" s="215"/>
      <c r="BD57" s="215"/>
      <c r="BE57" s="215"/>
      <c r="BF57" s="215"/>
      <c r="BG57" s="215"/>
      <c r="BH57" s="215"/>
      <c r="BI57" s="215"/>
      <c r="BJ57" s="215"/>
      <c r="BK57" s="215"/>
      <c r="BL57" s="215"/>
      <c r="BM57" s="215"/>
      <c r="BN57" s="215"/>
      <c r="BO57" s="215"/>
      <c r="BP57" s="215"/>
      <c r="BQ57" s="215"/>
      <c r="BR57" s="215"/>
      <c r="BS57" s="215"/>
      <c r="BT57" s="215"/>
      <c r="BU57" s="215"/>
      <c r="BV57" s="215"/>
      <c r="BW57" s="215"/>
      <c r="BX57" s="215"/>
      <c r="BY57" s="215"/>
      <c r="BZ57" s="215"/>
      <c r="CA57" s="215"/>
      <c r="CB57" s="215"/>
      <c r="CC57" s="215"/>
      <c r="CD57" s="215"/>
      <c r="CE57" s="215"/>
      <c r="CF57" s="215"/>
      <c r="CG57" s="215"/>
      <c r="CH57" s="215"/>
      <c r="CI57" s="215"/>
      <c r="CJ57" s="215"/>
      <c r="CK57" s="215"/>
      <c r="CL57" s="215"/>
      <c r="CM57" s="215"/>
      <c r="CN57" s="215"/>
      <c r="CO57" s="215"/>
      <c r="CP57" s="215"/>
      <c r="CQ57" s="215"/>
      <c r="CR57" s="215"/>
      <c r="CS57" s="215"/>
      <c r="CT57" s="215"/>
      <c r="CU57" s="215"/>
      <c r="CV57" s="215"/>
      <c r="CW57" s="215"/>
    </row>
    <row r="58" spans="1:101">
      <c r="B58" t="s">
        <v>764</v>
      </c>
      <c r="C58" s="215">
        <v>1919877.8170155815</v>
      </c>
      <c r="D58" s="215">
        <v>403865.60653109004</v>
      </c>
      <c r="E58" s="215">
        <v>80773.121306218018</v>
      </c>
      <c r="F58" s="215">
        <v>484638.72783730808</v>
      </c>
      <c r="G58" s="215">
        <v>-21496.353769493362</v>
      </c>
      <c r="H58" s="215">
        <v>1225734.0180841472</v>
      </c>
      <c r="I58" s="215">
        <v>2211.3049165046755</v>
      </c>
      <c r="J58" s="215">
        <v>4.3940275477090207</v>
      </c>
      <c r="K58" s="215">
        <v>-9.7450143525555539</v>
      </c>
      <c r="L58" s="222">
        <v>2.7221180311715329</v>
      </c>
      <c r="M58" s="215">
        <v>18239.027583664199</v>
      </c>
      <c r="N58" s="231">
        <v>97290.651433383333</v>
      </c>
      <c r="O58" s="231">
        <v>92191.019670337948</v>
      </c>
      <c r="P58" s="231">
        <v>110644.89060651834</v>
      </c>
      <c r="Q58" s="231">
        <v>105140.27759107649</v>
      </c>
      <c r="R58" s="231">
        <v>117019.71361876006</v>
      </c>
      <c r="S58" s="231">
        <v>130764.62942774214</v>
      </c>
      <c r="T58" s="231">
        <v>138105.28211550586</v>
      </c>
      <c r="U58" s="231">
        <v>148547.07380731407</v>
      </c>
      <c r="V58" s="231">
        <v>126896.95067841462</v>
      </c>
      <c r="W58" s="231">
        <v>123910.484592707</v>
      </c>
      <c r="X58" s="231">
        <v>98259.922985126977</v>
      </c>
      <c r="Y58" s="231">
        <v>97124.988061280863</v>
      </c>
      <c r="Z58" s="231"/>
      <c r="AA58" s="231">
        <v>36785.648635028869</v>
      </c>
      <c r="AB58" s="231">
        <v>31819.844767578335</v>
      </c>
      <c r="AC58" s="231">
        <v>33881.087771454389</v>
      </c>
      <c r="AD58" s="231">
        <v>40621.410218655081</v>
      </c>
      <c r="AE58" s="231">
        <v>45408.431408737073</v>
      </c>
      <c r="AF58" s="231">
        <v>50659.142080846977</v>
      </c>
      <c r="AG58" s="231">
        <v>62395.964807744705</v>
      </c>
      <c r="AH58" s="231">
        <v>57958.12327198463</v>
      </c>
      <c r="AI58" s="231">
        <v>59233.065908967023</v>
      </c>
      <c r="AJ58" s="231">
        <v>43679.887094824509</v>
      </c>
      <c r="AK58" s="231">
        <v>34691.69706865841</v>
      </c>
      <c r="AL58" s="231">
        <v>36847.629392933617</v>
      </c>
      <c r="AM58" s="215"/>
      <c r="AN58" s="215"/>
      <c r="AO58" s="215"/>
      <c r="AP58" s="215"/>
      <c r="AQ58" s="215"/>
      <c r="AR58" s="215"/>
      <c r="AS58" s="215"/>
      <c r="AT58" s="215"/>
      <c r="AU58" s="215"/>
      <c r="AV58" s="215"/>
      <c r="AW58" s="215"/>
      <c r="AX58" s="215"/>
      <c r="AY58" s="215"/>
      <c r="AZ58" s="215"/>
      <c r="BA58" s="215"/>
      <c r="BB58" s="215"/>
      <c r="BC58" s="215"/>
      <c r="BD58" s="215"/>
      <c r="BE58" s="215"/>
      <c r="BF58" s="215"/>
      <c r="BG58" s="215"/>
      <c r="BH58" s="215"/>
      <c r="BI58" s="215"/>
      <c r="BJ58" s="215"/>
      <c r="BK58" s="215"/>
      <c r="BL58" s="215"/>
      <c r="BM58" s="215"/>
      <c r="BN58" s="215"/>
      <c r="BO58" s="215"/>
      <c r="BP58" s="215"/>
      <c r="BQ58" s="215"/>
      <c r="BR58" s="215"/>
      <c r="BS58" s="215"/>
      <c r="BT58" s="215"/>
      <c r="BU58" s="215"/>
      <c r="BV58" s="215"/>
      <c r="BW58" s="215"/>
      <c r="BX58" s="215"/>
      <c r="BY58" s="215"/>
      <c r="BZ58" s="215"/>
      <c r="CA58" s="215"/>
      <c r="CB58" s="215"/>
      <c r="CC58" s="215"/>
      <c r="CD58" s="215"/>
      <c r="CE58" s="215"/>
      <c r="CF58" s="215"/>
      <c r="CG58" s="215"/>
      <c r="CH58" s="215"/>
      <c r="CI58" s="215"/>
      <c r="CJ58" s="215"/>
      <c r="CK58" s="215"/>
      <c r="CL58" s="215"/>
      <c r="CM58" s="215"/>
      <c r="CN58" s="215"/>
      <c r="CO58" s="215"/>
      <c r="CP58" s="215"/>
      <c r="CQ58" s="215"/>
      <c r="CR58" s="215"/>
      <c r="CS58" s="215"/>
      <c r="CT58" s="215"/>
      <c r="CU58" s="215"/>
      <c r="CV58" s="215"/>
      <c r="CW58" s="215"/>
    </row>
    <row r="59" spans="1:101">
      <c r="B59" t="s">
        <v>765</v>
      </c>
      <c r="C59" s="232">
        <v>0</v>
      </c>
      <c r="D59" s="232">
        <v>0</v>
      </c>
      <c r="E59" s="232">
        <v>0</v>
      </c>
      <c r="F59" s="232">
        <v>0</v>
      </c>
      <c r="G59" s="232">
        <v>0</v>
      </c>
      <c r="H59" s="232">
        <v>0</v>
      </c>
      <c r="I59" s="232">
        <v>0</v>
      </c>
      <c r="J59" s="232">
        <v>0</v>
      </c>
      <c r="K59" s="232">
        <v>0</v>
      </c>
      <c r="L59" s="234">
        <v>0</v>
      </c>
      <c r="M59" s="232">
        <v>0</v>
      </c>
      <c r="N59" s="232">
        <v>0</v>
      </c>
      <c r="O59" s="232">
        <v>0</v>
      </c>
      <c r="P59" s="232">
        <v>0</v>
      </c>
      <c r="Q59" s="232">
        <v>0</v>
      </c>
      <c r="R59" s="232">
        <v>0</v>
      </c>
      <c r="S59" s="232">
        <v>0</v>
      </c>
      <c r="T59" s="232">
        <v>0</v>
      </c>
      <c r="U59" s="232">
        <v>0</v>
      </c>
      <c r="V59" s="232">
        <v>0</v>
      </c>
      <c r="W59" s="232">
        <v>0</v>
      </c>
      <c r="X59" s="232">
        <v>0</v>
      </c>
      <c r="Y59" s="232">
        <v>0</v>
      </c>
      <c r="Z59" s="232"/>
      <c r="AA59" s="232">
        <v>0</v>
      </c>
      <c r="AB59" s="232">
        <v>0</v>
      </c>
      <c r="AC59" s="232">
        <v>0</v>
      </c>
      <c r="AD59" s="232">
        <v>0</v>
      </c>
      <c r="AE59" s="232">
        <v>0</v>
      </c>
      <c r="AF59" s="232">
        <v>0</v>
      </c>
      <c r="AG59" s="232">
        <v>0</v>
      </c>
      <c r="AH59" s="232">
        <v>0</v>
      </c>
      <c r="AI59" s="232">
        <v>0</v>
      </c>
      <c r="AJ59" s="232">
        <v>0</v>
      </c>
      <c r="AK59" s="232">
        <v>0</v>
      </c>
      <c r="AL59" s="232">
        <v>0</v>
      </c>
      <c r="AM59" s="215"/>
      <c r="AN59" s="215"/>
      <c r="AO59" s="215"/>
      <c r="AP59" s="215"/>
      <c r="AQ59" s="215"/>
      <c r="AR59" s="215"/>
      <c r="AS59" s="215"/>
      <c r="AT59" s="215"/>
      <c r="AU59" s="215"/>
      <c r="AV59" s="215"/>
      <c r="AW59" s="215"/>
      <c r="AX59" s="215"/>
      <c r="AY59" s="215"/>
      <c r="AZ59" s="215"/>
      <c r="BA59" s="215"/>
      <c r="BB59" s="215"/>
      <c r="BC59" s="215"/>
      <c r="BD59" s="215"/>
      <c r="BE59" s="215"/>
      <c r="BF59" s="215"/>
      <c r="BG59" s="215"/>
      <c r="BH59" s="215"/>
      <c r="BI59" s="215"/>
      <c r="BJ59" s="215"/>
      <c r="BK59" s="215"/>
      <c r="BL59" s="215"/>
      <c r="BM59" s="215"/>
      <c r="BN59" s="215"/>
      <c r="BO59" s="215"/>
      <c r="BP59" s="215"/>
      <c r="BQ59" s="215"/>
      <c r="BR59" s="215"/>
      <c r="BS59" s="215"/>
      <c r="BT59" s="215"/>
      <c r="BU59" s="215"/>
      <c r="BV59" s="215"/>
      <c r="BW59" s="215"/>
      <c r="BX59" s="215"/>
      <c r="BY59" s="215"/>
      <c r="BZ59" s="215"/>
      <c r="CA59" s="215"/>
      <c r="CB59" s="215"/>
      <c r="CC59" s="215"/>
      <c r="CD59" s="215"/>
      <c r="CE59" s="215"/>
      <c r="CF59" s="215"/>
      <c r="CG59" s="215"/>
      <c r="CH59" s="215"/>
      <c r="CI59" s="215"/>
      <c r="CJ59" s="215"/>
      <c r="CK59" s="215"/>
      <c r="CL59" s="215"/>
      <c r="CM59" s="215"/>
      <c r="CN59" s="215"/>
      <c r="CO59" s="215"/>
      <c r="CP59" s="215"/>
      <c r="CQ59" s="215"/>
      <c r="CR59" s="215"/>
      <c r="CS59" s="215"/>
      <c r="CT59" s="215"/>
      <c r="CU59" s="215"/>
      <c r="CV59" s="215"/>
      <c r="CW59" s="215"/>
    </row>
    <row r="60" spans="1:101">
      <c r="B60" t="s">
        <v>766</v>
      </c>
      <c r="C60" s="232">
        <v>0</v>
      </c>
      <c r="D60" s="232">
        <v>0</v>
      </c>
      <c r="E60" s="232">
        <v>0</v>
      </c>
      <c r="F60" s="232">
        <v>0</v>
      </c>
      <c r="G60" s="232">
        <v>0</v>
      </c>
      <c r="H60" s="232">
        <v>0</v>
      </c>
      <c r="I60" s="232">
        <v>0</v>
      </c>
      <c r="J60" s="232">
        <v>0</v>
      </c>
      <c r="K60" s="232">
        <v>0</v>
      </c>
      <c r="L60" s="234">
        <v>0</v>
      </c>
      <c r="M60" s="232">
        <v>0</v>
      </c>
      <c r="N60" s="232">
        <v>0</v>
      </c>
      <c r="O60" s="232">
        <v>0</v>
      </c>
      <c r="P60" s="232">
        <v>0</v>
      </c>
      <c r="Q60" s="232">
        <v>0</v>
      </c>
      <c r="R60" s="232">
        <v>0</v>
      </c>
      <c r="S60" s="232">
        <v>0</v>
      </c>
      <c r="T60" s="232">
        <v>0</v>
      </c>
      <c r="U60" s="232">
        <v>0</v>
      </c>
      <c r="V60" s="232">
        <v>0</v>
      </c>
      <c r="W60" s="232">
        <v>0</v>
      </c>
      <c r="X60" s="232">
        <v>0</v>
      </c>
      <c r="Y60" s="232">
        <v>0</v>
      </c>
      <c r="Z60" s="232"/>
      <c r="AA60" s="232">
        <v>0</v>
      </c>
      <c r="AB60" s="232">
        <v>0</v>
      </c>
      <c r="AC60" s="232">
        <v>0</v>
      </c>
      <c r="AD60" s="232">
        <v>0</v>
      </c>
      <c r="AE60" s="232">
        <v>0</v>
      </c>
      <c r="AF60" s="232">
        <v>0</v>
      </c>
      <c r="AG60" s="232">
        <v>0</v>
      </c>
      <c r="AH60" s="232">
        <v>0</v>
      </c>
      <c r="AI60" s="232">
        <v>0</v>
      </c>
      <c r="AJ60" s="232">
        <v>0</v>
      </c>
      <c r="AK60" s="232">
        <v>0</v>
      </c>
      <c r="AL60" s="232">
        <v>0</v>
      </c>
      <c r="AM60" s="215"/>
      <c r="AN60" s="215"/>
      <c r="AO60" s="215"/>
      <c r="AP60" s="215"/>
      <c r="AQ60" s="215"/>
      <c r="AR60" s="215"/>
      <c r="AS60" s="215"/>
      <c r="AT60" s="215"/>
      <c r="AU60" s="215"/>
      <c r="AV60" s="215"/>
      <c r="AW60" s="215"/>
      <c r="AX60" s="215"/>
      <c r="AY60" s="215"/>
      <c r="AZ60" s="215"/>
      <c r="BA60" s="215"/>
      <c r="BB60" s="215"/>
      <c r="BC60" s="215"/>
      <c r="BD60" s="215"/>
      <c r="BE60" s="215"/>
      <c r="BF60" s="215"/>
      <c r="BG60" s="215"/>
      <c r="BH60" s="215"/>
      <c r="BI60" s="215"/>
      <c r="BJ60" s="215"/>
      <c r="BK60" s="215"/>
      <c r="BL60" s="215"/>
      <c r="BM60" s="215"/>
      <c r="BN60" s="215"/>
      <c r="BO60" s="215"/>
      <c r="BP60" s="215"/>
      <c r="BQ60" s="215"/>
      <c r="BR60" s="215"/>
      <c r="BS60" s="215"/>
      <c r="BT60" s="215"/>
      <c r="BU60" s="215"/>
      <c r="BV60" s="215"/>
      <c r="BW60" s="215"/>
      <c r="BX60" s="215"/>
      <c r="BY60" s="215"/>
      <c r="BZ60" s="215"/>
      <c r="CA60" s="215"/>
      <c r="CB60" s="215"/>
      <c r="CC60" s="215"/>
      <c r="CD60" s="215"/>
      <c r="CE60" s="215"/>
      <c r="CF60" s="215"/>
      <c r="CG60" s="215"/>
      <c r="CH60" s="215"/>
      <c r="CI60" s="215"/>
      <c r="CJ60" s="215"/>
      <c r="CK60" s="215"/>
      <c r="CL60" s="215"/>
      <c r="CM60" s="215"/>
      <c r="CN60" s="215"/>
      <c r="CO60" s="215"/>
      <c r="CP60" s="215"/>
      <c r="CQ60" s="215"/>
      <c r="CR60" s="215"/>
      <c r="CS60" s="215"/>
      <c r="CT60" s="215"/>
      <c r="CU60" s="215"/>
      <c r="CV60" s="215"/>
      <c r="CW60" s="215"/>
    </row>
    <row r="61" spans="1:101">
      <c r="B61" t="s">
        <v>767</v>
      </c>
      <c r="C61" s="215">
        <v>172927.81861352207</v>
      </c>
      <c r="D61" s="215">
        <v>87957.789587314182</v>
      </c>
      <c r="E61" s="215">
        <v>17591.557917462836</v>
      </c>
      <c r="F61" s="215">
        <v>105549.34750477702</v>
      </c>
      <c r="G61" s="215">
        <v>90562.12473118215</v>
      </c>
      <c r="H61" s="215">
        <v>110404.68725096947</v>
      </c>
      <c r="I61" s="215">
        <v>5346.8105453193211</v>
      </c>
      <c r="J61" s="215">
        <v>23.274183085514672</v>
      </c>
      <c r="K61" s="215">
        <v>29.613549308799591</v>
      </c>
      <c r="L61" s="222">
        <v>1.1257988168114812</v>
      </c>
      <c r="M61" s="215">
        <v>1642.8312394263703</v>
      </c>
      <c r="N61" s="231">
        <v>8763.1931442473524</v>
      </c>
      <c r="O61" s="231">
        <v>8303.8575611702381</v>
      </c>
      <c r="P61" s="231">
        <v>9966.0402363832873</v>
      </c>
      <c r="Q61" s="231">
        <v>9470.227058776145</v>
      </c>
      <c r="R61" s="231">
        <v>10540.235233473197</v>
      </c>
      <c r="S61" s="231">
        <v>11778.271470366963</v>
      </c>
      <c r="T61" s="231">
        <v>12439.460971721654</v>
      </c>
      <c r="U61" s="231">
        <v>13379.977208576813</v>
      </c>
      <c r="V61" s="231">
        <v>11429.900733806879</v>
      </c>
      <c r="W61" s="231">
        <v>11160.902852281539</v>
      </c>
      <c r="X61" s="231">
        <v>8850.4976662339268</v>
      </c>
      <c r="Y61" s="231">
        <v>8748.2714626132711</v>
      </c>
      <c r="Z61" s="231"/>
      <c r="AA61" s="231">
        <v>3313.3681312217595</v>
      </c>
      <c r="AB61" s="231">
        <v>2866.0867350568269</v>
      </c>
      <c r="AC61" s="231">
        <v>3051.7476417736716</v>
      </c>
      <c r="AD61" s="231">
        <v>3658.8640151260456</v>
      </c>
      <c r="AE61" s="231">
        <v>4090.0420436030877</v>
      </c>
      <c r="AF61" s="231">
        <v>4562.9856521240554</v>
      </c>
      <c r="AG61" s="231">
        <v>5620.1483182207185</v>
      </c>
      <c r="AH61" s="231">
        <v>5220.4217057613769</v>
      </c>
      <c r="AI61" s="231">
        <v>5335.2587266992296</v>
      </c>
      <c r="AJ61" s="231">
        <v>3934.3480744700091</v>
      </c>
      <c r="AK61" s="231">
        <v>3124.7610889164871</v>
      </c>
      <c r="AL61" s="231">
        <v>3318.9508808975402</v>
      </c>
      <c r="AM61" s="215"/>
      <c r="AN61" s="215"/>
      <c r="AO61" s="215"/>
      <c r="AP61" s="215"/>
      <c r="AQ61" s="215"/>
      <c r="AR61" s="215"/>
      <c r="AS61" s="215"/>
      <c r="AT61" s="215"/>
      <c r="AU61" s="215"/>
      <c r="AV61" s="215"/>
      <c r="AW61" s="215"/>
      <c r="AX61" s="215"/>
      <c r="AY61" s="215"/>
      <c r="AZ61" s="215"/>
      <c r="BA61" s="215"/>
      <c r="BB61" s="215"/>
      <c r="BC61" s="215"/>
      <c r="BD61" s="215"/>
      <c r="BE61" s="215"/>
      <c r="BF61" s="215"/>
      <c r="BG61" s="215"/>
      <c r="BH61" s="215"/>
      <c r="BI61" s="215"/>
      <c r="BJ61" s="215"/>
      <c r="BK61" s="215"/>
      <c r="BL61" s="215"/>
      <c r="BM61" s="215"/>
      <c r="BN61" s="215"/>
      <c r="BO61" s="215"/>
      <c r="BP61" s="215"/>
      <c r="BQ61" s="215"/>
      <c r="BR61" s="215"/>
      <c r="BS61" s="215"/>
      <c r="BT61" s="215"/>
      <c r="BU61" s="215"/>
      <c r="BV61" s="215"/>
      <c r="BW61" s="215"/>
      <c r="BX61" s="215"/>
      <c r="BY61" s="215"/>
      <c r="BZ61" s="215"/>
      <c r="CA61" s="215"/>
      <c r="CB61" s="215"/>
      <c r="CC61" s="215"/>
      <c r="CD61" s="215"/>
      <c r="CE61" s="215"/>
      <c r="CF61" s="215"/>
      <c r="CG61" s="215"/>
      <c r="CH61" s="215"/>
      <c r="CI61" s="215"/>
      <c r="CJ61" s="215"/>
      <c r="CK61" s="215"/>
      <c r="CL61" s="215"/>
      <c r="CM61" s="215"/>
      <c r="CN61" s="215"/>
      <c r="CO61" s="215"/>
      <c r="CP61" s="215"/>
      <c r="CQ61" s="215"/>
      <c r="CR61" s="215"/>
      <c r="CS61" s="215"/>
      <c r="CT61" s="215"/>
      <c r="CU61" s="215"/>
      <c r="CV61" s="215"/>
      <c r="CW61" s="215"/>
    </row>
    <row r="62" spans="1:101">
      <c r="B62" t="s">
        <v>768</v>
      </c>
      <c r="C62" s="215">
        <v>601866.66038199991</v>
      </c>
      <c r="D62" s="215">
        <v>352479.10968386155</v>
      </c>
      <c r="E62" s="215">
        <v>70495.821936772307</v>
      </c>
      <c r="F62" s="215">
        <v>422974.93162063387</v>
      </c>
      <c r="G62" s="215">
        <v>398308.81175674236</v>
      </c>
      <c r="H62" s="215">
        <v>384258.01550626912</v>
      </c>
      <c r="I62" s="215">
        <v>6156.2811913274172</v>
      </c>
      <c r="J62" s="215">
        <v>28.148335298629487</v>
      </c>
      <c r="K62" s="215">
        <v>39.774462961808133</v>
      </c>
      <c r="L62" s="223">
        <v>0.97777096246276674</v>
      </c>
      <c r="M62" s="215">
        <v>5717.7923111062419</v>
      </c>
      <c r="N62" s="231">
        <v>30499.857306348797</v>
      </c>
      <c r="O62" s="231">
        <v>28901.16268568108</v>
      </c>
      <c r="P62" s="231">
        <v>34686.306705285737</v>
      </c>
      <c r="Q62" s="231">
        <v>32960.653633545298</v>
      </c>
      <c r="R62" s="231">
        <v>36684.763796096064</v>
      </c>
      <c r="S62" s="231">
        <v>40993.687260842089</v>
      </c>
      <c r="T62" s="231">
        <v>43294.924391169661</v>
      </c>
      <c r="U62" s="231">
        <v>46568.34431313238</v>
      </c>
      <c r="V62" s="231">
        <v>39781.200262108621</v>
      </c>
      <c r="W62" s="231">
        <v>38844.966532327278</v>
      </c>
      <c r="X62" s="231">
        <v>30803.716347106958</v>
      </c>
      <c r="Y62" s="231">
        <v>30447.923136564008</v>
      </c>
      <c r="Z62" s="231"/>
      <c r="AA62" s="231">
        <v>11532.012765461737</v>
      </c>
      <c r="AB62" s="231">
        <v>9975.2721420087109</v>
      </c>
      <c r="AC62" s="231">
        <v>10621.455681389943</v>
      </c>
      <c r="AD62" s="231">
        <v>12734.493982702626</v>
      </c>
      <c r="AE62" s="231">
        <v>14235.187636911942</v>
      </c>
      <c r="AF62" s="231">
        <v>15881.244312418219</v>
      </c>
      <c r="AG62" s="231">
        <v>19560.646322028584</v>
      </c>
      <c r="AH62" s="231">
        <v>18169.417754897968</v>
      </c>
      <c r="AI62" s="231">
        <v>18569.102287058478</v>
      </c>
      <c r="AJ62" s="231">
        <v>13693.302531351392</v>
      </c>
      <c r="AK62" s="231">
        <v>10875.575347891003</v>
      </c>
      <c r="AL62" s="231">
        <v>11551.443247671312</v>
      </c>
      <c r="AM62" s="215"/>
      <c r="AN62" s="215"/>
      <c r="AO62" s="215"/>
      <c r="AP62" s="215"/>
      <c r="AQ62" s="215"/>
      <c r="AR62" s="215"/>
      <c r="AS62" s="215"/>
      <c r="AT62" s="215"/>
      <c r="AU62" s="215"/>
      <c r="AV62" s="215"/>
      <c r="AW62" s="215"/>
      <c r="AX62" s="215"/>
      <c r="AY62" s="215"/>
      <c r="AZ62" s="215"/>
      <c r="BA62" s="215"/>
      <c r="BB62" s="215"/>
      <c r="BC62" s="215"/>
      <c r="BD62" s="215"/>
      <c r="BE62" s="215"/>
      <c r="BF62" s="215"/>
      <c r="BG62" s="215"/>
      <c r="BH62" s="215"/>
      <c r="BI62" s="215"/>
      <c r="BJ62" s="215"/>
      <c r="BK62" s="215"/>
      <c r="BL62" s="215"/>
      <c r="BM62" s="215"/>
      <c r="BN62" s="215"/>
      <c r="BO62" s="215"/>
      <c r="BP62" s="215"/>
      <c r="BQ62" s="215"/>
      <c r="BR62" s="215"/>
      <c r="BS62" s="215"/>
      <c r="BT62" s="215"/>
      <c r="BU62" s="215"/>
      <c r="BV62" s="215"/>
      <c r="BW62" s="215"/>
      <c r="BX62" s="215"/>
      <c r="BY62" s="215"/>
      <c r="BZ62" s="215"/>
      <c r="CA62" s="215"/>
      <c r="CB62" s="215"/>
      <c r="CC62" s="215"/>
      <c r="CD62" s="215"/>
      <c r="CE62" s="215"/>
      <c r="CF62" s="215"/>
      <c r="CG62" s="215"/>
      <c r="CH62" s="215"/>
      <c r="CI62" s="215"/>
      <c r="CJ62" s="215"/>
      <c r="CK62" s="215"/>
      <c r="CL62" s="215"/>
      <c r="CM62" s="215"/>
      <c r="CN62" s="215"/>
      <c r="CO62" s="215"/>
      <c r="CP62" s="215"/>
      <c r="CQ62" s="215"/>
      <c r="CR62" s="215"/>
      <c r="CS62" s="215"/>
      <c r="CT62" s="215"/>
      <c r="CU62" s="215"/>
      <c r="CV62" s="215"/>
      <c r="CW62" s="215"/>
    </row>
    <row r="63" spans="1:101">
      <c r="B63" t="s">
        <v>769</v>
      </c>
      <c r="C63" s="232">
        <v>0</v>
      </c>
      <c r="D63" s="232">
        <v>0</v>
      </c>
      <c r="E63" s="232">
        <v>0</v>
      </c>
      <c r="F63" s="232">
        <v>0</v>
      </c>
      <c r="G63" s="232">
        <v>0</v>
      </c>
      <c r="H63" s="232">
        <v>0</v>
      </c>
      <c r="I63" s="232">
        <v>0</v>
      </c>
      <c r="J63" s="232">
        <v>0</v>
      </c>
      <c r="K63" s="232">
        <v>0</v>
      </c>
      <c r="L63" s="234">
        <v>0</v>
      </c>
      <c r="M63" s="232">
        <v>0</v>
      </c>
      <c r="N63" s="232">
        <v>0</v>
      </c>
      <c r="O63" s="232">
        <v>0</v>
      </c>
      <c r="P63" s="232">
        <v>0</v>
      </c>
      <c r="Q63" s="232">
        <v>0</v>
      </c>
      <c r="R63" s="232">
        <v>0</v>
      </c>
      <c r="S63" s="232">
        <v>0</v>
      </c>
      <c r="T63" s="232">
        <v>0</v>
      </c>
      <c r="U63" s="232">
        <v>0</v>
      </c>
      <c r="V63" s="232">
        <v>0</v>
      </c>
      <c r="W63" s="232">
        <v>0</v>
      </c>
      <c r="X63" s="232">
        <v>0</v>
      </c>
      <c r="Y63" s="232">
        <v>0</v>
      </c>
      <c r="Z63" s="232"/>
      <c r="AA63" s="232">
        <v>0</v>
      </c>
      <c r="AB63" s="232">
        <v>0</v>
      </c>
      <c r="AC63" s="232">
        <v>0</v>
      </c>
      <c r="AD63" s="232">
        <v>0</v>
      </c>
      <c r="AE63" s="232">
        <v>0</v>
      </c>
      <c r="AF63" s="232">
        <v>0</v>
      </c>
      <c r="AG63" s="232">
        <v>0</v>
      </c>
      <c r="AH63" s="232">
        <v>0</v>
      </c>
      <c r="AI63" s="232">
        <v>0</v>
      </c>
      <c r="AJ63" s="232">
        <v>0</v>
      </c>
      <c r="AK63" s="232">
        <v>0</v>
      </c>
      <c r="AL63" s="232">
        <v>0</v>
      </c>
      <c r="AM63" s="215"/>
      <c r="AN63" s="215"/>
      <c r="AO63" s="215"/>
      <c r="AP63" s="215"/>
      <c r="AQ63" s="215"/>
      <c r="AR63" s="215"/>
      <c r="AS63" s="215"/>
      <c r="AT63" s="215"/>
      <c r="AU63" s="215"/>
      <c r="AV63" s="215"/>
      <c r="AW63" s="215"/>
      <c r="AX63" s="215"/>
      <c r="AY63" s="215"/>
      <c r="AZ63" s="215"/>
      <c r="BA63" s="215"/>
      <c r="BB63" s="215"/>
      <c r="BC63" s="215"/>
      <c r="BD63" s="215"/>
      <c r="BE63" s="215"/>
      <c r="BF63" s="215"/>
      <c r="BG63" s="215"/>
      <c r="BH63" s="215"/>
      <c r="BI63" s="215"/>
      <c r="BJ63" s="215"/>
      <c r="BK63" s="215"/>
      <c r="BL63" s="215"/>
      <c r="BM63" s="215"/>
      <c r="BN63" s="215"/>
      <c r="BO63" s="215"/>
      <c r="BP63" s="215"/>
      <c r="BQ63" s="215"/>
      <c r="BR63" s="215"/>
      <c r="BS63" s="215"/>
      <c r="BT63" s="215"/>
      <c r="BU63" s="215"/>
      <c r="BV63" s="215"/>
      <c r="BW63" s="215"/>
      <c r="BX63" s="215"/>
      <c r="BY63" s="215"/>
      <c r="BZ63" s="215"/>
      <c r="CA63" s="215"/>
      <c r="CB63" s="215"/>
      <c r="CC63" s="215"/>
      <c r="CD63" s="215"/>
      <c r="CE63" s="215"/>
      <c r="CF63" s="215"/>
      <c r="CG63" s="215"/>
      <c r="CH63" s="215"/>
      <c r="CI63" s="215"/>
      <c r="CJ63" s="215"/>
      <c r="CK63" s="215"/>
      <c r="CL63" s="215"/>
      <c r="CM63" s="215"/>
      <c r="CN63" s="215"/>
      <c r="CO63" s="215"/>
      <c r="CP63" s="215"/>
      <c r="CQ63" s="215"/>
      <c r="CR63" s="215"/>
      <c r="CS63" s="215"/>
      <c r="CT63" s="215"/>
      <c r="CU63" s="215"/>
      <c r="CV63" s="215"/>
      <c r="CW63" s="215"/>
    </row>
    <row r="64" spans="1:101">
      <c r="B64" t="s">
        <v>770</v>
      </c>
      <c r="C64" s="232">
        <v>0</v>
      </c>
      <c r="D64" s="232">
        <v>0</v>
      </c>
      <c r="E64" s="232">
        <v>0</v>
      </c>
      <c r="F64" s="232">
        <v>0</v>
      </c>
      <c r="G64" s="232">
        <v>0</v>
      </c>
      <c r="H64" s="232">
        <v>0</v>
      </c>
      <c r="I64" s="232">
        <v>0</v>
      </c>
      <c r="J64" s="232">
        <v>0</v>
      </c>
      <c r="K64" s="232">
        <v>0</v>
      </c>
      <c r="L64" s="234">
        <v>0</v>
      </c>
      <c r="M64" s="232">
        <v>0</v>
      </c>
      <c r="N64" s="232">
        <v>0</v>
      </c>
      <c r="O64" s="232">
        <v>0</v>
      </c>
      <c r="P64" s="232">
        <v>0</v>
      </c>
      <c r="Q64" s="232">
        <v>0</v>
      </c>
      <c r="R64" s="232">
        <v>0</v>
      </c>
      <c r="S64" s="232">
        <v>0</v>
      </c>
      <c r="T64" s="232">
        <v>0</v>
      </c>
      <c r="U64" s="232">
        <v>0</v>
      </c>
      <c r="V64" s="232">
        <v>0</v>
      </c>
      <c r="W64" s="232">
        <v>0</v>
      </c>
      <c r="X64" s="232">
        <v>0</v>
      </c>
      <c r="Y64" s="232">
        <v>0</v>
      </c>
      <c r="Z64" s="232"/>
      <c r="AA64" s="232">
        <v>0</v>
      </c>
      <c r="AB64" s="232">
        <v>0</v>
      </c>
      <c r="AC64" s="232">
        <v>0</v>
      </c>
      <c r="AD64" s="232">
        <v>0</v>
      </c>
      <c r="AE64" s="232">
        <v>0</v>
      </c>
      <c r="AF64" s="232">
        <v>0</v>
      </c>
      <c r="AG64" s="232">
        <v>0</v>
      </c>
      <c r="AH64" s="232">
        <v>0</v>
      </c>
      <c r="AI64" s="232">
        <v>0</v>
      </c>
      <c r="AJ64" s="232">
        <v>0</v>
      </c>
      <c r="AK64" s="232">
        <v>0</v>
      </c>
      <c r="AL64" s="232">
        <v>0</v>
      </c>
      <c r="AM64" s="215"/>
      <c r="AN64" s="215"/>
      <c r="AO64" s="215"/>
      <c r="AP64" s="215"/>
      <c r="AQ64" s="215"/>
      <c r="AR64" s="215"/>
      <c r="AS64" s="215"/>
      <c r="AT64" s="215"/>
      <c r="AU64" s="215"/>
      <c r="AV64" s="215"/>
      <c r="AW64" s="215"/>
      <c r="AX64" s="215"/>
      <c r="AY64" s="215"/>
      <c r="AZ64" s="215"/>
      <c r="BA64" s="215"/>
      <c r="BB64" s="215"/>
      <c r="BC64" s="215"/>
      <c r="BD64" s="215"/>
      <c r="BE64" s="215"/>
      <c r="BF64" s="215"/>
      <c r="BG64" s="215"/>
      <c r="BH64" s="215"/>
      <c r="BI64" s="215"/>
      <c r="BJ64" s="215"/>
      <c r="BK64" s="215"/>
      <c r="BL64" s="215"/>
      <c r="BM64" s="215"/>
      <c r="BN64" s="215"/>
      <c r="BO64" s="215"/>
      <c r="BP64" s="215"/>
      <c r="BQ64" s="215"/>
      <c r="BR64" s="215"/>
      <c r="BS64" s="215"/>
      <c r="BT64" s="215"/>
      <c r="BU64" s="215"/>
      <c r="BV64" s="215"/>
      <c r="BW64" s="215"/>
      <c r="BX64" s="215"/>
      <c r="BY64" s="215"/>
      <c r="BZ64" s="215"/>
      <c r="CA64" s="215"/>
      <c r="CB64" s="215"/>
      <c r="CC64" s="215"/>
      <c r="CD64" s="215"/>
      <c r="CE64" s="215"/>
      <c r="CF64" s="215"/>
      <c r="CG64" s="215"/>
      <c r="CH64" s="215"/>
      <c r="CI64" s="215"/>
      <c r="CJ64" s="215"/>
      <c r="CK64" s="215"/>
      <c r="CL64" s="215"/>
      <c r="CM64" s="215"/>
      <c r="CN64" s="215"/>
      <c r="CO64" s="215"/>
      <c r="CP64" s="215"/>
      <c r="CQ64" s="215"/>
      <c r="CR64" s="215"/>
      <c r="CS64" s="215"/>
      <c r="CT64" s="215"/>
      <c r="CU64" s="215"/>
      <c r="CV64" s="215"/>
      <c r="CW64" s="215"/>
    </row>
    <row r="65" spans="2:101">
      <c r="B65" t="s">
        <v>771</v>
      </c>
      <c r="C65" s="232">
        <v>0</v>
      </c>
      <c r="D65" s="232">
        <v>0</v>
      </c>
      <c r="E65" s="232">
        <v>0</v>
      </c>
      <c r="F65" s="232">
        <v>0</v>
      </c>
      <c r="G65" s="232">
        <v>0</v>
      </c>
      <c r="H65" s="232">
        <v>0</v>
      </c>
      <c r="I65" s="232">
        <v>0</v>
      </c>
      <c r="J65" s="232">
        <v>0</v>
      </c>
      <c r="K65" s="232">
        <v>0</v>
      </c>
      <c r="L65" s="234">
        <v>0</v>
      </c>
      <c r="M65" s="232">
        <v>0</v>
      </c>
      <c r="N65" s="232">
        <v>0</v>
      </c>
      <c r="O65" s="232">
        <v>0</v>
      </c>
      <c r="P65" s="232">
        <v>0</v>
      </c>
      <c r="Q65" s="232">
        <v>0</v>
      </c>
      <c r="R65" s="232">
        <v>0</v>
      </c>
      <c r="S65" s="232">
        <v>0</v>
      </c>
      <c r="T65" s="232">
        <v>0</v>
      </c>
      <c r="U65" s="232">
        <v>0</v>
      </c>
      <c r="V65" s="232">
        <v>0</v>
      </c>
      <c r="W65" s="232">
        <v>0</v>
      </c>
      <c r="X65" s="232">
        <v>0</v>
      </c>
      <c r="Y65" s="232">
        <v>0</v>
      </c>
      <c r="Z65" s="232"/>
      <c r="AA65" s="232">
        <v>0</v>
      </c>
      <c r="AB65" s="232">
        <v>0</v>
      </c>
      <c r="AC65" s="232">
        <v>0</v>
      </c>
      <c r="AD65" s="232">
        <v>0</v>
      </c>
      <c r="AE65" s="232">
        <v>0</v>
      </c>
      <c r="AF65" s="232">
        <v>0</v>
      </c>
      <c r="AG65" s="232">
        <v>0</v>
      </c>
      <c r="AH65" s="232">
        <v>0</v>
      </c>
      <c r="AI65" s="232">
        <v>0</v>
      </c>
      <c r="AJ65" s="232">
        <v>0</v>
      </c>
      <c r="AK65" s="232">
        <v>0</v>
      </c>
      <c r="AL65" s="232">
        <v>0</v>
      </c>
      <c r="AM65" s="215"/>
      <c r="AN65" s="215"/>
      <c r="AO65" s="215"/>
      <c r="AP65" s="215"/>
      <c r="AQ65" s="215"/>
      <c r="AR65" s="215"/>
      <c r="AS65" s="215"/>
      <c r="AT65" s="215"/>
      <c r="AU65" s="215"/>
      <c r="AV65" s="215"/>
      <c r="AW65" s="215"/>
      <c r="AX65" s="215"/>
      <c r="AY65" s="215"/>
      <c r="AZ65" s="215"/>
      <c r="BA65" s="215"/>
      <c r="BB65" s="215"/>
      <c r="BC65" s="215"/>
      <c r="BD65" s="215"/>
      <c r="BE65" s="215"/>
      <c r="BF65" s="215"/>
      <c r="BG65" s="215"/>
      <c r="BH65" s="215"/>
      <c r="BI65" s="215"/>
      <c r="BJ65" s="215"/>
      <c r="BK65" s="215"/>
      <c r="BL65" s="215"/>
      <c r="BM65" s="215"/>
      <c r="BN65" s="215"/>
      <c r="BO65" s="215"/>
      <c r="BP65" s="215"/>
      <c r="BQ65" s="215"/>
      <c r="BR65" s="215"/>
      <c r="BS65" s="215"/>
      <c r="BT65" s="215"/>
      <c r="BU65" s="215"/>
      <c r="BV65" s="215"/>
      <c r="BW65" s="215"/>
      <c r="BX65" s="215"/>
      <c r="BY65" s="215"/>
      <c r="BZ65" s="215"/>
      <c r="CA65" s="215"/>
      <c r="CB65" s="215"/>
      <c r="CC65" s="215"/>
      <c r="CD65" s="215"/>
      <c r="CE65" s="215"/>
      <c r="CF65" s="215"/>
      <c r="CG65" s="215"/>
      <c r="CH65" s="215"/>
      <c r="CI65" s="215"/>
      <c r="CJ65" s="215"/>
      <c r="CK65" s="215"/>
      <c r="CL65" s="215"/>
      <c r="CM65" s="215"/>
      <c r="CN65" s="215"/>
      <c r="CO65" s="215"/>
      <c r="CP65" s="215"/>
      <c r="CQ65" s="215"/>
      <c r="CR65" s="215"/>
      <c r="CS65" s="215"/>
      <c r="CT65" s="215"/>
      <c r="CU65" s="215"/>
      <c r="CV65" s="215"/>
      <c r="CW65" s="215"/>
    </row>
    <row r="66" spans="2:101">
      <c r="B66" t="s">
        <v>772</v>
      </c>
      <c r="C66" s="232">
        <v>0</v>
      </c>
      <c r="D66" s="232">
        <v>0</v>
      </c>
      <c r="E66" s="232">
        <v>0</v>
      </c>
      <c r="F66" s="232">
        <v>0</v>
      </c>
      <c r="G66" s="232">
        <v>0</v>
      </c>
      <c r="H66" s="232">
        <v>0</v>
      </c>
      <c r="I66" s="232">
        <v>0</v>
      </c>
      <c r="J66" s="232">
        <v>0</v>
      </c>
      <c r="K66" s="232">
        <v>0</v>
      </c>
      <c r="L66" s="234">
        <v>0</v>
      </c>
      <c r="M66" s="232">
        <v>0</v>
      </c>
      <c r="N66" s="232">
        <v>0</v>
      </c>
      <c r="O66" s="232">
        <v>0</v>
      </c>
      <c r="P66" s="232">
        <v>0</v>
      </c>
      <c r="Q66" s="232">
        <v>0</v>
      </c>
      <c r="R66" s="232">
        <v>0</v>
      </c>
      <c r="S66" s="232">
        <v>0</v>
      </c>
      <c r="T66" s="232">
        <v>0</v>
      </c>
      <c r="U66" s="232">
        <v>0</v>
      </c>
      <c r="V66" s="232">
        <v>0</v>
      </c>
      <c r="W66" s="232">
        <v>0</v>
      </c>
      <c r="X66" s="232">
        <v>0</v>
      </c>
      <c r="Y66" s="232">
        <v>0</v>
      </c>
      <c r="Z66" s="232"/>
      <c r="AA66" s="232">
        <v>0</v>
      </c>
      <c r="AB66" s="232">
        <v>0</v>
      </c>
      <c r="AC66" s="232">
        <v>0</v>
      </c>
      <c r="AD66" s="232">
        <v>0</v>
      </c>
      <c r="AE66" s="232">
        <v>0</v>
      </c>
      <c r="AF66" s="232">
        <v>0</v>
      </c>
      <c r="AG66" s="232">
        <v>0</v>
      </c>
      <c r="AH66" s="232">
        <v>0</v>
      </c>
      <c r="AI66" s="232">
        <v>0</v>
      </c>
      <c r="AJ66" s="232">
        <v>0</v>
      </c>
      <c r="AK66" s="232">
        <v>0</v>
      </c>
      <c r="AL66" s="232">
        <v>0</v>
      </c>
      <c r="AM66" s="215"/>
      <c r="AN66" s="215"/>
      <c r="AO66" s="215"/>
      <c r="AP66" s="215"/>
      <c r="AQ66" s="215"/>
      <c r="AR66" s="215"/>
      <c r="AS66" s="215"/>
      <c r="AT66" s="215"/>
      <c r="AU66" s="215"/>
      <c r="AV66" s="215"/>
      <c r="AW66" s="215"/>
      <c r="AX66" s="215"/>
      <c r="AY66" s="215"/>
      <c r="AZ66" s="215"/>
      <c r="BA66" s="215"/>
      <c r="BB66" s="215"/>
      <c r="BC66" s="215"/>
      <c r="BD66" s="215"/>
      <c r="BE66" s="215"/>
      <c r="BF66" s="215"/>
      <c r="BG66" s="215"/>
      <c r="BH66" s="215"/>
      <c r="BI66" s="215"/>
      <c r="BJ66" s="215"/>
      <c r="BK66" s="215"/>
      <c r="BL66" s="215"/>
      <c r="BM66" s="215"/>
      <c r="BN66" s="215"/>
      <c r="BO66" s="215"/>
      <c r="BP66" s="215"/>
      <c r="BQ66" s="215"/>
      <c r="BR66" s="215"/>
      <c r="BS66" s="215"/>
      <c r="BT66" s="215"/>
      <c r="BU66" s="215"/>
      <c r="BV66" s="215"/>
      <c r="BW66" s="215"/>
      <c r="BX66" s="215"/>
      <c r="BY66" s="215"/>
      <c r="BZ66" s="215"/>
      <c r="CA66" s="215"/>
      <c r="CB66" s="215"/>
      <c r="CC66" s="215"/>
      <c r="CD66" s="215"/>
      <c r="CE66" s="215"/>
      <c r="CF66" s="215"/>
      <c r="CG66" s="215"/>
      <c r="CH66" s="215"/>
      <c r="CI66" s="215"/>
      <c r="CJ66" s="215"/>
      <c r="CK66" s="215"/>
      <c r="CL66" s="215"/>
      <c r="CM66" s="215"/>
      <c r="CN66" s="215"/>
      <c r="CO66" s="215"/>
      <c r="CP66" s="215"/>
      <c r="CQ66" s="215"/>
      <c r="CR66" s="215"/>
      <c r="CS66" s="215"/>
      <c r="CT66" s="215"/>
      <c r="CU66" s="215"/>
      <c r="CV66" s="215"/>
      <c r="CW66" s="215"/>
    </row>
    <row r="67" spans="2:101">
      <c r="B67" t="s">
        <v>773</v>
      </c>
      <c r="C67" s="232">
        <v>0</v>
      </c>
      <c r="D67" s="232">
        <v>0</v>
      </c>
      <c r="E67" s="232">
        <v>0</v>
      </c>
      <c r="F67" s="232">
        <v>0</v>
      </c>
      <c r="G67" s="232">
        <v>0</v>
      </c>
      <c r="H67" s="232">
        <v>0</v>
      </c>
      <c r="I67" s="232">
        <v>0</v>
      </c>
      <c r="J67" s="232">
        <v>0</v>
      </c>
      <c r="K67" s="232">
        <v>0</v>
      </c>
      <c r="L67" s="234">
        <v>0</v>
      </c>
      <c r="M67" s="232">
        <v>0</v>
      </c>
      <c r="N67" s="232">
        <v>0</v>
      </c>
      <c r="O67" s="232">
        <v>0</v>
      </c>
      <c r="P67" s="232">
        <v>0</v>
      </c>
      <c r="Q67" s="232">
        <v>0</v>
      </c>
      <c r="R67" s="232">
        <v>0</v>
      </c>
      <c r="S67" s="232">
        <v>0</v>
      </c>
      <c r="T67" s="232">
        <v>0</v>
      </c>
      <c r="U67" s="232">
        <v>0</v>
      </c>
      <c r="V67" s="232">
        <v>0</v>
      </c>
      <c r="W67" s="232">
        <v>0</v>
      </c>
      <c r="X67" s="232">
        <v>0</v>
      </c>
      <c r="Y67" s="232">
        <v>0</v>
      </c>
      <c r="Z67" s="232"/>
      <c r="AA67" s="232">
        <v>0</v>
      </c>
      <c r="AB67" s="232">
        <v>0</v>
      </c>
      <c r="AC67" s="232">
        <v>0</v>
      </c>
      <c r="AD67" s="232">
        <v>0</v>
      </c>
      <c r="AE67" s="232">
        <v>0</v>
      </c>
      <c r="AF67" s="232">
        <v>0</v>
      </c>
      <c r="AG67" s="232">
        <v>0</v>
      </c>
      <c r="AH67" s="232">
        <v>0</v>
      </c>
      <c r="AI67" s="232">
        <v>0</v>
      </c>
      <c r="AJ67" s="232">
        <v>0</v>
      </c>
      <c r="AK67" s="232">
        <v>0</v>
      </c>
      <c r="AL67" s="232">
        <v>0</v>
      </c>
      <c r="AM67" s="215"/>
      <c r="AN67" s="215"/>
      <c r="AO67" s="215"/>
      <c r="AP67" s="215"/>
      <c r="AQ67" s="215"/>
      <c r="AR67" s="215"/>
      <c r="AS67" s="215"/>
      <c r="AT67" s="215"/>
      <c r="AU67" s="215"/>
      <c r="AV67" s="215"/>
      <c r="AW67" s="215"/>
      <c r="AX67" s="215"/>
      <c r="AY67" s="215"/>
      <c r="AZ67" s="215"/>
      <c r="BA67" s="215"/>
      <c r="BB67" s="215"/>
      <c r="BC67" s="215"/>
      <c r="BD67" s="215"/>
      <c r="BE67" s="215"/>
      <c r="BF67" s="215"/>
      <c r="BG67" s="215"/>
      <c r="BH67" s="215"/>
      <c r="BI67" s="215"/>
      <c r="BJ67" s="215"/>
      <c r="BK67" s="215"/>
      <c r="BL67" s="215"/>
      <c r="BM67" s="215"/>
      <c r="BN67" s="215"/>
      <c r="BO67" s="215"/>
      <c r="BP67" s="215"/>
      <c r="BQ67" s="215"/>
      <c r="BR67" s="215"/>
      <c r="BS67" s="215"/>
      <c r="BT67" s="215"/>
      <c r="BU67" s="215"/>
      <c r="BV67" s="215"/>
      <c r="BW67" s="215"/>
      <c r="BX67" s="215"/>
      <c r="BY67" s="215"/>
      <c r="BZ67" s="215"/>
      <c r="CA67" s="215"/>
      <c r="CB67" s="215"/>
      <c r="CC67" s="215"/>
      <c r="CD67" s="215"/>
      <c r="CE67" s="215"/>
      <c r="CF67" s="215"/>
      <c r="CG67" s="215"/>
      <c r="CH67" s="215"/>
      <c r="CI67" s="215"/>
      <c r="CJ67" s="215"/>
      <c r="CK67" s="215"/>
      <c r="CL67" s="215"/>
      <c r="CM67" s="215"/>
      <c r="CN67" s="215"/>
      <c r="CO67" s="215"/>
      <c r="CP67" s="215"/>
      <c r="CQ67" s="215"/>
      <c r="CR67" s="215"/>
      <c r="CS67" s="215"/>
      <c r="CT67" s="215"/>
      <c r="CU67" s="215"/>
      <c r="CV67" s="215"/>
      <c r="CW67" s="215"/>
    </row>
    <row r="68" spans="2:101">
      <c r="B68" t="s">
        <v>774</v>
      </c>
      <c r="C68" s="232">
        <v>0</v>
      </c>
      <c r="D68" s="232">
        <v>0</v>
      </c>
      <c r="E68" s="232">
        <v>0</v>
      </c>
      <c r="F68" s="232">
        <v>0</v>
      </c>
      <c r="G68" s="232">
        <v>0</v>
      </c>
      <c r="H68" s="232">
        <v>0</v>
      </c>
      <c r="I68" s="232">
        <v>0</v>
      </c>
      <c r="J68" s="232">
        <v>0</v>
      </c>
      <c r="K68" s="232">
        <v>0</v>
      </c>
      <c r="L68" s="234">
        <v>0</v>
      </c>
      <c r="M68" s="232">
        <v>0</v>
      </c>
      <c r="N68" s="232">
        <v>0</v>
      </c>
      <c r="O68" s="232">
        <v>0</v>
      </c>
      <c r="P68" s="232">
        <v>0</v>
      </c>
      <c r="Q68" s="232">
        <v>0</v>
      </c>
      <c r="R68" s="232">
        <v>0</v>
      </c>
      <c r="S68" s="232">
        <v>0</v>
      </c>
      <c r="T68" s="232">
        <v>0</v>
      </c>
      <c r="U68" s="232">
        <v>0</v>
      </c>
      <c r="V68" s="232">
        <v>0</v>
      </c>
      <c r="W68" s="232">
        <v>0</v>
      </c>
      <c r="X68" s="232">
        <v>0</v>
      </c>
      <c r="Y68" s="232">
        <v>0</v>
      </c>
      <c r="Z68" s="232"/>
      <c r="AA68" s="232">
        <v>0</v>
      </c>
      <c r="AB68" s="232">
        <v>0</v>
      </c>
      <c r="AC68" s="232">
        <v>0</v>
      </c>
      <c r="AD68" s="232">
        <v>0</v>
      </c>
      <c r="AE68" s="232">
        <v>0</v>
      </c>
      <c r="AF68" s="232">
        <v>0</v>
      </c>
      <c r="AG68" s="232">
        <v>0</v>
      </c>
      <c r="AH68" s="232">
        <v>0</v>
      </c>
      <c r="AI68" s="232">
        <v>0</v>
      </c>
      <c r="AJ68" s="232">
        <v>0</v>
      </c>
      <c r="AK68" s="232">
        <v>0</v>
      </c>
      <c r="AL68" s="232">
        <v>0</v>
      </c>
      <c r="AM68" s="215"/>
      <c r="AN68" s="215"/>
      <c r="AO68" s="215"/>
      <c r="AP68" s="215"/>
      <c r="AQ68" s="215"/>
      <c r="AR68" s="215"/>
      <c r="AS68" s="215"/>
      <c r="AT68" s="215"/>
      <c r="AU68" s="215"/>
      <c r="AV68" s="215"/>
      <c r="AW68" s="215"/>
      <c r="AX68" s="215"/>
      <c r="AY68" s="215"/>
      <c r="AZ68" s="215"/>
      <c r="BA68" s="215"/>
      <c r="BB68" s="215"/>
      <c r="BC68" s="215"/>
      <c r="BD68" s="215"/>
      <c r="BE68" s="215"/>
      <c r="BF68" s="215"/>
      <c r="BG68" s="215"/>
      <c r="BH68" s="215"/>
      <c r="BI68" s="215"/>
      <c r="BJ68" s="215"/>
      <c r="BK68" s="215"/>
      <c r="BL68" s="215"/>
      <c r="BM68" s="215"/>
      <c r="BN68" s="215"/>
      <c r="BO68" s="215"/>
      <c r="BP68" s="215"/>
      <c r="BQ68" s="215"/>
      <c r="BR68" s="215"/>
      <c r="BS68" s="215"/>
      <c r="BT68" s="215"/>
      <c r="BU68" s="215"/>
      <c r="BV68" s="215"/>
      <c r="BW68" s="215"/>
      <c r="BX68" s="215"/>
      <c r="BY68" s="215"/>
      <c r="BZ68" s="215"/>
      <c r="CA68" s="215"/>
      <c r="CB68" s="215"/>
      <c r="CC68" s="215"/>
      <c r="CD68" s="215"/>
      <c r="CE68" s="215"/>
      <c r="CF68" s="215"/>
      <c r="CG68" s="215"/>
      <c r="CH68" s="215"/>
      <c r="CI68" s="215"/>
      <c r="CJ68" s="215"/>
      <c r="CK68" s="215"/>
      <c r="CL68" s="215"/>
      <c r="CM68" s="215"/>
      <c r="CN68" s="215"/>
      <c r="CO68" s="215"/>
      <c r="CP68" s="215"/>
      <c r="CQ68" s="215"/>
      <c r="CR68" s="215"/>
      <c r="CS68" s="215"/>
      <c r="CT68" s="215"/>
      <c r="CU68" s="215"/>
      <c r="CV68" s="215"/>
      <c r="CW68" s="215"/>
    </row>
    <row r="69" spans="2:101">
      <c r="B69" t="s">
        <v>775</v>
      </c>
      <c r="C69" s="232">
        <v>0</v>
      </c>
      <c r="D69" s="232">
        <v>0</v>
      </c>
      <c r="E69" s="232">
        <v>0</v>
      </c>
      <c r="F69" s="232">
        <v>0</v>
      </c>
      <c r="G69" s="232">
        <v>0</v>
      </c>
      <c r="H69" s="232">
        <v>0</v>
      </c>
      <c r="I69" s="232">
        <v>0</v>
      </c>
      <c r="J69" s="232">
        <v>0</v>
      </c>
      <c r="K69" s="232">
        <v>0</v>
      </c>
      <c r="L69" s="234">
        <v>0</v>
      </c>
      <c r="M69" s="232">
        <v>0</v>
      </c>
      <c r="N69" s="232">
        <v>0</v>
      </c>
      <c r="O69" s="232">
        <v>0</v>
      </c>
      <c r="P69" s="232">
        <v>0</v>
      </c>
      <c r="Q69" s="232">
        <v>0</v>
      </c>
      <c r="R69" s="232">
        <v>0</v>
      </c>
      <c r="S69" s="232">
        <v>0</v>
      </c>
      <c r="T69" s="232">
        <v>0</v>
      </c>
      <c r="U69" s="232">
        <v>0</v>
      </c>
      <c r="V69" s="232">
        <v>0</v>
      </c>
      <c r="W69" s="232">
        <v>0</v>
      </c>
      <c r="X69" s="232">
        <v>0</v>
      </c>
      <c r="Y69" s="232">
        <v>0</v>
      </c>
      <c r="Z69" s="232"/>
      <c r="AA69" s="232">
        <v>0</v>
      </c>
      <c r="AB69" s="232">
        <v>0</v>
      </c>
      <c r="AC69" s="232">
        <v>0</v>
      </c>
      <c r="AD69" s="232">
        <v>0</v>
      </c>
      <c r="AE69" s="232">
        <v>0</v>
      </c>
      <c r="AF69" s="232">
        <v>0</v>
      </c>
      <c r="AG69" s="232">
        <v>0</v>
      </c>
      <c r="AH69" s="232">
        <v>0</v>
      </c>
      <c r="AI69" s="232">
        <v>0</v>
      </c>
      <c r="AJ69" s="232">
        <v>0</v>
      </c>
      <c r="AK69" s="232">
        <v>0</v>
      </c>
      <c r="AL69" s="232">
        <v>0</v>
      </c>
      <c r="AM69" s="215"/>
      <c r="AN69" s="215"/>
      <c r="AO69" s="215"/>
      <c r="AP69" s="215"/>
      <c r="AQ69" s="215"/>
      <c r="AR69" s="215"/>
      <c r="AS69" s="215"/>
      <c r="AT69" s="215"/>
      <c r="AU69" s="215"/>
      <c r="AV69" s="215"/>
      <c r="AW69" s="215"/>
      <c r="AX69" s="215"/>
      <c r="AY69" s="215"/>
      <c r="AZ69" s="215"/>
      <c r="BA69" s="215"/>
      <c r="BB69" s="215"/>
      <c r="BC69" s="215"/>
      <c r="BD69" s="215"/>
      <c r="BE69" s="215"/>
      <c r="BF69" s="215"/>
      <c r="BG69" s="215"/>
      <c r="BH69" s="215"/>
      <c r="BI69" s="215"/>
      <c r="BJ69" s="215"/>
      <c r="BK69" s="215"/>
      <c r="BL69" s="215"/>
      <c r="BM69" s="215"/>
      <c r="BN69" s="215"/>
      <c r="BO69" s="215"/>
      <c r="BP69" s="215"/>
      <c r="BQ69" s="215"/>
      <c r="BR69" s="215"/>
      <c r="BS69" s="215"/>
      <c r="BT69" s="215"/>
      <c r="BU69" s="215"/>
      <c r="BV69" s="215"/>
      <c r="BW69" s="215"/>
      <c r="BX69" s="215"/>
      <c r="BY69" s="215"/>
      <c r="BZ69" s="215"/>
      <c r="CA69" s="215"/>
      <c r="CB69" s="215"/>
      <c r="CC69" s="215"/>
      <c r="CD69" s="215"/>
      <c r="CE69" s="215"/>
      <c r="CF69" s="215"/>
      <c r="CG69" s="215"/>
      <c r="CH69" s="215"/>
      <c r="CI69" s="215"/>
      <c r="CJ69" s="215"/>
      <c r="CK69" s="215"/>
      <c r="CL69" s="215"/>
      <c r="CM69" s="215"/>
      <c r="CN69" s="215"/>
      <c r="CO69" s="215"/>
      <c r="CP69" s="215"/>
      <c r="CQ69" s="215"/>
      <c r="CR69" s="215"/>
      <c r="CS69" s="215"/>
      <c r="CT69" s="215"/>
      <c r="CU69" s="215"/>
      <c r="CV69" s="215"/>
      <c r="CW69" s="215"/>
    </row>
    <row r="70" spans="2:101">
      <c r="B70" t="s">
        <v>776</v>
      </c>
      <c r="C70" s="232">
        <v>0</v>
      </c>
      <c r="D70" s="232">
        <v>0</v>
      </c>
      <c r="E70" s="232">
        <v>0</v>
      </c>
      <c r="F70" s="232">
        <v>0</v>
      </c>
      <c r="G70" s="232">
        <v>0</v>
      </c>
      <c r="H70" s="232">
        <v>0</v>
      </c>
      <c r="I70" s="232">
        <v>0</v>
      </c>
      <c r="J70" s="232">
        <v>0</v>
      </c>
      <c r="K70" s="232">
        <v>0</v>
      </c>
      <c r="L70" s="234">
        <v>0</v>
      </c>
      <c r="M70" s="232">
        <v>0</v>
      </c>
      <c r="N70" s="232">
        <v>0</v>
      </c>
      <c r="O70" s="232">
        <v>0</v>
      </c>
      <c r="P70" s="232">
        <v>0</v>
      </c>
      <c r="Q70" s="232">
        <v>0</v>
      </c>
      <c r="R70" s="232">
        <v>0</v>
      </c>
      <c r="S70" s="232">
        <v>0</v>
      </c>
      <c r="T70" s="232">
        <v>0</v>
      </c>
      <c r="U70" s="232">
        <v>0</v>
      </c>
      <c r="V70" s="232">
        <v>0</v>
      </c>
      <c r="W70" s="232">
        <v>0</v>
      </c>
      <c r="X70" s="232">
        <v>0</v>
      </c>
      <c r="Y70" s="232">
        <v>0</v>
      </c>
      <c r="Z70" s="232"/>
      <c r="AA70" s="232">
        <v>0</v>
      </c>
      <c r="AB70" s="232">
        <v>0</v>
      </c>
      <c r="AC70" s="232">
        <v>0</v>
      </c>
      <c r="AD70" s="232">
        <v>0</v>
      </c>
      <c r="AE70" s="232">
        <v>0</v>
      </c>
      <c r="AF70" s="232">
        <v>0</v>
      </c>
      <c r="AG70" s="232">
        <v>0</v>
      </c>
      <c r="AH70" s="232">
        <v>0</v>
      </c>
      <c r="AI70" s="232">
        <v>0</v>
      </c>
      <c r="AJ70" s="232">
        <v>0</v>
      </c>
      <c r="AK70" s="232">
        <v>0</v>
      </c>
      <c r="AL70" s="232">
        <v>0</v>
      </c>
      <c r="AM70" s="215"/>
      <c r="AN70" s="215"/>
      <c r="AO70" s="215"/>
      <c r="AP70" s="215"/>
      <c r="AQ70" s="215"/>
      <c r="AR70" s="215"/>
      <c r="AS70" s="215"/>
      <c r="AT70" s="215"/>
      <c r="AU70" s="215"/>
      <c r="AV70" s="215"/>
      <c r="AW70" s="215"/>
      <c r="AX70" s="215"/>
      <c r="AY70" s="215"/>
      <c r="AZ70" s="215"/>
      <c r="BA70" s="215"/>
      <c r="BB70" s="215"/>
      <c r="BC70" s="215"/>
      <c r="BD70" s="215"/>
      <c r="BE70" s="215"/>
      <c r="BF70" s="215"/>
      <c r="BG70" s="215"/>
      <c r="BH70" s="215"/>
      <c r="BI70" s="215"/>
      <c r="BJ70" s="215"/>
      <c r="BK70" s="215"/>
      <c r="BL70" s="215"/>
      <c r="BM70" s="215"/>
      <c r="BN70" s="215"/>
      <c r="BO70" s="215"/>
      <c r="BP70" s="215"/>
      <c r="BQ70" s="215"/>
      <c r="BR70" s="215"/>
      <c r="BS70" s="215"/>
      <c r="BT70" s="215"/>
      <c r="BU70" s="215"/>
      <c r="BV70" s="215"/>
      <c r="BW70" s="215"/>
      <c r="BX70" s="215"/>
      <c r="BY70" s="215"/>
      <c r="BZ70" s="215"/>
      <c r="CA70" s="215"/>
      <c r="CB70" s="215"/>
      <c r="CC70" s="215"/>
      <c r="CD70" s="215"/>
      <c r="CE70" s="215"/>
      <c r="CF70" s="215"/>
      <c r="CG70" s="215"/>
      <c r="CH70" s="215"/>
      <c r="CI70" s="215"/>
      <c r="CJ70" s="215"/>
      <c r="CK70" s="215"/>
      <c r="CL70" s="215"/>
      <c r="CM70" s="215"/>
      <c r="CN70" s="215"/>
      <c r="CO70" s="215"/>
      <c r="CP70" s="215"/>
      <c r="CQ70" s="215"/>
      <c r="CR70" s="215"/>
      <c r="CS70" s="215"/>
      <c r="CT70" s="215"/>
      <c r="CU70" s="215"/>
      <c r="CV70" s="215"/>
      <c r="CW70" s="215"/>
    </row>
    <row r="71" spans="2:101">
      <c r="B71" t="s">
        <v>777</v>
      </c>
      <c r="C71" s="232">
        <v>0</v>
      </c>
      <c r="D71" s="232">
        <v>0</v>
      </c>
      <c r="E71" s="232">
        <v>0</v>
      </c>
      <c r="F71" s="232">
        <v>0</v>
      </c>
      <c r="G71" s="232">
        <v>0</v>
      </c>
      <c r="H71" s="232">
        <v>0</v>
      </c>
      <c r="I71" s="232">
        <v>0</v>
      </c>
      <c r="J71" s="232">
        <v>0</v>
      </c>
      <c r="K71" s="232">
        <v>0</v>
      </c>
      <c r="L71" s="234">
        <v>0</v>
      </c>
      <c r="M71" s="232">
        <v>0</v>
      </c>
      <c r="N71" s="232">
        <v>0</v>
      </c>
      <c r="O71" s="232">
        <v>0</v>
      </c>
      <c r="P71" s="232">
        <v>0</v>
      </c>
      <c r="Q71" s="232">
        <v>0</v>
      </c>
      <c r="R71" s="232">
        <v>0</v>
      </c>
      <c r="S71" s="232">
        <v>0</v>
      </c>
      <c r="T71" s="232">
        <v>0</v>
      </c>
      <c r="U71" s="232">
        <v>0</v>
      </c>
      <c r="V71" s="232">
        <v>0</v>
      </c>
      <c r="W71" s="232">
        <v>0</v>
      </c>
      <c r="X71" s="232">
        <v>0</v>
      </c>
      <c r="Y71" s="232">
        <v>0</v>
      </c>
      <c r="Z71" s="232"/>
      <c r="AA71" s="232">
        <v>0</v>
      </c>
      <c r="AB71" s="232">
        <v>0</v>
      </c>
      <c r="AC71" s="232">
        <v>0</v>
      </c>
      <c r="AD71" s="232">
        <v>0</v>
      </c>
      <c r="AE71" s="232">
        <v>0</v>
      </c>
      <c r="AF71" s="232">
        <v>0</v>
      </c>
      <c r="AG71" s="232">
        <v>0</v>
      </c>
      <c r="AH71" s="232">
        <v>0</v>
      </c>
      <c r="AI71" s="232">
        <v>0</v>
      </c>
      <c r="AJ71" s="232">
        <v>0</v>
      </c>
      <c r="AK71" s="232">
        <v>0</v>
      </c>
      <c r="AL71" s="232">
        <v>0</v>
      </c>
      <c r="AM71" s="215"/>
      <c r="AN71" s="215"/>
      <c r="AO71" s="215"/>
      <c r="AP71" s="215"/>
      <c r="AQ71" s="215"/>
      <c r="AR71" s="215"/>
      <c r="AS71" s="215"/>
      <c r="AT71" s="215"/>
      <c r="AU71" s="215"/>
      <c r="AV71" s="215"/>
      <c r="AW71" s="215"/>
      <c r="AX71" s="215"/>
      <c r="AY71" s="215"/>
      <c r="AZ71" s="215"/>
      <c r="BA71" s="215"/>
      <c r="BB71" s="215"/>
      <c r="BC71" s="215"/>
      <c r="BD71" s="215"/>
      <c r="BE71" s="215"/>
      <c r="BF71" s="215"/>
      <c r="BG71" s="215"/>
      <c r="BH71" s="215"/>
      <c r="BI71" s="215"/>
      <c r="BJ71" s="215"/>
      <c r="BK71" s="215"/>
      <c r="BL71" s="215"/>
      <c r="BM71" s="215"/>
      <c r="BN71" s="215"/>
      <c r="BO71" s="215"/>
      <c r="BP71" s="215"/>
      <c r="BQ71" s="215"/>
      <c r="BR71" s="215"/>
      <c r="BS71" s="215"/>
      <c r="BT71" s="215"/>
      <c r="BU71" s="215"/>
      <c r="BV71" s="215"/>
      <c r="BW71" s="215"/>
      <c r="BX71" s="215"/>
      <c r="BY71" s="215"/>
      <c r="BZ71" s="215"/>
      <c r="CA71" s="215"/>
      <c r="CB71" s="215"/>
      <c r="CC71" s="215"/>
      <c r="CD71" s="215"/>
      <c r="CE71" s="215"/>
      <c r="CF71" s="215"/>
      <c r="CG71" s="215"/>
      <c r="CH71" s="215"/>
      <c r="CI71" s="215"/>
      <c r="CJ71" s="215"/>
      <c r="CK71" s="215"/>
      <c r="CL71" s="215"/>
      <c r="CM71" s="215"/>
      <c r="CN71" s="215"/>
      <c r="CO71" s="215"/>
      <c r="CP71" s="215"/>
      <c r="CQ71" s="215"/>
      <c r="CR71" s="215"/>
      <c r="CS71" s="215"/>
      <c r="CT71" s="215"/>
      <c r="CU71" s="215"/>
      <c r="CV71" s="215"/>
      <c r="CW71" s="215"/>
    </row>
    <row r="72" spans="2:101">
      <c r="B72" t="s">
        <v>778</v>
      </c>
      <c r="C72" s="232">
        <v>0</v>
      </c>
      <c r="D72" s="232">
        <v>0</v>
      </c>
      <c r="E72" s="232">
        <v>0</v>
      </c>
      <c r="F72" s="232">
        <v>0</v>
      </c>
      <c r="G72" s="232">
        <v>0</v>
      </c>
      <c r="H72" s="232">
        <v>0</v>
      </c>
      <c r="I72" s="232">
        <v>0</v>
      </c>
      <c r="J72" s="232">
        <v>0</v>
      </c>
      <c r="K72" s="232">
        <v>0</v>
      </c>
      <c r="L72" s="234">
        <v>0</v>
      </c>
      <c r="M72" s="232">
        <v>0</v>
      </c>
      <c r="N72" s="232">
        <v>0</v>
      </c>
      <c r="O72" s="232">
        <v>0</v>
      </c>
      <c r="P72" s="232">
        <v>0</v>
      </c>
      <c r="Q72" s="232">
        <v>0</v>
      </c>
      <c r="R72" s="232">
        <v>0</v>
      </c>
      <c r="S72" s="232">
        <v>0</v>
      </c>
      <c r="T72" s="232">
        <v>0</v>
      </c>
      <c r="U72" s="232">
        <v>0</v>
      </c>
      <c r="V72" s="232">
        <v>0</v>
      </c>
      <c r="W72" s="232">
        <v>0</v>
      </c>
      <c r="X72" s="232">
        <v>0</v>
      </c>
      <c r="Y72" s="232">
        <v>0</v>
      </c>
      <c r="Z72" s="232"/>
      <c r="AA72" s="232">
        <v>0</v>
      </c>
      <c r="AB72" s="232">
        <v>0</v>
      </c>
      <c r="AC72" s="232">
        <v>0</v>
      </c>
      <c r="AD72" s="232">
        <v>0</v>
      </c>
      <c r="AE72" s="232">
        <v>0</v>
      </c>
      <c r="AF72" s="232">
        <v>0</v>
      </c>
      <c r="AG72" s="232">
        <v>0</v>
      </c>
      <c r="AH72" s="232">
        <v>0</v>
      </c>
      <c r="AI72" s="232">
        <v>0</v>
      </c>
      <c r="AJ72" s="232">
        <v>0</v>
      </c>
      <c r="AK72" s="232">
        <v>0</v>
      </c>
      <c r="AL72" s="232">
        <v>0</v>
      </c>
      <c r="AM72" s="215"/>
      <c r="AN72" s="215"/>
      <c r="AO72" s="215"/>
      <c r="AP72" s="215"/>
      <c r="AQ72" s="215"/>
      <c r="AR72" s="215"/>
      <c r="AS72" s="215"/>
      <c r="AT72" s="215"/>
      <c r="AU72" s="215"/>
      <c r="AV72" s="215"/>
      <c r="AW72" s="215"/>
      <c r="AX72" s="215"/>
      <c r="AY72" s="215"/>
      <c r="AZ72" s="215"/>
      <c r="BA72" s="215"/>
      <c r="BB72" s="215"/>
      <c r="BC72" s="215"/>
      <c r="BD72" s="215"/>
      <c r="BE72" s="215"/>
      <c r="BF72" s="215"/>
      <c r="BG72" s="215"/>
      <c r="BH72" s="215"/>
      <c r="BI72" s="215"/>
      <c r="BJ72" s="215"/>
      <c r="BK72" s="215"/>
      <c r="BL72" s="215"/>
      <c r="BM72" s="215"/>
      <c r="BN72" s="215"/>
      <c r="BO72" s="215"/>
      <c r="BP72" s="215"/>
      <c r="BQ72" s="215"/>
      <c r="BR72" s="215"/>
      <c r="BS72" s="215"/>
      <c r="BT72" s="215"/>
      <c r="BU72" s="215"/>
      <c r="BV72" s="215"/>
      <c r="BW72" s="215"/>
      <c r="BX72" s="215"/>
      <c r="BY72" s="215"/>
      <c r="BZ72" s="215"/>
      <c r="CA72" s="215"/>
      <c r="CB72" s="215"/>
      <c r="CC72" s="215"/>
      <c r="CD72" s="215"/>
      <c r="CE72" s="215"/>
      <c r="CF72" s="215"/>
      <c r="CG72" s="215"/>
      <c r="CH72" s="215"/>
      <c r="CI72" s="215"/>
      <c r="CJ72" s="215"/>
      <c r="CK72" s="215"/>
      <c r="CL72" s="215"/>
      <c r="CM72" s="215"/>
      <c r="CN72" s="215"/>
      <c r="CO72" s="215"/>
      <c r="CP72" s="215"/>
      <c r="CQ72" s="215"/>
      <c r="CR72" s="215"/>
      <c r="CS72" s="215"/>
      <c r="CT72" s="215"/>
      <c r="CU72" s="215"/>
      <c r="CV72" s="215"/>
      <c r="CW72" s="215"/>
    </row>
    <row r="73" spans="2:101">
      <c r="B73" t="s">
        <v>779</v>
      </c>
      <c r="C73" s="232">
        <v>0</v>
      </c>
      <c r="D73" s="232">
        <v>0</v>
      </c>
      <c r="E73" s="232">
        <v>0</v>
      </c>
      <c r="F73" s="232">
        <v>0</v>
      </c>
      <c r="G73" s="232">
        <v>0</v>
      </c>
      <c r="H73" s="232">
        <v>0</v>
      </c>
      <c r="I73" s="232">
        <v>0</v>
      </c>
      <c r="J73" s="232">
        <v>0</v>
      </c>
      <c r="K73" s="232">
        <v>0</v>
      </c>
      <c r="L73" s="234">
        <v>0</v>
      </c>
      <c r="M73" s="232">
        <v>0</v>
      </c>
      <c r="N73" s="232">
        <v>0</v>
      </c>
      <c r="O73" s="232">
        <v>0</v>
      </c>
      <c r="P73" s="232">
        <v>0</v>
      </c>
      <c r="Q73" s="232">
        <v>0</v>
      </c>
      <c r="R73" s="232">
        <v>0</v>
      </c>
      <c r="S73" s="232">
        <v>0</v>
      </c>
      <c r="T73" s="232">
        <v>0</v>
      </c>
      <c r="U73" s="232">
        <v>0</v>
      </c>
      <c r="V73" s="232">
        <v>0</v>
      </c>
      <c r="W73" s="232">
        <v>0</v>
      </c>
      <c r="X73" s="232">
        <v>0</v>
      </c>
      <c r="Y73" s="232">
        <v>0</v>
      </c>
      <c r="Z73" s="232"/>
      <c r="AA73" s="232">
        <v>0</v>
      </c>
      <c r="AB73" s="232">
        <v>0</v>
      </c>
      <c r="AC73" s="232">
        <v>0</v>
      </c>
      <c r="AD73" s="232">
        <v>0</v>
      </c>
      <c r="AE73" s="232">
        <v>0</v>
      </c>
      <c r="AF73" s="232">
        <v>0</v>
      </c>
      <c r="AG73" s="232">
        <v>0</v>
      </c>
      <c r="AH73" s="232">
        <v>0</v>
      </c>
      <c r="AI73" s="232">
        <v>0</v>
      </c>
      <c r="AJ73" s="232">
        <v>0</v>
      </c>
      <c r="AK73" s="232">
        <v>0</v>
      </c>
      <c r="AL73" s="232">
        <v>0</v>
      </c>
      <c r="AM73" s="215"/>
      <c r="AN73" s="215"/>
      <c r="AO73" s="215"/>
      <c r="AP73" s="215"/>
      <c r="AQ73" s="215"/>
      <c r="AR73" s="215"/>
      <c r="AS73" s="215"/>
      <c r="AT73" s="215"/>
      <c r="AU73" s="215"/>
      <c r="AV73" s="215"/>
      <c r="AW73" s="215"/>
      <c r="AX73" s="215"/>
      <c r="AY73" s="215"/>
      <c r="AZ73" s="215"/>
      <c r="BA73" s="215"/>
      <c r="BB73" s="215"/>
      <c r="BC73" s="215"/>
      <c r="BD73" s="215"/>
      <c r="BE73" s="215"/>
      <c r="BF73" s="215"/>
      <c r="BG73" s="215"/>
      <c r="BH73" s="215"/>
      <c r="BI73" s="215"/>
      <c r="BJ73" s="215"/>
      <c r="BK73" s="215"/>
      <c r="BL73" s="215"/>
      <c r="BM73" s="215"/>
      <c r="BN73" s="215"/>
      <c r="BO73" s="215"/>
      <c r="BP73" s="215"/>
      <c r="BQ73" s="215"/>
      <c r="BR73" s="215"/>
      <c r="BS73" s="215"/>
      <c r="BT73" s="215"/>
      <c r="BU73" s="215"/>
      <c r="BV73" s="215"/>
      <c r="BW73" s="215"/>
      <c r="BX73" s="215"/>
      <c r="BY73" s="215"/>
      <c r="BZ73" s="215"/>
      <c r="CA73" s="215"/>
      <c r="CB73" s="215"/>
      <c r="CC73" s="215"/>
      <c r="CD73" s="215"/>
      <c r="CE73" s="215"/>
      <c r="CF73" s="215"/>
      <c r="CG73" s="215"/>
      <c r="CH73" s="215"/>
      <c r="CI73" s="215"/>
      <c r="CJ73" s="215"/>
      <c r="CK73" s="215"/>
      <c r="CL73" s="215"/>
      <c r="CM73" s="215"/>
      <c r="CN73" s="215"/>
      <c r="CO73" s="215"/>
      <c r="CP73" s="215"/>
      <c r="CQ73" s="215"/>
      <c r="CR73" s="215"/>
      <c r="CS73" s="215"/>
      <c r="CT73" s="215"/>
      <c r="CU73" s="215"/>
      <c r="CV73" s="215"/>
      <c r="CW73" s="215"/>
    </row>
    <row r="74" spans="2:101">
      <c r="B74" t="s">
        <v>780</v>
      </c>
      <c r="C74" s="232">
        <v>0</v>
      </c>
      <c r="D74" s="232">
        <v>0</v>
      </c>
      <c r="E74" s="232">
        <v>0</v>
      </c>
      <c r="F74" s="232">
        <v>0</v>
      </c>
      <c r="G74" s="232">
        <v>0</v>
      </c>
      <c r="H74" s="232">
        <v>0</v>
      </c>
      <c r="I74" s="232">
        <v>0</v>
      </c>
      <c r="J74" s="232">
        <v>0</v>
      </c>
      <c r="K74" s="232">
        <v>0</v>
      </c>
      <c r="L74" s="234">
        <v>0</v>
      </c>
      <c r="M74" s="232">
        <v>0</v>
      </c>
      <c r="N74" s="232">
        <v>0</v>
      </c>
      <c r="O74" s="232">
        <v>0</v>
      </c>
      <c r="P74" s="232">
        <v>0</v>
      </c>
      <c r="Q74" s="232">
        <v>0</v>
      </c>
      <c r="R74" s="232">
        <v>0</v>
      </c>
      <c r="S74" s="232">
        <v>0</v>
      </c>
      <c r="T74" s="232">
        <v>0</v>
      </c>
      <c r="U74" s="232">
        <v>0</v>
      </c>
      <c r="V74" s="232">
        <v>0</v>
      </c>
      <c r="W74" s="232">
        <v>0</v>
      </c>
      <c r="X74" s="232">
        <v>0</v>
      </c>
      <c r="Y74" s="232">
        <v>0</v>
      </c>
      <c r="Z74" s="232"/>
      <c r="AA74" s="232">
        <v>0</v>
      </c>
      <c r="AB74" s="232">
        <v>0</v>
      </c>
      <c r="AC74" s="232">
        <v>0</v>
      </c>
      <c r="AD74" s="232">
        <v>0</v>
      </c>
      <c r="AE74" s="232">
        <v>0</v>
      </c>
      <c r="AF74" s="232">
        <v>0</v>
      </c>
      <c r="AG74" s="232">
        <v>0</v>
      </c>
      <c r="AH74" s="232">
        <v>0</v>
      </c>
      <c r="AI74" s="232">
        <v>0</v>
      </c>
      <c r="AJ74" s="232">
        <v>0</v>
      </c>
      <c r="AK74" s="232">
        <v>0</v>
      </c>
      <c r="AL74" s="232">
        <v>0</v>
      </c>
      <c r="AM74" s="215"/>
      <c r="AN74" s="215"/>
      <c r="AO74" s="215"/>
      <c r="AP74" s="215"/>
      <c r="AQ74" s="215"/>
      <c r="AR74" s="215"/>
      <c r="AS74" s="215"/>
      <c r="AT74" s="215"/>
      <c r="AU74" s="215"/>
      <c r="AV74" s="215"/>
      <c r="AW74" s="215"/>
      <c r="AX74" s="215"/>
      <c r="AY74" s="215"/>
      <c r="AZ74" s="215"/>
      <c r="BA74" s="215"/>
      <c r="BB74" s="215"/>
      <c r="BC74" s="215"/>
      <c r="BD74" s="215"/>
      <c r="BE74" s="215"/>
      <c r="BF74" s="215"/>
      <c r="BG74" s="215"/>
      <c r="BH74" s="215"/>
      <c r="BI74" s="215"/>
      <c r="BJ74" s="215"/>
      <c r="BK74" s="215"/>
      <c r="BL74" s="215"/>
      <c r="BM74" s="215"/>
      <c r="BN74" s="215"/>
      <c r="BO74" s="215"/>
      <c r="BP74" s="215"/>
      <c r="BQ74" s="215"/>
      <c r="BR74" s="215"/>
      <c r="BS74" s="215"/>
      <c r="BT74" s="215"/>
      <c r="BU74" s="215"/>
      <c r="BV74" s="215"/>
      <c r="BW74" s="215"/>
      <c r="BX74" s="215"/>
      <c r="BY74" s="215"/>
      <c r="BZ74" s="215"/>
      <c r="CA74" s="215"/>
      <c r="CB74" s="215"/>
      <c r="CC74" s="215"/>
      <c r="CD74" s="215"/>
      <c r="CE74" s="215"/>
      <c r="CF74" s="215"/>
      <c r="CG74" s="215"/>
      <c r="CH74" s="215"/>
      <c r="CI74" s="215"/>
      <c r="CJ74" s="215"/>
      <c r="CK74" s="215"/>
      <c r="CL74" s="215"/>
      <c r="CM74" s="215"/>
      <c r="CN74" s="215"/>
      <c r="CO74" s="215"/>
      <c r="CP74" s="215"/>
      <c r="CQ74" s="215"/>
      <c r="CR74" s="215"/>
      <c r="CS74" s="215"/>
      <c r="CT74" s="215"/>
      <c r="CU74" s="215"/>
      <c r="CV74" s="215"/>
      <c r="CW74" s="215"/>
    </row>
    <row r="75" spans="2:101">
      <c r="B75" t="s">
        <v>781</v>
      </c>
      <c r="C75" s="232">
        <v>0</v>
      </c>
      <c r="D75" s="232">
        <v>0</v>
      </c>
      <c r="E75" s="232">
        <v>0</v>
      </c>
      <c r="F75" s="232">
        <v>0</v>
      </c>
      <c r="G75" s="232">
        <v>0</v>
      </c>
      <c r="H75" s="232">
        <v>0</v>
      </c>
      <c r="I75" s="232">
        <v>0</v>
      </c>
      <c r="J75" s="232">
        <v>0</v>
      </c>
      <c r="K75" s="232">
        <v>0</v>
      </c>
      <c r="L75" s="234">
        <v>0</v>
      </c>
      <c r="M75" s="232">
        <v>0</v>
      </c>
      <c r="N75" s="232">
        <v>0</v>
      </c>
      <c r="O75" s="232">
        <v>0</v>
      </c>
      <c r="P75" s="232">
        <v>0</v>
      </c>
      <c r="Q75" s="232">
        <v>0</v>
      </c>
      <c r="R75" s="232">
        <v>0</v>
      </c>
      <c r="S75" s="232">
        <v>0</v>
      </c>
      <c r="T75" s="232">
        <v>0</v>
      </c>
      <c r="U75" s="232">
        <v>0</v>
      </c>
      <c r="V75" s="232">
        <v>0</v>
      </c>
      <c r="W75" s="232">
        <v>0</v>
      </c>
      <c r="X75" s="232">
        <v>0</v>
      </c>
      <c r="Y75" s="232">
        <v>0</v>
      </c>
      <c r="Z75" s="232"/>
      <c r="AA75" s="232">
        <v>0</v>
      </c>
      <c r="AB75" s="232">
        <v>0</v>
      </c>
      <c r="AC75" s="232">
        <v>0</v>
      </c>
      <c r="AD75" s="232">
        <v>0</v>
      </c>
      <c r="AE75" s="232">
        <v>0</v>
      </c>
      <c r="AF75" s="232">
        <v>0</v>
      </c>
      <c r="AG75" s="232">
        <v>0</v>
      </c>
      <c r="AH75" s="232">
        <v>0</v>
      </c>
      <c r="AI75" s="232">
        <v>0</v>
      </c>
      <c r="AJ75" s="232">
        <v>0</v>
      </c>
      <c r="AK75" s="232">
        <v>0</v>
      </c>
      <c r="AL75" s="232">
        <v>0</v>
      </c>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c r="BU75" s="215"/>
      <c r="BV75" s="215"/>
      <c r="BW75" s="215"/>
      <c r="BX75" s="215"/>
      <c r="BY75" s="215"/>
      <c r="BZ75" s="215"/>
      <c r="CA75" s="215"/>
      <c r="CB75" s="215"/>
      <c r="CC75" s="215"/>
      <c r="CD75" s="215"/>
      <c r="CE75" s="215"/>
      <c r="CF75" s="215"/>
      <c r="CG75" s="215"/>
      <c r="CH75" s="215"/>
      <c r="CI75" s="215"/>
      <c r="CJ75" s="215"/>
      <c r="CK75" s="215"/>
      <c r="CL75" s="215"/>
      <c r="CM75" s="215"/>
      <c r="CN75" s="215"/>
      <c r="CO75" s="215"/>
      <c r="CP75" s="215"/>
      <c r="CQ75" s="215"/>
      <c r="CR75" s="215"/>
      <c r="CS75" s="215"/>
      <c r="CT75" s="215"/>
      <c r="CU75" s="215"/>
      <c r="CV75" s="215"/>
      <c r="CW75" s="215"/>
    </row>
    <row r="76" spans="2:101">
      <c r="B76" t="s">
        <v>782</v>
      </c>
      <c r="C76" s="232">
        <v>0</v>
      </c>
      <c r="D76" s="232">
        <v>0</v>
      </c>
      <c r="E76" s="232">
        <v>0</v>
      </c>
      <c r="F76" s="232">
        <v>0</v>
      </c>
      <c r="G76" s="232">
        <v>0</v>
      </c>
      <c r="H76" s="232">
        <v>0</v>
      </c>
      <c r="I76" s="232">
        <v>0</v>
      </c>
      <c r="J76" s="232">
        <v>0</v>
      </c>
      <c r="K76" s="232">
        <v>0</v>
      </c>
      <c r="L76" s="234">
        <v>0</v>
      </c>
      <c r="M76" s="232">
        <v>0</v>
      </c>
      <c r="N76" s="232">
        <v>0</v>
      </c>
      <c r="O76" s="232">
        <v>0</v>
      </c>
      <c r="P76" s="232">
        <v>0</v>
      </c>
      <c r="Q76" s="232">
        <v>0</v>
      </c>
      <c r="R76" s="232">
        <v>0</v>
      </c>
      <c r="S76" s="232">
        <v>0</v>
      </c>
      <c r="T76" s="232">
        <v>0</v>
      </c>
      <c r="U76" s="232">
        <v>0</v>
      </c>
      <c r="V76" s="232">
        <v>0</v>
      </c>
      <c r="W76" s="232">
        <v>0</v>
      </c>
      <c r="X76" s="232">
        <v>0</v>
      </c>
      <c r="Y76" s="232">
        <v>0</v>
      </c>
      <c r="Z76" s="232"/>
      <c r="AA76" s="232">
        <v>0</v>
      </c>
      <c r="AB76" s="232">
        <v>0</v>
      </c>
      <c r="AC76" s="232">
        <v>0</v>
      </c>
      <c r="AD76" s="232">
        <v>0</v>
      </c>
      <c r="AE76" s="232">
        <v>0</v>
      </c>
      <c r="AF76" s="232">
        <v>0</v>
      </c>
      <c r="AG76" s="232">
        <v>0</v>
      </c>
      <c r="AH76" s="232">
        <v>0</v>
      </c>
      <c r="AI76" s="232">
        <v>0</v>
      </c>
      <c r="AJ76" s="232">
        <v>0</v>
      </c>
      <c r="AK76" s="232">
        <v>0</v>
      </c>
      <c r="AL76" s="232">
        <v>0</v>
      </c>
      <c r="AM76" s="215"/>
      <c r="AN76" s="215"/>
      <c r="AO76" s="215"/>
      <c r="AP76" s="215"/>
      <c r="AQ76" s="215"/>
      <c r="AR76" s="215"/>
      <c r="AS76" s="215"/>
      <c r="AT76" s="215"/>
      <c r="AU76" s="215"/>
      <c r="AV76" s="215"/>
      <c r="AW76" s="215"/>
      <c r="AX76" s="215"/>
      <c r="AY76" s="215"/>
      <c r="AZ76" s="215"/>
      <c r="BA76" s="215"/>
      <c r="BB76" s="215"/>
      <c r="BC76" s="215"/>
      <c r="BD76" s="215"/>
      <c r="BE76" s="215"/>
      <c r="BF76" s="215"/>
      <c r="BG76" s="215"/>
      <c r="BH76" s="215"/>
      <c r="BI76" s="215"/>
      <c r="BJ76" s="215"/>
      <c r="BK76" s="215"/>
      <c r="BL76" s="215"/>
      <c r="BM76" s="215"/>
      <c r="BN76" s="215"/>
      <c r="BO76" s="215"/>
      <c r="BP76" s="215"/>
      <c r="BQ76" s="215"/>
      <c r="BR76" s="215"/>
      <c r="BS76" s="215"/>
      <c r="BT76" s="215"/>
      <c r="BU76" s="215"/>
      <c r="BV76" s="215"/>
      <c r="BW76" s="215"/>
      <c r="BX76" s="215"/>
      <c r="BY76" s="215"/>
      <c r="BZ76" s="215"/>
      <c r="CA76" s="215"/>
      <c r="CB76" s="215"/>
      <c r="CC76" s="215"/>
      <c r="CD76" s="215"/>
      <c r="CE76" s="215"/>
      <c r="CF76" s="215"/>
      <c r="CG76" s="215"/>
      <c r="CH76" s="215"/>
      <c r="CI76" s="215"/>
      <c r="CJ76" s="215"/>
      <c r="CK76" s="215"/>
      <c r="CL76" s="215"/>
      <c r="CM76" s="215"/>
      <c r="CN76" s="215"/>
      <c r="CO76" s="215"/>
      <c r="CP76" s="215"/>
      <c r="CQ76" s="215"/>
      <c r="CR76" s="215"/>
      <c r="CS76" s="215"/>
      <c r="CT76" s="215"/>
      <c r="CU76" s="215"/>
      <c r="CV76" s="215"/>
      <c r="CW76" s="215"/>
    </row>
    <row r="77" spans="2:101">
      <c r="B77" t="s">
        <v>783</v>
      </c>
      <c r="C77" s="232">
        <v>0</v>
      </c>
      <c r="D77" s="232">
        <v>0</v>
      </c>
      <c r="E77" s="232">
        <v>0</v>
      </c>
      <c r="F77" s="232">
        <v>0</v>
      </c>
      <c r="G77" s="232">
        <v>0</v>
      </c>
      <c r="H77" s="232">
        <v>0</v>
      </c>
      <c r="I77" s="232">
        <v>0</v>
      </c>
      <c r="J77" s="232">
        <v>0</v>
      </c>
      <c r="K77" s="232">
        <v>0</v>
      </c>
      <c r="L77" s="234">
        <v>0</v>
      </c>
      <c r="M77" s="232">
        <v>0</v>
      </c>
      <c r="N77" s="232">
        <v>0</v>
      </c>
      <c r="O77" s="232">
        <v>0</v>
      </c>
      <c r="P77" s="232">
        <v>0</v>
      </c>
      <c r="Q77" s="232">
        <v>0</v>
      </c>
      <c r="R77" s="232">
        <v>0</v>
      </c>
      <c r="S77" s="232">
        <v>0</v>
      </c>
      <c r="T77" s="232">
        <v>0</v>
      </c>
      <c r="U77" s="232">
        <v>0</v>
      </c>
      <c r="V77" s="232">
        <v>0</v>
      </c>
      <c r="W77" s="232">
        <v>0</v>
      </c>
      <c r="X77" s="232">
        <v>0</v>
      </c>
      <c r="Y77" s="232">
        <v>0</v>
      </c>
      <c r="Z77" s="232"/>
      <c r="AA77" s="232">
        <v>0</v>
      </c>
      <c r="AB77" s="232">
        <v>0</v>
      </c>
      <c r="AC77" s="232">
        <v>0</v>
      </c>
      <c r="AD77" s="232">
        <v>0</v>
      </c>
      <c r="AE77" s="232">
        <v>0</v>
      </c>
      <c r="AF77" s="232">
        <v>0</v>
      </c>
      <c r="AG77" s="232">
        <v>0</v>
      </c>
      <c r="AH77" s="232">
        <v>0</v>
      </c>
      <c r="AI77" s="232">
        <v>0</v>
      </c>
      <c r="AJ77" s="232">
        <v>0</v>
      </c>
      <c r="AK77" s="232">
        <v>0</v>
      </c>
      <c r="AL77" s="232">
        <v>0</v>
      </c>
      <c r="AM77" s="215"/>
      <c r="AN77" s="215"/>
      <c r="AO77" s="215"/>
      <c r="AP77" s="215"/>
      <c r="AQ77" s="215"/>
      <c r="AR77" s="215"/>
      <c r="AS77" s="215"/>
      <c r="AT77" s="215"/>
      <c r="AU77" s="215"/>
      <c r="AV77" s="215"/>
      <c r="AW77" s="215"/>
      <c r="AX77" s="215"/>
      <c r="AY77" s="215"/>
      <c r="AZ77" s="215"/>
      <c r="BA77" s="215"/>
      <c r="BB77" s="215"/>
      <c r="BC77" s="215"/>
      <c r="BD77" s="215"/>
      <c r="BE77" s="215"/>
      <c r="BF77" s="215"/>
      <c r="BG77" s="215"/>
      <c r="BH77" s="215"/>
      <c r="BI77" s="215"/>
      <c r="BJ77" s="215"/>
      <c r="BK77" s="215"/>
      <c r="BL77" s="215"/>
      <c r="BM77" s="215"/>
      <c r="BN77" s="215"/>
      <c r="BO77" s="215"/>
      <c r="BP77" s="215"/>
      <c r="BQ77" s="215"/>
      <c r="BR77" s="215"/>
      <c r="BS77" s="215"/>
      <c r="BT77" s="215"/>
      <c r="BU77" s="215"/>
      <c r="BV77" s="215"/>
      <c r="BW77" s="215"/>
      <c r="BX77" s="215"/>
      <c r="BY77" s="215"/>
      <c r="BZ77" s="215"/>
      <c r="CA77" s="215"/>
      <c r="CB77" s="215"/>
      <c r="CC77" s="215"/>
      <c r="CD77" s="215"/>
      <c r="CE77" s="215"/>
      <c r="CF77" s="215"/>
      <c r="CG77" s="215"/>
      <c r="CH77" s="215"/>
      <c r="CI77" s="215"/>
      <c r="CJ77" s="215"/>
      <c r="CK77" s="215"/>
      <c r="CL77" s="215"/>
      <c r="CM77" s="215"/>
      <c r="CN77" s="215"/>
      <c r="CO77" s="215"/>
      <c r="CP77" s="215"/>
      <c r="CQ77" s="215"/>
      <c r="CR77" s="215"/>
      <c r="CS77" s="215"/>
      <c r="CT77" s="215"/>
      <c r="CU77" s="215"/>
      <c r="CV77" s="215"/>
      <c r="CW77" s="215"/>
    </row>
    <row r="78" spans="2:101">
      <c r="B78" t="s">
        <v>784</v>
      </c>
      <c r="C78" s="232">
        <v>0</v>
      </c>
      <c r="D78" s="232">
        <v>0</v>
      </c>
      <c r="E78" s="232">
        <v>0</v>
      </c>
      <c r="F78" s="232">
        <v>0</v>
      </c>
      <c r="G78" s="232">
        <v>0</v>
      </c>
      <c r="H78" s="232">
        <v>0</v>
      </c>
      <c r="I78" s="232">
        <v>0</v>
      </c>
      <c r="J78" s="232">
        <v>0</v>
      </c>
      <c r="K78" s="232">
        <v>0</v>
      </c>
      <c r="L78" s="234">
        <v>0</v>
      </c>
      <c r="M78" s="232">
        <v>0</v>
      </c>
      <c r="N78" s="232">
        <v>0</v>
      </c>
      <c r="O78" s="232">
        <v>0</v>
      </c>
      <c r="P78" s="232">
        <v>0</v>
      </c>
      <c r="Q78" s="232">
        <v>0</v>
      </c>
      <c r="R78" s="232">
        <v>0</v>
      </c>
      <c r="S78" s="232">
        <v>0</v>
      </c>
      <c r="T78" s="232">
        <v>0</v>
      </c>
      <c r="U78" s="232">
        <v>0</v>
      </c>
      <c r="V78" s="232">
        <v>0</v>
      </c>
      <c r="W78" s="232">
        <v>0</v>
      </c>
      <c r="X78" s="232">
        <v>0</v>
      </c>
      <c r="Y78" s="232">
        <v>0</v>
      </c>
      <c r="Z78" s="232"/>
      <c r="AA78" s="232">
        <v>0</v>
      </c>
      <c r="AB78" s="232">
        <v>0</v>
      </c>
      <c r="AC78" s="232">
        <v>0</v>
      </c>
      <c r="AD78" s="232">
        <v>0</v>
      </c>
      <c r="AE78" s="232">
        <v>0</v>
      </c>
      <c r="AF78" s="232">
        <v>0</v>
      </c>
      <c r="AG78" s="232">
        <v>0</v>
      </c>
      <c r="AH78" s="232">
        <v>0</v>
      </c>
      <c r="AI78" s="232">
        <v>0</v>
      </c>
      <c r="AJ78" s="232">
        <v>0</v>
      </c>
      <c r="AK78" s="232">
        <v>0</v>
      </c>
      <c r="AL78" s="232">
        <v>0</v>
      </c>
      <c r="AM78" s="215"/>
      <c r="AN78" s="215"/>
      <c r="AO78" s="215"/>
      <c r="AP78" s="215"/>
      <c r="AQ78" s="215"/>
      <c r="AR78" s="215"/>
      <c r="AS78" s="215"/>
      <c r="AT78" s="215"/>
      <c r="AU78" s="215"/>
      <c r="AV78" s="215"/>
      <c r="AW78" s="215"/>
      <c r="AX78" s="215"/>
      <c r="AY78" s="215"/>
      <c r="AZ78" s="215"/>
      <c r="BA78" s="215"/>
      <c r="BB78" s="215"/>
      <c r="BC78" s="215"/>
      <c r="BD78" s="215"/>
      <c r="BE78" s="215"/>
      <c r="BF78" s="215"/>
      <c r="BG78" s="215"/>
      <c r="BH78" s="215"/>
      <c r="BI78" s="215"/>
      <c r="BJ78" s="215"/>
      <c r="BK78" s="215"/>
      <c r="BL78" s="215"/>
      <c r="BM78" s="215"/>
      <c r="BN78" s="215"/>
      <c r="BO78" s="215"/>
      <c r="BP78" s="215"/>
      <c r="BQ78" s="215"/>
      <c r="BR78" s="215"/>
      <c r="BS78" s="215"/>
      <c r="BT78" s="215"/>
      <c r="BU78" s="215"/>
      <c r="BV78" s="215"/>
      <c r="BW78" s="215"/>
      <c r="BX78" s="215"/>
      <c r="BY78" s="215"/>
      <c r="BZ78" s="215"/>
      <c r="CA78" s="215"/>
      <c r="CB78" s="215"/>
      <c r="CC78" s="215"/>
      <c r="CD78" s="215"/>
      <c r="CE78" s="215"/>
      <c r="CF78" s="215"/>
      <c r="CG78" s="215"/>
      <c r="CH78" s="215"/>
      <c r="CI78" s="215"/>
      <c r="CJ78" s="215"/>
      <c r="CK78" s="215"/>
      <c r="CL78" s="215"/>
      <c r="CM78" s="215"/>
      <c r="CN78" s="215"/>
      <c r="CO78" s="215"/>
      <c r="CP78" s="215"/>
      <c r="CQ78" s="215"/>
      <c r="CR78" s="215"/>
      <c r="CS78" s="215"/>
      <c r="CT78" s="215"/>
      <c r="CU78" s="215"/>
      <c r="CV78" s="215"/>
      <c r="CW78" s="215"/>
    </row>
    <row r="79" spans="2:101">
      <c r="B79" t="s">
        <v>785</v>
      </c>
      <c r="C79" s="232">
        <v>0</v>
      </c>
      <c r="D79" s="232">
        <v>0</v>
      </c>
      <c r="E79" s="232">
        <v>0</v>
      </c>
      <c r="F79" s="232">
        <v>0</v>
      </c>
      <c r="G79" s="232">
        <v>0</v>
      </c>
      <c r="H79" s="232">
        <v>0</v>
      </c>
      <c r="I79" s="232">
        <v>0</v>
      </c>
      <c r="J79" s="232">
        <v>0</v>
      </c>
      <c r="K79" s="232">
        <v>0</v>
      </c>
      <c r="L79" s="234">
        <v>0</v>
      </c>
      <c r="M79" s="232">
        <v>0</v>
      </c>
      <c r="N79" s="232">
        <v>0</v>
      </c>
      <c r="O79" s="232">
        <v>0</v>
      </c>
      <c r="P79" s="232">
        <v>0</v>
      </c>
      <c r="Q79" s="232">
        <v>0</v>
      </c>
      <c r="R79" s="232">
        <v>0</v>
      </c>
      <c r="S79" s="232">
        <v>0</v>
      </c>
      <c r="T79" s="232">
        <v>0</v>
      </c>
      <c r="U79" s="232">
        <v>0</v>
      </c>
      <c r="V79" s="232">
        <v>0</v>
      </c>
      <c r="W79" s="232">
        <v>0</v>
      </c>
      <c r="X79" s="232">
        <v>0</v>
      </c>
      <c r="Y79" s="232">
        <v>0</v>
      </c>
      <c r="Z79" s="232"/>
      <c r="AA79" s="232">
        <v>0</v>
      </c>
      <c r="AB79" s="232">
        <v>0</v>
      </c>
      <c r="AC79" s="232">
        <v>0</v>
      </c>
      <c r="AD79" s="232">
        <v>0</v>
      </c>
      <c r="AE79" s="232">
        <v>0</v>
      </c>
      <c r="AF79" s="232">
        <v>0</v>
      </c>
      <c r="AG79" s="232">
        <v>0</v>
      </c>
      <c r="AH79" s="232">
        <v>0</v>
      </c>
      <c r="AI79" s="232">
        <v>0</v>
      </c>
      <c r="AJ79" s="232">
        <v>0</v>
      </c>
      <c r="AK79" s="232">
        <v>0</v>
      </c>
      <c r="AL79" s="232">
        <v>0</v>
      </c>
      <c r="AM79" s="215"/>
      <c r="AN79" s="215"/>
      <c r="AO79" s="215"/>
      <c r="AP79" s="215"/>
      <c r="AQ79" s="215"/>
      <c r="AR79" s="215"/>
      <c r="AS79" s="215"/>
      <c r="AT79" s="215"/>
      <c r="AU79" s="215"/>
      <c r="AV79" s="215"/>
      <c r="AW79" s="215"/>
      <c r="AX79" s="215"/>
      <c r="AY79" s="215"/>
      <c r="AZ79" s="215"/>
      <c r="BA79" s="215"/>
      <c r="BB79" s="215"/>
      <c r="BC79" s="215"/>
      <c r="BD79" s="215"/>
      <c r="BE79" s="215"/>
      <c r="BF79" s="215"/>
      <c r="BG79" s="215"/>
      <c r="BH79" s="215"/>
      <c r="BI79" s="215"/>
      <c r="BJ79" s="215"/>
      <c r="BK79" s="215"/>
      <c r="BL79" s="215"/>
      <c r="BM79" s="215"/>
      <c r="BN79" s="215"/>
      <c r="BO79" s="215"/>
      <c r="BP79" s="215"/>
      <c r="BQ79" s="215"/>
      <c r="BR79" s="215"/>
      <c r="BS79" s="215"/>
      <c r="BT79" s="215"/>
      <c r="BU79" s="215"/>
      <c r="BV79" s="215"/>
      <c r="BW79" s="215"/>
      <c r="BX79" s="215"/>
      <c r="BY79" s="215"/>
      <c r="BZ79" s="215"/>
      <c r="CA79" s="215"/>
      <c r="CB79" s="215"/>
      <c r="CC79" s="215"/>
      <c r="CD79" s="215"/>
      <c r="CE79" s="215"/>
      <c r="CF79" s="215"/>
      <c r="CG79" s="215"/>
      <c r="CH79" s="215"/>
      <c r="CI79" s="215"/>
      <c r="CJ79" s="215"/>
      <c r="CK79" s="215"/>
      <c r="CL79" s="215"/>
      <c r="CM79" s="215"/>
      <c r="CN79" s="215"/>
      <c r="CO79" s="215"/>
      <c r="CP79" s="215"/>
      <c r="CQ79" s="215"/>
      <c r="CR79" s="215"/>
      <c r="CS79" s="215"/>
      <c r="CT79" s="215"/>
      <c r="CU79" s="215"/>
      <c r="CV79" s="215"/>
      <c r="CW79" s="215"/>
    </row>
    <row r="80" spans="2:101">
      <c r="C80" s="215"/>
      <c r="D80" s="215"/>
      <c r="E80" s="215"/>
      <c r="F80" s="215"/>
      <c r="G80" s="215"/>
      <c r="H80" s="215"/>
      <c r="I80" s="215"/>
      <c r="J80" s="215"/>
      <c r="K80" s="215"/>
      <c r="L80" s="215"/>
      <c r="M80" s="215"/>
      <c r="N80" s="215"/>
      <c r="O80" s="215"/>
      <c r="P80" s="215"/>
      <c r="Q80" s="215"/>
      <c r="R80" s="215"/>
      <c r="S80" s="215"/>
      <c r="T80" s="215"/>
      <c r="U80" s="215"/>
      <c r="V80" s="215"/>
      <c r="W80" s="215"/>
      <c r="X80" s="215"/>
      <c r="Y80" s="215"/>
      <c r="Z80" s="215"/>
      <c r="AA80" s="215"/>
      <c r="AB80" s="215"/>
      <c r="AC80" s="215"/>
      <c r="AD80" s="215"/>
      <c r="AE80" s="215"/>
      <c r="AF80" s="215"/>
      <c r="AG80" s="215"/>
      <c r="AH80" s="215"/>
      <c r="AI80" s="215"/>
      <c r="AJ80" s="215"/>
      <c r="AK80" s="215"/>
      <c r="AL80" s="215"/>
      <c r="AM80" s="215"/>
      <c r="AN80" s="215"/>
      <c r="AO80" s="215"/>
      <c r="AP80" s="215"/>
      <c r="AQ80" s="215"/>
      <c r="AR80" s="215"/>
      <c r="AS80" s="215"/>
      <c r="AT80" s="215"/>
      <c r="AU80" s="215"/>
      <c r="AV80" s="215"/>
      <c r="AW80" s="215"/>
      <c r="AX80" s="215"/>
      <c r="AY80" s="215"/>
      <c r="AZ80" s="215"/>
      <c r="BA80" s="215"/>
      <c r="BB80" s="215"/>
      <c r="BC80" s="215"/>
      <c r="BD80" s="215"/>
      <c r="BE80" s="215"/>
      <c r="BF80" s="215"/>
      <c r="BG80" s="215"/>
      <c r="BH80" s="215"/>
      <c r="BI80" s="215"/>
      <c r="BJ80" s="215"/>
      <c r="BK80" s="215"/>
      <c r="BL80" s="215"/>
      <c r="BM80" s="215"/>
      <c r="BN80" s="215"/>
      <c r="BO80" s="215"/>
      <c r="BP80" s="215"/>
      <c r="BQ80" s="215"/>
      <c r="BR80" s="215"/>
      <c r="BS80" s="215"/>
      <c r="BT80" s="215"/>
      <c r="BU80" s="215"/>
      <c r="BV80" s="215"/>
      <c r="BW80" s="215"/>
      <c r="BX80" s="215"/>
      <c r="BY80" s="215"/>
      <c r="BZ80" s="215"/>
      <c r="CA80" s="215"/>
      <c r="CB80" s="215"/>
      <c r="CC80" s="215"/>
      <c r="CD80" s="215"/>
      <c r="CE80" s="215"/>
      <c r="CF80" s="215"/>
      <c r="CG80" s="215"/>
      <c r="CH80" s="215"/>
      <c r="CI80" s="215"/>
      <c r="CJ80" s="215"/>
      <c r="CK80" s="215"/>
      <c r="CL80" s="215"/>
      <c r="CM80" s="215"/>
      <c r="CN80" s="215"/>
      <c r="CO80" s="215"/>
      <c r="CP80" s="215"/>
      <c r="CQ80" s="215"/>
      <c r="CR80" s="215"/>
      <c r="CS80" s="215"/>
      <c r="CT80" s="215"/>
      <c r="CU80" s="215"/>
      <c r="CV80" s="215"/>
      <c r="CW80" s="215"/>
    </row>
    <row r="81" spans="1:101">
      <c r="C81" s="215"/>
      <c r="D81" s="215"/>
      <c r="E81" s="215"/>
      <c r="F81" s="215"/>
      <c r="G81" s="215"/>
      <c r="H81" s="215"/>
      <c r="I81" s="215"/>
      <c r="J81" s="215"/>
      <c r="K81" s="215"/>
      <c r="L81" s="215"/>
      <c r="M81" s="215"/>
      <c r="N81" s="215"/>
      <c r="O81" s="215"/>
      <c r="P81" s="215"/>
      <c r="Q81" s="215"/>
      <c r="R81" s="215"/>
      <c r="S81" s="215"/>
      <c r="T81" s="215"/>
      <c r="U81" s="215"/>
      <c r="V81" s="215"/>
      <c r="W81" s="215"/>
      <c r="X81" s="215"/>
      <c r="Y81" s="215"/>
      <c r="Z81" s="215"/>
      <c r="AA81" s="215"/>
      <c r="AB81" s="215"/>
      <c r="AC81" s="215"/>
      <c r="AD81" s="215"/>
      <c r="AE81" s="215"/>
      <c r="AF81" s="215"/>
      <c r="AG81" s="215"/>
      <c r="AH81" s="215"/>
      <c r="AI81" s="215"/>
      <c r="AJ81" s="215"/>
      <c r="AK81" s="215"/>
      <c r="AL81" s="215"/>
      <c r="AM81" s="215"/>
      <c r="AN81" s="215"/>
      <c r="AO81" s="215"/>
      <c r="AP81" s="215"/>
      <c r="AQ81" s="215"/>
      <c r="AR81" s="215"/>
      <c r="AS81" s="215"/>
      <c r="AT81" s="215"/>
      <c r="AU81" s="215"/>
      <c r="AV81" s="215"/>
      <c r="AW81" s="215"/>
      <c r="AX81" s="215"/>
      <c r="AY81" s="215"/>
      <c r="AZ81" s="215"/>
      <c r="BA81" s="215"/>
      <c r="BB81" s="215"/>
      <c r="BC81" s="215"/>
      <c r="BD81" s="215"/>
      <c r="BE81" s="215"/>
      <c r="BF81" s="215"/>
      <c r="BG81" s="215"/>
      <c r="BH81" s="215"/>
      <c r="BI81" s="215"/>
      <c r="BJ81" s="215"/>
      <c r="BK81" s="215"/>
      <c r="BL81" s="215"/>
      <c r="BM81" s="215"/>
      <c r="BN81" s="215"/>
      <c r="BO81" s="215"/>
      <c r="BP81" s="215"/>
      <c r="BQ81" s="215"/>
      <c r="BR81" s="215"/>
      <c r="BS81" s="215"/>
      <c r="BT81" s="215"/>
      <c r="BU81" s="215"/>
      <c r="BV81" s="215"/>
      <c r="BW81" s="215"/>
      <c r="BX81" s="215"/>
      <c r="BY81" s="215"/>
      <c r="BZ81" s="215"/>
      <c r="CA81" s="215"/>
      <c r="CB81" s="215"/>
      <c r="CC81" s="215"/>
      <c r="CD81" s="215"/>
      <c r="CE81" s="215"/>
      <c r="CF81" s="215"/>
      <c r="CG81" s="215"/>
      <c r="CH81" s="215"/>
      <c r="CI81" s="215"/>
      <c r="CJ81" s="215"/>
      <c r="CK81" s="215"/>
      <c r="CL81" s="215"/>
      <c r="CM81" s="215"/>
      <c r="CN81" s="215"/>
      <c r="CO81" s="215"/>
      <c r="CP81" s="215"/>
      <c r="CQ81" s="215"/>
      <c r="CR81" s="215"/>
      <c r="CS81" s="215"/>
      <c r="CT81" s="215"/>
      <c r="CU81" s="215"/>
      <c r="CV81" s="215"/>
      <c r="CW81" s="215"/>
    </row>
    <row r="82" spans="1:101" ht="13.5" thickBot="1">
      <c r="A82" s="201" t="s">
        <v>786</v>
      </c>
      <c r="B82" s="200"/>
      <c r="C82" s="215"/>
      <c r="D82" s="215"/>
      <c r="E82" s="215"/>
      <c r="F82" s="215"/>
      <c r="G82" s="215"/>
      <c r="H82" s="215"/>
      <c r="I82" s="215"/>
      <c r="J82" s="215"/>
      <c r="K82" s="215"/>
      <c r="L82" s="215"/>
      <c r="M82" s="215"/>
      <c r="N82" s="215"/>
      <c r="O82" s="215"/>
      <c r="P82" s="215"/>
      <c r="Q82" s="215"/>
      <c r="R82" s="215"/>
      <c r="S82" s="215"/>
      <c r="T82" s="215"/>
      <c r="U82" s="215"/>
      <c r="V82" s="215"/>
      <c r="W82" s="215"/>
      <c r="X82" s="215"/>
      <c r="Y82" s="215"/>
      <c r="Z82" s="215"/>
      <c r="AA82" s="215"/>
      <c r="AB82" s="215"/>
      <c r="AC82" s="215"/>
      <c r="AD82" s="215"/>
      <c r="AE82" s="215"/>
      <c r="AF82" s="215"/>
      <c r="AG82" s="215"/>
      <c r="AH82" s="215"/>
      <c r="AI82" s="215"/>
      <c r="AJ82" s="215"/>
      <c r="AK82" s="215"/>
      <c r="AL82" s="215"/>
      <c r="AM82" s="215"/>
      <c r="AN82" s="215"/>
      <c r="AO82" s="215"/>
      <c r="AP82" s="215"/>
      <c r="AQ82" s="215"/>
      <c r="AR82" s="215"/>
      <c r="AS82" s="215"/>
      <c r="AT82" s="215"/>
      <c r="AU82" s="215"/>
      <c r="AV82" s="215"/>
      <c r="AW82" s="215"/>
      <c r="AX82" s="215"/>
      <c r="AY82" s="215"/>
      <c r="AZ82" s="215"/>
      <c r="BA82" s="215"/>
      <c r="BB82" s="215"/>
      <c r="BC82" s="215"/>
      <c r="BD82" s="215"/>
      <c r="BE82" s="215"/>
      <c r="BF82" s="215"/>
      <c r="BG82" s="215"/>
      <c r="BH82" s="215"/>
      <c r="BI82" s="215"/>
      <c r="BJ82" s="215"/>
      <c r="BK82" s="215"/>
      <c r="BL82" s="215"/>
      <c r="BM82" s="215"/>
      <c r="BN82" s="215"/>
      <c r="BO82" s="215"/>
      <c r="BP82" s="215"/>
      <c r="BQ82" s="215"/>
      <c r="BR82" s="215"/>
      <c r="BS82" s="215"/>
      <c r="BT82" s="215"/>
      <c r="BU82" s="215"/>
      <c r="BV82" s="215"/>
      <c r="BW82" s="215"/>
      <c r="BX82" s="215"/>
      <c r="BY82" s="215"/>
      <c r="BZ82" s="215"/>
      <c r="CA82" s="215"/>
      <c r="CB82" s="215"/>
      <c r="CC82" s="215"/>
      <c r="CD82" s="215"/>
      <c r="CE82" s="215"/>
      <c r="CF82" s="215"/>
      <c r="CG82" s="215"/>
      <c r="CH82" s="215"/>
      <c r="CI82" s="215"/>
      <c r="CJ82" s="215"/>
      <c r="CK82" s="215"/>
      <c r="CL82" s="215"/>
      <c r="CM82" s="215"/>
      <c r="CN82" s="215"/>
      <c r="CO82" s="215"/>
      <c r="CP82" s="215"/>
      <c r="CQ82" s="215"/>
      <c r="CR82" s="215"/>
      <c r="CS82" s="215"/>
      <c r="CT82" s="215"/>
      <c r="CU82" s="215"/>
      <c r="CV82" s="215"/>
      <c r="CW82" s="215"/>
    </row>
    <row r="83" spans="1:101" ht="13.5" thickBot="1">
      <c r="A83" s="235"/>
      <c r="B83" s="236"/>
      <c r="C83" s="225"/>
      <c r="D83" s="225"/>
      <c r="E83" s="225"/>
      <c r="F83" s="225"/>
      <c r="G83" s="225"/>
      <c r="H83" s="225"/>
      <c r="I83" s="225"/>
      <c r="J83" s="225"/>
      <c r="K83" s="225"/>
      <c r="L83" s="225"/>
      <c r="M83" s="225"/>
      <c r="N83" s="225"/>
      <c r="O83" s="237" t="s">
        <v>1318</v>
      </c>
      <c r="P83" s="238"/>
      <c r="Q83" s="238"/>
      <c r="R83" s="238"/>
      <c r="S83" s="238"/>
      <c r="T83" s="238"/>
      <c r="U83" s="238"/>
      <c r="V83" s="238"/>
      <c r="W83" s="238"/>
      <c r="X83" s="238"/>
      <c r="Y83" s="238"/>
      <c r="Z83" s="229"/>
      <c r="AA83" s="225"/>
      <c r="AB83" s="237" t="s">
        <v>1319</v>
      </c>
      <c r="AC83" s="238"/>
      <c r="AD83" s="238"/>
      <c r="AE83" s="238"/>
      <c r="AF83" s="238"/>
      <c r="AG83" s="238"/>
      <c r="AH83" s="238"/>
      <c r="AI83" s="238"/>
      <c r="AJ83" s="238"/>
      <c r="AK83" s="238"/>
      <c r="AL83" s="238"/>
      <c r="AM83" s="229"/>
      <c r="AN83" s="215"/>
      <c r="AO83" s="215"/>
      <c r="AP83" s="215"/>
      <c r="AQ83" s="215"/>
      <c r="AR83" s="215"/>
      <c r="AS83" s="215"/>
      <c r="AT83" s="215"/>
      <c r="AU83" s="215"/>
      <c r="AV83" s="215"/>
      <c r="AW83" s="215"/>
      <c r="AX83" s="215"/>
      <c r="AY83" s="215"/>
      <c r="AZ83" s="215"/>
      <c r="BA83" s="215"/>
      <c r="BB83" s="215"/>
      <c r="BC83" s="215"/>
      <c r="BD83" s="215"/>
      <c r="BE83" s="215"/>
      <c r="BF83" s="215"/>
      <c r="BG83" s="215"/>
      <c r="BH83" s="215"/>
      <c r="BI83" s="215"/>
      <c r="BJ83" s="215"/>
      <c r="BK83" s="215"/>
      <c r="BL83" s="215"/>
      <c r="BM83" s="215"/>
      <c r="BN83" s="215"/>
      <c r="BO83" s="215"/>
      <c r="BP83" s="215"/>
      <c r="BQ83" s="215"/>
      <c r="BR83" s="215"/>
      <c r="BS83" s="215"/>
      <c r="BT83" s="215"/>
      <c r="BU83" s="215"/>
      <c r="BV83" s="215"/>
      <c r="BW83" s="215"/>
      <c r="BX83" s="215"/>
      <c r="BY83" s="215"/>
      <c r="BZ83" s="215"/>
      <c r="CA83" s="215"/>
      <c r="CB83" s="215"/>
      <c r="CC83" s="215"/>
      <c r="CD83" s="215"/>
      <c r="CE83" s="215"/>
      <c r="CF83" s="215"/>
      <c r="CG83" s="215"/>
      <c r="CH83" s="215"/>
      <c r="CI83" s="215"/>
      <c r="CJ83" s="215"/>
      <c r="CK83" s="215"/>
      <c r="CL83" s="215"/>
      <c r="CM83" s="215"/>
      <c r="CN83" s="215"/>
      <c r="CO83" s="215"/>
      <c r="CP83" s="215"/>
      <c r="CQ83" s="215"/>
      <c r="CR83" s="215"/>
      <c r="CS83" s="215"/>
      <c r="CT83" s="215"/>
      <c r="CU83" s="215"/>
      <c r="CV83" s="215"/>
      <c r="CW83" s="215"/>
    </row>
    <row r="84" spans="1:101" ht="102">
      <c r="A84" s="214" t="s">
        <v>88</v>
      </c>
      <c r="B84" s="213" t="s">
        <v>195</v>
      </c>
      <c r="C84" s="220" t="s">
        <v>787</v>
      </c>
      <c r="D84" s="220" t="s">
        <v>741</v>
      </c>
      <c r="E84" s="220" t="s">
        <v>742</v>
      </c>
      <c r="F84" s="220" t="s">
        <v>743</v>
      </c>
      <c r="G84" s="220" t="s">
        <v>744</v>
      </c>
      <c r="H84" s="220" t="s">
        <v>745</v>
      </c>
      <c r="I84" s="220" t="s">
        <v>746</v>
      </c>
      <c r="J84" s="220" t="s">
        <v>747</v>
      </c>
      <c r="K84" s="220" t="s">
        <v>722</v>
      </c>
      <c r="L84" s="220" t="s">
        <v>721</v>
      </c>
      <c r="M84" s="220" t="s">
        <v>748</v>
      </c>
      <c r="N84" s="220" t="s">
        <v>1317</v>
      </c>
      <c r="O84" s="220" t="s">
        <v>749</v>
      </c>
      <c r="P84" s="220" t="s">
        <v>750</v>
      </c>
      <c r="Q84" s="220" t="s">
        <v>751</v>
      </c>
      <c r="R84" s="220" t="s">
        <v>752</v>
      </c>
      <c r="S84" s="220" t="s">
        <v>753</v>
      </c>
      <c r="T84" s="220" t="s">
        <v>754</v>
      </c>
      <c r="U84" s="220" t="s">
        <v>755</v>
      </c>
      <c r="V84" s="220" t="s">
        <v>756</v>
      </c>
      <c r="W84" s="220" t="s">
        <v>757</v>
      </c>
      <c r="X84" s="220" t="s">
        <v>758</v>
      </c>
      <c r="Y84" s="220" t="s">
        <v>759</v>
      </c>
      <c r="Z84" s="220" t="s">
        <v>760</v>
      </c>
      <c r="AA84" s="220"/>
      <c r="AB84" s="220" t="s">
        <v>749</v>
      </c>
      <c r="AC84" s="220" t="s">
        <v>750</v>
      </c>
      <c r="AD84" s="220" t="s">
        <v>751</v>
      </c>
      <c r="AE84" s="220" t="s">
        <v>752</v>
      </c>
      <c r="AF84" s="220" t="s">
        <v>753</v>
      </c>
      <c r="AG84" s="220" t="s">
        <v>754</v>
      </c>
      <c r="AH84" s="220" t="s">
        <v>755</v>
      </c>
      <c r="AI84" s="220" t="s">
        <v>756</v>
      </c>
      <c r="AJ84" s="220" t="s">
        <v>757</v>
      </c>
      <c r="AK84" s="220" t="s">
        <v>758</v>
      </c>
      <c r="AL84" s="220" t="s">
        <v>759</v>
      </c>
      <c r="AM84" s="220" t="s">
        <v>760</v>
      </c>
      <c r="AN84" s="215"/>
      <c r="AO84" s="215"/>
      <c r="AP84" s="215"/>
      <c r="AQ84" s="215"/>
      <c r="AR84" s="215"/>
      <c r="AS84" s="215"/>
      <c r="AT84" s="215"/>
      <c r="AU84" s="215"/>
      <c r="AV84" s="215"/>
      <c r="AW84" s="215"/>
      <c r="AX84" s="215"/>
      <c r="AY84" s="215"/>
      <c r="AZ84" s="215"/>
      <c r="BA84" s="215"/>
      <c r="BB84" s="215"/>
      <c r="BC84" s="215"/>
      <c r="BD84" s="215"/>
      <c r="BE84" s="215"/>
      <c r="BF84" s="215"/>
      <c r="BG84" s="215"/>
      <c r="BH84" s="215"/>
      <c r="BI84" s="215"/>
      <c r="BJ84" s="215"/>
      <c r="BK84" s="215"/>
      <c r="BL84" s="215"/>
      <c r="BM84" s="215"/>
      <c r="BN84" s="215"/>
      <c r="BO84" s="215"/>
      <c r="BP84" s="215"/>
      <c r="BQ84" s="215"/>
      <c r="BR84" s="215"/>
      <c r="BS84" s="215"/>
      <c r="BT84" s="215"/>
      <c r="BU84" s="215"/>
      <c r="BV84" s="215"/>
      <c r="BW84" s="215"/>
      <c r="BX84" s="215"/>
      <c r="BY84" s="215"/>
      <c r="BZ84" s="215"/>
      <c r="CA84" s="215"/>
      <c r="CB84" s="215"/>
      <c r="CC84" s="215"/>
      <c r="CD84" s="215"/>
      <c r="CE84" s="215"/>
      <c r="CF84" s="215"/>
      <c r="CG84" s="215"/>
      <c r="CH84" s="215"/>
      <c r="CI84" s="215"/>
      <c r="CJ84" s="215"/>
      <c r="CK84" s="215"/>
      <c r="CL84" s="215"/>
      <c r="CM84" s="215"/>
      <c r="CN84" s="215"/>
      <c r="CO84" s="215"/>
      <c r="CP84" s="215"/>
      <c r="CQ84" s="215"/>
      <c r="CR84" s="215"/>
      <c r="CS84" s="215"/>
      <c r="CT84" s="215"/>
      <c r="CU84" s="215"/>
      <c r="CV84" s="215"/>
      <c r="CW84" s="215"/>
    </row>
    <row r="85" spans="1:101">
      <c r="A85" t="s">
        <v>818</v>
      </c>
      <c r="C85" s="231">
        <v>1919877.8170155815</v>
      </c>
      <c r="D85" s="231">
        <v>403865.60653109004</v>
      </c>
      <c r="E85" s="231">
        <v>80773.121306218018</v>
      </c>
      <c r="F85" s="231">
        <v>484638.72783730808</v>
      </c>
      <c r="G85" s="231">
        <v>-21496.353769493362</v>
      </c>
      <c r="H85" s="231">
        <v>1225734.0180841472</v>
      </c>
      <c r="I85" s="231">
        <v>2211.304916504675</v>
      </c>
      <c r="J85" s="231">
        <v>4.3940275477090207</v>
      </c>
      <c r="K85" s="231">
        <v>-9.7450143525555539</v>
      </c>
      <c r="L85" s="222">
        <v>2.7221180311715329</v>
      </c>
      <c r="M85" s="231">
        <v>18239.027583664199</v>
      </c>
      <c r="N85" s="231">
        <v>301.66655539184569</v>
      </c>
      <c r="O85" s="231">
        <v>97290.651433383333</v>
      </c>
      <c r="P85" s="231">
        <v>92191.019670337948</v>
      </c>
      <c r="Q85" s="231">
        <v>110644.89060651834</v>
      </c>
      <c r="R85" s="231">
        <v>105140.27759107649</v>
      </c>
      <c r="S85" s="231">
        <v>117019.71361876006</v>
      </c>
      <c r="T85" s="231">
        <v>130764.62942774214</v>
      </c>
      <c r="U85" s="231">
        <v>138105.28211550586</v>
      </c>
      <c r="V85" s="231">
        <v>148547.07380731407</v>
      </c>
      <c r="W85" s="231">
        <v>126896.95067841462</v>
      </c>
      <c r="X85" s="231">
        <v>123910.484592707</v>
      </c>
      <c r="Y85" s="231">
        <v>98259.922985126977</v>
      </c>
      <c r="Z85" s="231">
        <v>97124.988061280863</v>
      </c>
      <c r="AA85" s="231"/>
      <c r="AB85" s="231">
        <v>36785.648635028869</v>
      </c>
      <c r="AC85" s="231">
        <v>31819.844767578335</v>
      </c>
      <c r="AD85" s="231">
        <v>33881.087771454389</v>
      </c>
      <c r="AE85" s="231">
        <v>40621.410218655081</v>
      </c>
      <c r="AF85" s="231">
        <v>45408.431408737073</v>
      </c>
      <c r="AG85" s="231">
        <v>50659.142080846977</v>
      </c>
      <c r="AH85" s="231">
        <v>62395.964807744705</v>
      </c>
      <c r="AI85" s="231">
        <v>57958.12327198463</v>
      </c>
      <c r="AJ85" s="231">
        <v>59233.065908967023</v>
      </c>
      <c r="AK85" s="231">
        <v>43679.887094824509</v>
      </c>
      <c r="AL85" s="231">
        <v>34691.69706865841</v>
      </c>
      <c r="AM85" s="215">
        <v>36847.629392933617</v>
      </c>
      <c r="AN85" s="215"/>
      <c r="AO85" s="215"/>
      <c r="AP85" s="215"/>
      <c r="AQ85" s="215"/>
      <c r="AR85" s="215"/>
      <c r="AS85" s="215"/>
      <c r="AT85" s="215"/>
      <c r="AU85" s="215"/>
      <c r="AV85" s="215"/>
      <c r="AW85" s="215"/>
      <c r="AX85" s="215"/>
      <c r="AY85" s="215"/>
      <c r="AZ85" s="215"/>
      <c r="BA85" s="215"/>
      <c r="BB85" s="215"/>
      <c r="BC85" s="215"/>
      <c r="BD85" s="215"/>
      <c r="BE85" s="215"/>
      <c r="BF85" s="215"/>
      <c r="BG85" s="215"/>
      <c r="BH85" s="215"/>
      <c r="BI85" s="215"/>
      <c r="BJ85" s="215"/>
      <c r="BK85" s="215"/>
      <c r="BL85" s="215"/>
      <c r="BM85" s="215"/>
      <c r="BN85" s="215"/>
      <c r="BO85" s="215"/>
      <c r="BP85" s="215"/>
      <c r="BQ85" s="215"/>
      <c r="BR85" s="215"/>
      <c r="BS85" s="215"/>
      <c r="BT85" s="215"/>
      <c r="BU85" s="215"/>
      <c r="BV85" s="215"/>
      <c r="BW85" s="215"/>
      <c r="BX85" s="215"/>
      <c r="BY85" s="215"/>
      <c r="BZ85" s="215"/>
      <c r="CA85" s="215"/>
      <c r="CB85" s="215"/>
      <c r="CC85" s="215"/>
      <c r="CD85" s="215"/>
      <c r="CE85" s="215"/>
      <c r="CF85" s="215"/>
      <c r="CG85" s="215"/>
      <c r="CH85" s="215"/>
      <c r="CI85" s="215"/>
      <c r="CJ85" s="215"/>
      <c r="CK85" s="215"/>
      <c r="CL85" s="215"/>
      <c r="CM85" s="215"/>
      <c r="CN85" s="215"/>
      <c r="CO85" s="215"/>
      <c r="CP85" s="215"/>
      <c r="CQ85" s="215"/>
      <c r="CR85" s="215"/>
      <c r="CS85" s="215"/>
      <c r="CT85" s="215"/>
      <c r="CU85" s="215"/>
      <c r="CV85" s="215"/>
      <c r="CW85" s="215"/>
    </row>
    <row r="86" spans="1:101">
      <c r="A86" t="s">
        <v>814</v>
      </c>
      <c r="C86" s="231">
        <v>172927.81861352207</v>
      </c>
      <c r="D86" s="231">
        <v>87957.789587314182</v>
      </c>
      <c r="E86" s="231">
        <v>17591.557917462836</v>
      </c>
      <c r="F86" s="231">
        <v>105549.34750477702</v>
      </c>
      <c r="G86" s="231">
        <v>90562.12473118215</v>
      </c>
      <c r="H86" s="231">
        <v>110404.68725096947</v>
      </c>
      <c r="I86" s="231">
        <v>5346.8105453193211</v>
      </c>
      <c r="J86" s="231">
        <v>23.274183085514672</v>
      </c>
      <c r="K86" s="231">
        <v>29.613549308799591</v>
      </c>
      <c r="L86" s="222">
        <v>1.1257988168114812</v>
      </c>
      <c r="M86" s="231">
        <v>1642.8312394263703</v>
      </c>
      <c r="N86" s="231">
        <v>27.171801721038236</v>
      </c>
      <c r="O86" s="231">
        <v>8763.1931442473524</v>
      </c>
      <c r="P86" s="231">
        <v>8303.8575611702381</v>
      </c>
      <c r="Q86" s="231">
        <v>9966.0402363832873</v>
      </c>
      <c r="R86" s="231">
        <v>9470.227058776145</v>
      </c>
      <c r="S86" s="231">
        <v>10540.235233473197</v>
      </c>
      <c r="T86" s="231">
        <v>11778.271470366963</v>
      </c>
      <c r="U86" s="231">
        <v>12439.460971721654</v>
      </c>
      <c r="V86" s="231">
        <v>13379.977208576813</v>
      </c>
      <c r="W86" s="231">
        <v>11429.900733806879</v>
      </c>
      <c r="X86" s="231">
        <v>11160.902852281539</v>
      </c>
      <c r="Y86" s="231">
        <v>8850.4976662339268</v>
      </c>
      <c r="Z86" s="231">
        <v>8748.2714626132711</v>
      </c>
      <c r="AA86" s="231"/>
      <c r="AB86" s="231">
        <v>3313.3681312217595</v>
      </c>
      <c r="AC86" s="231">
        <v>2866.0867350568269</v>
      </c>
      <c r="AD86" s="231">
        <v>3051.7476417736716</v>
      </c>
      <c r="AE86" s="231">
        <v>3658.8640151260456</v>
      </c>
      <c r="AF86" s="231">
        <v>4090.0420436030877</v>
      </c>
      <c r="AG86" s="231">
        <v>4562.9856521240554</v>
      </c>
      <c r="AH86" s="231">
        <v>5620.1483182207185</v>
      </c>
      <c r="AI86" s="231">
        <v>5220.4217057613769</v>
      </c>
      <c r="AJ86" s="231">
        <v>5335.2587266992296</v>
      </c>
      <c r="AK86" s="231">
        <v>3934.3480744700091</v>
      </c>
      <c r="AL86" s="231">
        <v>3124.7610889164871</v>
      </c>
      <c r="AM86" s="215">
        <v>3318.9508808975402</v>
      </c>
      <c r="AN86" s="215"/>
      <c r="AO86" s="215"/>
      <c r="AP86" s="215"/>
      <c r="AQ86" s="215"/>
      <c r="AR86" s="215"/>
      <c r="AS86" s="215"/>
      <c r="AT86" s="215"/>
      <c r="AU86" s="215"/>
      <c r="AV86" s="215"/>
      <c r="AW86" s="215"/>
      <c r="AX86" s="215"/>
      <c r="AY86" s="215"/>
      <c r="AZ86" s="215"/>
      <c r="BA86" s="215"/>
      <c r="BB86" s="215"/>
      <c r="BC86" s="215"/>
      <c r="BD86" s="215"/>
      <c r="BE86" s="215"/>
      <c r="BF86" s="215"/>
      <c r="BG86" s="215"/>
      <c r="BH86" s="215"/>
      <c r="BI86" s="215"/>
      <c r="BJ86" s="215"/>
      <c r="BK86" s="215"/>
      <c r="BL86" s="215"/>
      <c r="BM86" s="215"/>
      <c r="BN86" s="215"/>
      <c r="BO86" s="215"/>
      <c r="BP86" s="215"/>
      <c r="BQ86" s="215"/>
      <c r="BR86" s="215"/>
      <c r="BS86" s="215"/>
      <c r="BT86" s="215"/>
      <c r="BU86" s="215"/>
      <c r="BV86" s="215"/>
      <c r="BW86" s="215"/>
      <c r="BX86" s="215"/>
      <c r="BY86" s="215"/>
      <c r="BZ86" s="215"/>
      <c r="CA86" s="215"/>
      <c r="CB86" s="215"/>
      <c r="CC86" s="215"/>
      <c r="CD86" s="215"/>
      <c r="CE86" s="215"/>
      <c r="CF86" s="215"/>
      <c r="CG86" s="215"/>
      <c r="CH86" s="215"/>
      <c r="CI86" s="215"/>
      <c r="CJ86" s="215"/>
      <c r="CK86" s="215"/>
      <c r="CL86" s="215"/>
      <c r="CM86" s="215"/>
      <c r="CN86" s="215"/>
      <c r="CO86" s="215"/>
      <c r="CP86" s="215"/>
      <c r="CQ86" s="215"/>
      <c r="CR86" s="215"/>
      <c r="CS86" s="215"/>
      <c r="CT86" s="215"/>
      <c r="CU86" s="215"/>
      <c r="CV86" s="215"/>
      <c r="CW86" s="215"/>
    </row>
    <row r="87" spans="1:101">
      <c r="A87" t="s">
        <v>816</v>
      </c>
      <c r="C87" s="231">
        <v>601866.66038199991</v>
      </c>
      <c r="D87" s="231">
        <v>352479.10968386155</v>
      </c>
      <c r="E87" s="231">
        <v>70495.821936772307</v>
      </c>
      <c r="F87" s="231">
        <v>422974.93162063387</v>
      </c>
      <c r="G87" s="231">
        <v>398308.81175674236</v>
      </c>
      <c r="H87" s="231">
        <v>384258.01550626912</v>
      </c>
      <c r="I87" s="231">
        <v>6156.2811913274172</v>
      </c>
      <c r="J87" s="231">
        <v>28.148335298629487</v>
      </c>
      <c r="K87" s="231">
        <v>39.774462961808133</v>
      </c>
      <c r="L87" s="223">
        <v>0.97777096246276674</v>
      </c>
      <c r="M87" s="231">
        <v>5717.7923111062419</v>
      </c>
      <c r="N87" s="231">
        <v>94.57010265625577</v>
      </c>
      <c r="O87" s="231">
        <v>30499.857306348797</v>
      </c>
      <c r="P87" s="231">
        <v>28901.16268568108</v>
      </c>
      <c r="Q87" s="231">
        <v>34686.306705285737</v>
      </c>
      <c r="R87" s="231">
        <v>32960.653633545298</v>
      </c>
      <c r="S87" s="231">
        <v>36684.763796096064</v>
      </c>
      <c r="T87" s="231">
        <v>40993.687260842089</v>
      </c>
      <c r="U87" s="231">
        <v>43294.924391169661</v>
      </c>
      <c r="V87" s="231">
        <v>46568.34431313238</v>
      </c>
      <c r="W87" s="231">
        <v>39781.200262108621</v>
      </c>
      <c r="X87" s="231">
        <v>38844.966532327278</v>
      </c>
      <c r="Y87" s="231">
        <v>30803.716347106958</v>
      </c>
      <c r="Z87" s="231">
        <v>30447.923136564008</v>
      </c>
      <c r="AA87" s="231"/>
      <c r="AB87" s="231">
        <v>11532.012765461737</v>
      </c>
      <c r="AC87" s="231">
        <v>9975.2721420087109</v>
      </c>
      <c r="AD87" s="231">
        <v>10621.455681389943</v>
      </c>
      <c r="AE87" s="231">
        <v>12734.493982702626</v>
      </c>
      <c r="AF87" s="231">
        <v>14235.187636911942</v>
      </c>
      <c r="AG87" s="231">
        <v>15881.244312418219</v>
      </c>
      <c r="AH87" s="231">
        <v>19560.646322028584</v>
      </c>
      <c r="AI87" s="231">
        <v>18169.417754897968</v>
      </c>
      <c r="AJ87" s="231">
        <v>18569.102287058478</v>
      </c>
      <c r="AK87" s="231">
        <v>13693.302531351392</v>
      </c>
      <c r="AL87" s="231">
        <v>10875.575347891003</v>
      </c>
      <c r="AM87" s="215">
        <v>11551.443247671312</v>
      </c>
      <c r="AN87" s="215"/>
      <c r="AO87" s="215"/>
      <c r="AP87" s="215"/>
      <c r="AQ87" s="215"/>
      <c r="AR87" s="215"/>
      <c r="AS87" s="215"/>
      <c r="AT87" s="215"/>
      <c r="AU87" s="215"/>
      <c r="AV87" s="215"/>
      <c r="AW87" s="215"/>
      <c r="AX87" s="215"/>
      <c r="AY87" s="215"/>
      <c r="AZ87" s="215"/>
      <c r="BA87" s="215"/>
      <c r="BB87" s="215"/>
      <c r="BC87" s="215"/>
      <c r="BD87" s="215"/>
      <c r="BE87" s="215"/>
      <c r="BF87" s="215"/>
      <c r="BG87" s="215"/>
      <c r="BH87" s="215"/>
      <c r="BI87" s="215"/>
      <c r="BJ87" s="215"/>
      <c r="BK87" s="215"/>
      <c r="BL87" s="215"/>
      <c r="BM87" s="215"/>
      <c r="BN87" s="215"/>
      <c r="BO87" s="215"/>
      <c r="BP87" s="215"/>
      <c r="BQ87" s="215"/>
      <c r="BR87" s="215"/>
      <c r="BS87" s="215"/>
      <c r="BT87" s="215"/>
      <c r="BU87" s="215"/>
      <c r="BV87" s="215"/>
      <c r="BW87" s="215"/>
      <c r="BX87" s="215"/>
      <c r="BY87" s="215"/>
      <c r="BZ87" s="215"/>
      <c r="CA87" s="215"/>
      <c r="CB87" s="215"/>
      <c r="CC87" s="215"/>
      <c r="CD87" s="215"/>
      <c r="CE87" s="215"/>
      <c r="CF87" s="215"/>
      <c r="CG87" s="215"/>
      <c r="CH87" s="215"/>
      <c r="CI87" s="215"/>
      <c r="CJ87" s="215"/>
      <c r="CK87" s="215"/>
      <c r="CL87" s="215"/>
      <c r="CM87" s="215"/>
      <c r="CN87" s="215"/>
      <c r="CO87" s="215"/>
      <c r="CP87" s="215"/>
      <c r="CQ87" s="215"/>
      <c r="CR87" s="215"/>
      <c r="CS87" s="215"/>
      <c r="CT87" s="215"/>
      <c r="CU87" s="215"/>
      <c r="CV87" s="215"/>
      <c r="CW87" s="215"/>
    </row>
    <row r="88" spans="1:101">
      <c r="C88" s="215"/>
      <c r="D88" s="215"/>
      <c r="E88" s="215"/>
      <c r="F88" s="215"/>
      <c r="G88" s="215"/>
      <c r="H88" s="215"/>
      <c r="I88" s="215"/>
      <c r="J88" s="215"/>
      <c r="K88" s="215"/>
      <c r="L88" s="215"/>
      <c r="M88" s="215"/>
      <c r="N88" s="215"/>
      <c r="O88" s="215"/>
      <c r="P88" s="215"/>
      <c r="Q88" s="215"/>
      <c r="R88" s="215"/>
      <c r="S88" s="215"/>
      <c r="T88" s="215"/>
      <c r="U88" s="215"/>
      <c r="V88" s="215"/>
      <c r="W88" s="215"/>
      <c r="X88" s="215"/>
      <c r="Y88" s="215"/>
      <c r="Z88" s="215"/>
      <c r="AA88" s="215"/>
      <c r="AB88" s="215"/>
      <c r="AC88" s="215"/>
      <c r="AD88" s="215"/>
      <c r="AE88" s="215"/>
      <c r="AF88" s="215"/>
      <c r="AG88" s="215"/>
      <c r="AH88" s="215"/>
      <c r="AI88" s="215"/>
      <c r="AJ88" s="215"/>
      <c r="AK88" s="215"/>
      <c r="AL88" s="215"/>
      <c r="AM88" s="215"/>
      <c r="AN88" s="215"/>
      <c r="AO88" s="215"/>
      <c r="AP88" s="215"/>
      <c r="AQ88" s="215"/>
      <c r="AR88" s="215"/>
      <c r="AS88" s="215"/>
      <c r="AT88" s="215"/>
      <c r="AU88" s="215"/>
      <c r="AV88" s="215"/>
      <c r="AW88" s="215"/>
      <c r="AX88" s="215"/>
      <c r="AY88" s="215"/>
      <c r="AZ88" s="215"/>
      <c r="BA88" s="215"/>
      <c r="BB88" s="215"/>
      <c r="BC88" s="215"/>
      <c r="BD88" s="215"/>
      <c r="BE88" s="215"/>
      <c r="BF88" s="215"/>
      <c r="BG88" s="215"/>
      <c r="BH88" s="215"/>
      <c r="BI88" s="215"/>
      <c r="BJ88" s="215"/>
      <c r="BK88" s="215"/>
      <c r="BL88" s="215"/>
      <c r="BM88" s="215"/>
      <c r="BN88" s="215"/>
      <c r="BO88" s="215"/>
      <c r="BP88" s="215"/>
      <c r="BQ88" s="215"/>
      <c r="BR88" s="215"/>
      <c r="BS88" s="215"/>
      <c r="BT88" s="215"/>
      <c r="BU88" s="215"/>
      <c r="BV88" s="215"/>
      <c r="BW88" s="215"/>
      <c r="BX88" s="215"/>
      <c r="BY88" s="215"/>
      <c r="BZ88" s="215"/>
      <c r="CA88" s="215"/>
      <c r="CB88" s="215"/>
      <c r="CC88" s="215"/>
      <c r="CD88" s="215"/>
      <c r="CE88" s="215"/>
      <c r="CF88" s="215"/>
      <c r="CG88" s="215"/>
      <c r="CH88" s="215"/>
      <c r="CI88" s="215"/>
      <c r="CJ88" s="215"/>
      <c r="CK88" s="215"/>
      <c r="CL88" s="215"/>
      <c r="CM88" s="215"/>
      <c r="CN88" s="215"/>
      <c r="CO88" s="215"/>
      <c r="CP88" s="215"/>
      <c r="CQ88" s="215"/>
      <c r="CR88" s="215"/>
      <c r="CS88" s="215"/>
      <c r="CT88" s="215"/>
      <c r="CU88" s="215"/>
      <c r="CV88" s="215"/>
      <c r="CW88" s="215"/>
    </row>
  </sheetData>
  <sortState ref="A84:AL87">
    <sortCondition descending="1" ref="L84"/>
  </sortState>
  <dataConsolidate/>
  <mergeCells count="3">
    <mergeCell ref="O6:P6"/>
    <mergeCell ref="I6:N6"/>
    <mergeCell ref="R6:T6"/>
  </mergeCells>
  <phoneticPr fontId="6" type="noConversion"/>
  <pageMargins left="0.75" right="0.75" top="1" bottom="1" header="0.5" footer="0.5"/>
  <pageSetup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sheetPr codeName="Sheet11"/>
  <dimension ref="A1:AA22"/>
  <sheetViews>
    <sheetView zoomScale="90" zoomScaleNormal="90" workbookViewId="0">
      <selection activeCell="O36" sqref="O36"/>
    </sheetView>
  </sheetViews>
  <sheetFormatPr defaultRowHeight="15"/>
  <cols>
    <col min="1" max="1" width="54.28515625" style="560" bestFit="1" customWidth="1"/>
    <col min="2" max="2" width="23.7109375" style="560" customWidth="1"/>
    <col min="3" max="3" width="12.28515625" style="560" customWidth="1"/>
    <col min="4" max="4" width="14.28515625" style="560" customWidth="1"/>
    <col min="5" max="5" width="11.140625" style="560" customWidth="1"/>
    <col min="6" max="6" width="9.85546875" style="560" customWidth="1"/>
    <col min="7" max="7" width="14.5703125" style="560" customWidth="1"/>
    <col min="8" max="8" width="13" style="560" customWidth="1"/>
    <col min="9" max="9" width="16.28515625" style="560" customWidth="1"/>
    <col min="10" max="10" width="12.140625" style="560" customWidth="1"/>
    <col min="11" max="11" width="12.7109375" style="560" customWidth="1"/>
    <col min="12" max="12" width="13.42578125" style="560" customWidth="1"/>
    <col min="13" max="13" width="11.42578125" style="560" customWidth="1"/>
    <col min="14" max="14" width="14.28515625" style="560" customWidth="1"/>
    <col min="15" max="15" width="9.85546875" style="560" customWidth="1"/>
    <col min="16" max="16" width="10.42578125" style="560" customWidth="1"/>
    <col min="17" max="17" width="13.28515625" style="560" customWidth="1"/>
    <col min="18" max="18" width="9" style="560" bestFit="1" customWidth="1"/>
    <col min="19" max="19" width="10.5703125" style="560" bestFit="1" customWidth="1"/>
    <col min="20" max="20" width="11.7109375" style="560" bestFit="1" customWidth="1"/>
    <col min="21" max="21" width="13.28515625" style="560" bestFit="1" customWidth="1"/>
    <col min="22" max="22" width="12.140625" style="560" bestFit="1" customWidth="1"/>
    <col min="23" max="23" width="10.5703125" style="560" bestFit="1" customWidth="1"/>
    <col min="24" max="24" width="9.140625" style="560"/>
    <col min="25" max="25" width="12.140625" style="560" customWidth="1"/>
    <col min="26" max="26" width="12.85546875" style="560" customWidth="1"/>
    <col min="27" max="27" width="11.7109375" style="560" customWidth="1"/>
    <col min="28" max="28" width="9.140625" style="560"/>
    <col min="29" max="29" width="12.85546875" style="560" customWidth="1"/>
    <col min="30" max="30" width="11.7109375" style="560" customWidth="1"/>
    <col min="31" max="16384" width="9.140625" style="560"/>
  </cols>
  <sheetData>
    <row r="1" spans="1:27" ht="15.75" thickBot="1">
      <c r="X1" s="561"/>
      <c r="Y1" s="561"/>
      <c r="Z1" s="561"/>
      <c r="AA1" s="561"/>
    </row>
    <row r="2" spans="1:27" s="498" customFormat="1" ht="90">
      <c r="A2" s="562" t="s">
        <v>789</v>
      </c>
      <c r="B2" s="563" t="s">
        <v>790</v>
      </c>
      <c r="C2" s="563" t="s">
        <v>791</v>
      </c>
      <c r="D2" s="563" t="s">
        <v>792</v>
      </c>
      <c r="E2" s="563" t="s">
        <v>793</v>
      </c>
      <c r="F2" s="563" t="s">
        <v>794</v>
      </c>
      <c r="G2" s="563" t="s">
        <v>795</v>
      </c>
      <c r="H2" s="563" t="s">
        <v>1208</v>
      </c>
      <c r="I2" s="563" t="s">
        <v>797</v>
      </c>
      <c r="J2" s="563" t="s">
        <v>798</v>
      </c>
      <c r="K2" s="563" t="s">
        <v>799</v>
      </c>
      <c r="L2" s="563" t="s">
        <v>800</v>
      </c>
      <c r="M2" s="563" t="s">
        <v>801</v>
      </c>
      <c r="N2" s="563" t="s">
        <v>802</v>
      </c>
      <c r="O2" s="563" t="s">
        <v>803</v>
      </c>
      <c r="P2" s="563" t="s">
        <v>804</v>
      </c>
      <c r="Q2" s="563" t="s">
        <v>805</v>
      </c>
      <c r="R2" s="563" t="s">
        <v>806</v>
      </c>
      <c r="S2" s="563" t="s">
        <v>807</v>
      </c>
      <c r="T2" s="563" t="s">
        <v>808</v>
      </c>
      <c r="U2" s="563" t="s">
        <v>809</v>
      </c>
      <c r="V2" s="563" t="s">
        <v>810</v>
      </c>
      <c r="W2" s="563" t="s">
        <v>811</v>
      </c>
      <c r="X2" s="493"/>
      <c r="Y2" s="511" t="s">
        <v>1170</v>
      </c>
      <c r="Z2" s="511" t="s">
        <v>812</v>
      </c>
      <c r="AA2" s="511" t="s">
        <v>813</v>
      </c>
    </row>
    <row r="3" spans="1:27" s="498" customFormat="1">
      <c r="A3" s="494" t="s">
        <v>814</v>
      </c>
      <c r="B3" s="564" t="s">
        <v>815</v>
      </c>
      <c r="C3" s="565">
        <f>Data!F47</f>
        <v>907.69947527328986</v>
      </c>
      <c r="D3" s="565">
        <f>Data!G44</f>
        <v>204.87512365090117</v>
      </c>
      <c r="E3" s="565">
        <f>Data!G38</f>
        <v>119.1515834559565</v>
      </c>
      <c r="F3" s="566">
        <f>E3/C3</f>
        <v>0.13126765708450186</v>
      </c>
      <c r="G3" s="588">
        <f>[10]WWPivotRslts!G11</f>
        <v>2.1148698331940725</v>
      </c>
      <c r="H3" s="565">
        <f>G3*E3/8.76</f>
        <v>28.765991943870812</v>
      </c>
      <c r="I3" s="492">
        <f>[10]WWPivotRslts!R11/1000000</f>
        <v>1.2929444253694444</v>
      </c>
      <c r="J3" s="495">
        <f>I3*E3/8.76-D12</f>
        <v>16.6406327112784</v>
      </c>
      <c r="K3" s="567">
        <f>J3/H3</f>
        <v>0.57848283986688764</v>
      </c>
      <c r="L3" s="496">
        <f>H3*8760000/C3</f>
        <v>277614.00804207718</v>
      </c>
      <c r="M3" s="516">
        <f>L3*K3</f>
        <v>160594.93975900981</v>
      </c>
      <c r="N3" s="497">
        <f>E3/$E$6</f>
        <v>7.6158824769766209E-2</v>
      </c>
      <c r="O3" s="497">
        <f>H3/$H$6</f>
        <v>0.20600886400066287</v>
      </c>
      <c r="P3" s="497">
        <f>J3/$J$6</f>
        <v>0.4478282100627391</v>
      </c>
      <c r="R3" s="509">
        <f>[10]WWPivotRslts!Q11*$R$8</f>
        <v>0.54621660677157668</v>
      </c>
      <c r="S3" s="499">
        <f>Data!$AB$149</f>
        <v>3.0692941769048975E-2</v>
      </c>
      <c r="T3" s="500">
        <f>R3*M3</f>
        <v>87719.623059852107</v>
      </c>
      <c r="U3" s="500">
        <f>S3*M3</f>
        <v>4929.1311344272162</v>
      </c>
      <c r="V3" s="501">
        <f>T3/F3</f>
        <v>668250.08542190806</v>
      </c>
      <c r="W3" s="501">
        <f>U3/F3</f>
        <v>37550.23319456484</v>
      </c>
      <c r="Y3" s="502">
        <f>I12*N3*1000000</f>
        <v>93173.917685940076</v>
      </c>
      <c r="Z3" s="501">
        <f>V3*N3</f>
        <v>50893.141158028397</v>
      </c>
      <c r="AA3" s="501">
        <f>W3*N3</f>
        <v>2859.7816299287219</v>
      </c>
    </row>
    <row r="4" spans="1:27" s="498" customFormat="1">
      <c r="A4" s="494" t="s">
        <v>816</v>
      </c>
      <c r="B4" s="564" t="s">
        <v>817</v>
      </c>
      <c r="C4" s="565">
        <f>Data!F48</f>
        <v>210.62398982802074</v>
      </c>
      <c r="D4" s="565">
        <f>Data!G45</f>
        <v>701.14945581349662</v>
      </c>
      <c r="E4" s="565">
        <f>Data!G39</f>
        <v>430.01880117542743</v>
      </c>
      <c r="F4" s="566">
        <f>E4/C4</f>
        <v>2.0416420823029111</v>
      </c>
      <c r="G4" s="588">
        <f>[10]WWPivotRslts!G12</f>
        <v>0.86509305004896886</v>
      </c>
      <c r="H4" s="565">
        <f>G4*E4/8.76</f>
        <v>42.466469895804984</v>
      </c>
      <c r="I4" s="492">
        <f>[10]WWPivotRslts!R12/1000000</f>
        <v>0.289329959828246</v>
      </c>
      <c r="J4" s="495">
        <f>I4*E4/8.76-D13</f>
        <v>13.439125502123121</v>
      </c>
      <c r="K4" s="567">
        <f>J4/H4</f>
        <v>0.31646439026123746</v>
      </c>
      <c r="L4" s="496">
        <f>H4*8760000/C4</f>
        <v>1766210.3760877533</v>
      </c>
      <c r="M4" s="516">
        <f>L4*K4</f>
        <v>558942.6897416818</v>
      </c>
      <c r="N4" s="497">
        <f>E4/$E$6</f>
        <v>0.27485766933622002</v>
      </c>
      <c r="O4" s="497">
        <f>H4/$H$6</f>
        <v>0.30412541442768409</v>
      </c>
      <c r="P4" s="497">
        <f>J4/$J$6</f>
        <v>0.36167011332118681</v>
      </c>
      <c r="R4" s="509">
        <f>[10]WWPivotRslts!Q12*$R$8</f>
        <v>0.62891007529755616</v>
      </c>
      <c r="S4" s="499">
        <f>Data!$AB$149</f>
        <v>3.0692941769048975E-2</v>
      </c>
      <c r="T4" s="500">
        <f>R4*M4</f>
        <v>351524.68909245968</v>
      </c>
      <c r="U4" s="500">
        <f>S4*M4</f>
        <v>17155.595428477049</v>
      </c>
      <c r="V4" s="501">
        <f>T4/F4</f>
        <v>172177.43116655902</v>
      </c>
      <c r="W4" s="501">
        <f>U4/F4</f>
        <v>8402.8417993451876</v>
      </c>
      <c r="Y4" s="502">
        <f>I13*N4*1000000</f>
        <v>75248.098737084671</v>
      </c>
      <c r="Z4" s="501">
        <f>V4*N4</f>
        <v>47324.287442737863</v>
      </c>
      <c r="AA4" s="501">
        <f>W4*N4</f>
        <v>2309.5855127689874</v>
      </c>
    </row>
    <row r="5" spans="1:27" s="498" customFormat="1">
      <c r="A5" s="494" t="s">
        <v>818</v>
      </c>
      <c r="B5" s="564" t="s">
        <v>819</v>
      </c>
      <c r="C5" s="565">
        <f>Data!F49</f>
        <v>34.779289971757997</v>
      </c>
      <c r="D5" s="565">
        <f>Data!G46</f>
        <v>1309.665929695248</v>
      </c>
      <c r="E5" s="565">
        <f>Data!G40</f>
        <v>1015.344086490782</v>
      </c>
      <c r="F5" s="566">
        <f>E5/C5</f>
        <v>29.19392797596722</v>
      </c>
      <c r="G5" s="588">
        <f>[10]WWPivotRslts!G13</f>
        <v>0.59014857162061585</v>
      </c>
      <c r="H5" s="565">
        <f>G5*E5/8.76</f>
        <v>68.40226739109292</v>
      </c>
      <c r="I5" s="492">
        <f>[10]WWPivotRslts!R13/1000000</f>
        <v>6.4543689476496399E-2</v>
      </c>
      <c r="J5" s="495">
        <f>I5*E5/8.76-D14</f>
        <v>7.0787600249808005</v>
      </c>
      <c r="K5" s="567">
        <f>J5/H5</f>
        <v>0.1034872131432089</v>
      </c>
      <c r="L5" s="496">
        <f>H5*8760000/C5</f>
        <v>17228754.895012189</v>
      </c>
      <c r="M5" s="516">
        <f>L5*K5</f>
        <v>1782955.83001223</v>
      </c>
      <c r="N5" s="497">
        <f>E5/$E$6</f>
        <v>0.64898350589401377</v>
      </c>
      <c r="O5" s="497">
        <f>H5/$H$6</f>
        <v>0.4898657215716532</v>
      </c>
      <c r="P5" s="497">
        <f>J5/$J$6</f>
        <v>0.19050167661607412</v>
      </c>
      <c r="R5" s="509">
        <f>[10]WWPivotRslts!Q13*$R$8</f>
        <v>0.22590130280338055</v>
      </c>
      <c r="S5" s="499">
        <f>Data!$AB$149</f>
        <v>3.0692941769048975E-2</v>
      </c>
      <c r="T5" s="500">
        <f>R5*M5</f>
        <v>402772.04484064545</v>
      </c>
      <c r="U5" s="500">
        <f>S5*M5</f>
        <v>54724.159467351761</v>
      </c>
      <c r="V5" s="501">
        <f>T5/F5</f>
        <v>13796.432092735588</v>
      </c>
      <c r="W5" s="501">
        <f>U5/F5</f>
        <v>1874.5048460899582</v>
      </c>
      <c r="Y5" s="502">
        <f>I14*N5*1000000</f>
        <v>39635.259988585771</v>
      </c>
      <c r="Z5" s="501">
        <f>V5*N5</f>
        <v>8953.6568683722271</v>
      </c>
      <c r="AA5" s="501">
        <f>W5*N5</f>
        <v>1216.5227268307797</v>
      </c>
    </row>
    <row r="6" spans="1:27" s="498" customFormat="1" ht="15.75" thickBot="1">
      <c r="A6" s="503" t="s">
        <v>221</v>
      </c>
      <c r="B6" s="568" t="s">
        <v>221</v>
      </c>
      <c r="C6" s="504">
        <f>SUM(C3:C5)</f>
        <v>1153.1027550730687</v>
      </c>
      <c r="D6" s="504">
        <f>SUM(D3:D5)</f>
        <v>2215.6905091596459</v>
      </c>
      <c r="E6" s="504">
        <f>SUM(E3:E5)</f>
        <v>1564.514471122166</v>
      </c>
      <c r="F6" s="491">
        <f>E6/C6</f>
        <v>1.3567866907256043</v>
      </c>
      <c r="G6" s="504"/>
      <c r="H6" s="504">
        <f>SUM(H3:H5)</f>
        <v>139.6347292307687</v>
      </c>
      <c r="I6" s="505"/>
      <c r="J6" s="504">
        <f>SUM(J3:J5)</f>
        <v>37.158518238382321</v>
      </c>
      <c r="K6" s="505"/>
      <c r="L6" s="504"/>
      <c r="M6" s="504"/>
      <c r="N6" s="504"/>
      <c r="O6" s="504"/>
      <c r="P6" s="504"/>
      <c r="Q6" s="506">
        <f>E6/Data!E35</f>
        <v>0.12759617002773219</v>
      </c>
      <c r="R6" s="504"/>
      <c r="S6" s="504"/>
      <c r="T6" s="504"/>
      <c r="U6" s="504"/>
      <c r="V6" s="504"/>
      <c r="W6" s="504"/>
      <c r="X6" s="510"/>
      <c r="Y6" s="510"/>
      <c r="Z6" s="510"/>
      <c r="AA6" s="510"/>
    </row>
    <row r="7" spans="1:27">
      <c r="I7" s="508">
        <f>I3/G3</f>
        <v>0.61135886713969523</v>
      </c>
      <c r="J7" s="569"/>
    </row>
    <row r="8" spans="1:27">
      <c r="D8" s="560" t="s">
        <v>1157</v>
      </c>
      <c r="E8" s="515">
        <f>E6*0.85</f>
        <v>1329.8373004538412</v>
      </c>
      <c r="I8" s="508">
        <f t="shared" ref="I8:I9" si="0">I4/G4</f>
        <v>0.3344495251832949</v>
      </c>
      <c r="J8" s="570"/>
      <c r="Q8" s="571"/>
      <c r="R8" s="572">
        <v>1.107352410306802</v>
      </c>
      <c r="S8" s="560" t="s">
        <v>1165</v>
      </c>
      <c r="Y8" s="249">
        <f>SUM(Y3:Y5)</f>
        <v>208057.27641161054</v>
      </c>
      <c r="Z8" s="573">
        <f>SUM(Z3:Z5)</f>
        <v>107171.08546913849</v>
      </c>
      <c r="AA8" s="573">
        <f>SUM(AA3:AA5)</f>
        <v>6385.8898695284888</v>
      </c>
    </row>
    <row r="9" spans="1:27">
      <c r="G9" s="250"/>
      <c r="I9" s="508">
        <f t="shared" si="0"/>
        <v>0.10936854307594443</v>
      </c>
    </row>
    <row r="10" spans="1:27">
      <c r="B10" s="574" t="s">
        <v>1153</v>
      </c>
      <c r="C10" s="517">
        <f>Accomplishments!B32</f>
        <v>2.111773029089818</v>
      </c>
      <c r="D10" s="575"/>
      <c r="E10" s="575"/>
      <c r="G10" s="252"/>
      <c r="J10" s="570"/>
    </row>
    <row r="11" spans="1:27" ht="60">
      <c r="B11" s="576" t="s">
        <v>1155</v>
      </c>
      <c r="C11" s="576" t="s">
        <v>1151</v>
      </c>
      <c r="D11" s="576" t="s">
        <v>1152</v>
      </c>
      <c r="E11" s="576" t="s">
        <v>1154</v>
      </c>
      <c r="G11" s="578" t="s">
        <v>795</v>
      </c>
      <c r="H11" s="577" t="s">
        <v>1164</v>
      </c>
      <c r="I11" s="578" t="s">
        <v>1163</v>
      </c>
    </row>
    <row r="12" spans="1:27">
      <c r="B12" s="507">
        <v>17.588791102014099</v>
      </c>
      <c r="C12" s="508">
        <v>0.44782821006273915</v>
      </c>
      <c r="D12" s="570">
        <f>$C$10*C12</f>
        <v>0.94571153567606203</v>
      </c>
      <c r="E12" s="570">
        <f>B12-D12</f>
        <v>16.643079566338038</v>
      </c>
      <c r="F12" s="570"/>
      <c r="G12" s="507">
        <f>G3-H12</f>
        <v>2.0453413148795461</v>
      </c>
      <c r="H12" s="570">
        <f>D12*8.76/E3</f>
        <v>6.9528518314526486E-2</v>
      </c>
      <c r="I12" s="570">
        <f>I3-H12</f>
        <v>1.223415907054918</v>
      </c>
      <c r="K12" s="570">
        <f>E3*I12/8.76</f>
        <v>16.6406327112784</v>
      </c>
      <c r="N12" s="579"/>
    </row>
    <row r="13" spans="1:27">
      <c r="B13" s="507">
        <v>14.204866795142093</v>
      </c>
      <c r="C13" s="508">
        <v>0.36167011332118681</v>
      </c>
      <c r="D13" s="570">
        <f>$C$10*C13</f>
        <v>0.76376519073954041</v>
      </c>
      <c r="E13" s="570">
        <f>B13-D13</f>
        <v>13.441101604402553</v>
      </c>
      <c r="F13" s="570"/>
      <c r="G13" s="507">
        <f t="shared" ref="G13:G14" si="1">G4-H13</f>
        <v>0.84953423482370405</v>
      </c>
      <c r="H13" s="570">
        <f>D13*8.76/E4</f>
        <v>1.5558815225264838E-2</v>
      </c>
      <c r="I13" s="570">
        <f>I4-H13</f>
        <v>0.27377114460298113</v>
      </c>
      <c r="K13" s="570">
        <f t="shared" ref="K13:K14" si="2">E4*I13/8.76</f>
        <v>13.439125502123121</v>
      </c>
      <c r="N13" s="579"/>
    </row>
    <row r="14" spans="1:27">
      <c r="B14" s="513">
        <v>7.4820971955164479</v>
      </c>
      <c r="C14" s="514">
        <v>0.19050167661607409</v>
      </c>
      <c r="D14" s="580">
        <f>$C$10*C14</f>
        <v>0.40229630267421573</v>
      </c>
      <c r="E14" s="580">
        <f>B14-D14</f>
        <v>7.0798008928422318</v>
      </c>
      <c r="F14" s="570"/>
      <c r="G14" s="507">
        <f t="shared" si="1"/>
        <v>0.58667771316158235</v>
      </c>
      <c r="H14" s="570">
        <f>D14*8.76/E5</f>
        <v>3.4708584590334578E-3</v>
      </c>
      <c r="I14" s="570">
        <f>I5-H14</f>
        <v>6.1072831017462942E-2</v>
      </c>
      <c r="K14" s="570">
        <f t="shared" si="2"/>
        <v>7.0787600249808005</v>
      </c>
      <c r="N14" s="579"/>
    </row>
    <row r="15" spans="1:27">
      <c r="B15" s="507">
        <v>39.27575509267264</v>
      </c>
      <c r="E15" s="570">
        <f>SUM(E12:E14)</f>
        <v>37.163982063582822</v>
      </c>
      <c r="F15" s="570"/>
    </row>
    <row r="16" spans="1:27">
      <c r="D16" s="508"/>
      <c r="F16" s="560" t="s">
        <v>1225</v>
      </c>
      <c r="G16" s="560" t="s">
        <v>1224</v>
      </c>
    </row>
    <row r="17" spans="4:8">
      <c r="D17" s="508"/>
      <c r="F17" s="507">
        <f>SUMPRODUCT(E3:E5,G3:G5)/SUM(E3:E5)</f>
        <v>0.78184014954120518</v>
      </c>
      <c r="G17" s="507">
        <f>SUMPRODUCT(E3:E5,G12:G14)/SUM(E3:E5)</f>
        <v>0.77001594971673315</v>
      </c>
      <c r="H17" s="508" t="s">
        <v>1221</v>
      </c>
    </row>
    <row r="18" spans="4:8">
      <c r="D18" s="508"/>
      <c r="F18" s="591">
        <f>F17/365</f>
        <v>2.1420278069622062E-3</v>
      </c>
      <c r="G18" s="591">
        <f>G17/365</f>
        <v>2.1096327389499539E-3</v>
      </c>
      <c r="H18" s="508" t="s">
        <v>1222</v>
      </c>
    </row>
    <row r="19" spans="4:8">
      <c r="E19" s="650" t="s">
        <v>1339</v>
      </c>
      <c r="F19" s="651">
        <f>F18*1000</f>
        <v>2.1420278069622061</v>
      </c>
      <c r="G19" s="570">
        <f>G18*1000</f>
        <v>2.1096327389499541</v>
      </c>
      <c r="H19" s="508" t="s">
        <v>1223</v>
      </c>
    </row>
    <row r="21" spans="4:8">
      <c r="E21" s="650" t="s">
        <v>1340</v>
      </c>
      <c r="F21" s="651">
        <f>F19+'[11]Savings and Cost'!$J$5</f>
        <v>3.6841444395749781</v>
      </c>
    </row>
    <row r="22" spans="4:8">
      <c r="E22" s="650" t="s">
        <v>1341</v>
      </c>
    </row>
  </sheetData>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sheetPr codeName="Sheet6"/>
  <dimension ref="A1:IV276"/>
  <sheetViews>
    <sheetView topLeftCell="A157" zoomScale="80" zoomScaleNormal="80" workbookViewId="0">
      <pane xSplit="1" topLeftCell="B1" activePane="topRight" state="frozen"/>
      <selection activeCell="B45" sqref="B45"/>
      <selection pane="topRight" activeCell="A181" sqref="A181"/>
    </sheetView>
  </sheetViews>
  <sheetFormatPr defaultRowHeight="15"/>
  <cols>
    <col min="1" max="1" width="57.7109375" style="242" customWidth="1"/>
    <col min="2" max="2" width="21.42578125" style="242" customWidth="1"/>
    <col min="3" max="3" width="25.85546875" style="242" customWidth="1"/>
    <col min="4" max="4" width="30.7109375" style="242" bestFit="1" customWidth="1"/>
    <col min="5" max="5" width="20" style="242" customWidth="1"/>
    <col min="6" max="6" width="15.140625" style="242" customWidth="1"/>
    <col min="7" max="7" width="13.42578125" style="242" bestFit="1" customWidth="1"/>
    <col min="8" max="8" width="29.42578125" style="242" customWidth="1"/>
    <col min="9" max="9" width="24.85546875" style="242" customWidth="1"/>
    <col min="10" max="10" width="17.5703125" style="242" bestFit="1" customWidth="1"/>
    <col min="11" max="12" width="15.28515625" style="242" customWidth="1"/>
    <col min="13" max="13" width="36.42578125" style="242" customWidth="1"/>
    <col min="14" max="14" width="15.5703125" style="242" customWidth="1"/>
    <col min="15" max="15" width="13.7109375" style="242" customWidth="1"/>
    <col min="16" max="16" width="17.28515625" style="242" bestFit="1" customWidth="1"/>
    <col min="17" max="17" width="20.140625" style="242" customWidth="1"/>
    <col min="18" max="18" width="10.5703125" style="242" customWidth="1"/>
    <col min="19" max="25" width="9.140625" style="242"/>
    <col min="26" max="26" width="12.85546875" style="242" customWidth="1"/>
    <col min="27" max="27" width="13.140625" style="242" customWidth="1"/>
    <col min="28" max="28" width="15.5703125" style="242" customWidth="1"/>
    <col min="29" max="256" width="9.140625" style="242"/>
    <col min="257" max="257" width="57.7109375" style="242" customWidth="1"/>
    <col min="258" max="258" width="21.42578125" style="242" customWidth="1"/>
    <col min="259" max="259" width="25.85546875" style="242" customWidth="1"/>
    <col min="260" max="260" width="30.7109375" style="242" bestFit="1" customWidth="1"/>
    <col min="261" max="261" width="12.5703125" style="242" customWidth="1"/>
    <col min="262" max="262" width="15.140625" style="242" customWidth="1"/>
    <col min="263" max="263" width="13.42578125" style="242" bestFit="1" customWidth="1"/>
    <col min="264" max="264" width="29.42578125" style="242" customWidth="1"/>
    <col min="265" max="265" width="24.85546875" style="242" customWidth="1"/>
    <col min="266" max="266" width="17.5703125" style="242" bestFit="1" customWidth="1"/>
    <col min="267" max="268" width="15.28515625" style="242" customWidth="1"/>
    <col min="269" max="269" width="36.42578125" style="242" customWidth="1"/>
    <col min="270" max="270" width="15.5703125" style="242" customWidth="1"/>
    <col min="271" max="271" width="13.7109375" style="242" customWidth="1"/>
    <col min="272" max="272" width="17.28515625" style="242" bestFit="1" customWidth="1"/>
    <col min="273" max="273" width="20.140625" style="242" customWidth="1"/>
    <col min="274" max="274" width="10.5703125" style="242" customWidth="1"/>
    <col min="275" max="281" width="9.140625" style="242"/>
    <col min="282" max="282" width="12.85546875" style="242" customWidth="1"/>
    <col min="283" max="283" width="13.140625" style="242" customWidth="1"/>
    <col min="284" max="284" width="15.5703125" style="242" customWidth="1"/>
    <col min="285" max="512" width="9.140625" style="242"/>
    <col min="513" max="513" width="57.7109375" style="242" customWidth="1"/>
    <col min="514" max="514" width="21.42578125" style="242" customWidth="1"/>
    <col min="515" max="515" width="25.85546875" style="242" customWidth="1"/>
    <col min="516" max="516" width="30.7109375" style="242" bestFit="1" customWidth="1"/>
    <col min="517" max="517" width="12.5703125" style="242" customWidth="1"/>
    <col min="518" max="518" width="15.140625" style="242" customWidth="1"/>
    <col min="519" max="519" width="13.42578125" style="242" bestFit="1" customWidth="1"/>
    <col min="520" max="520" width="29.42578125" style="242" customWidth="1"/>
    <col min="521" max="521" width="24.85546875" style="242" customWidth="1"/>
    <col min="522" max="522" width="17.5703125" style="242" bestFit="1" customWidth="1"/>
    <col min="523" max="524" width="15.28515625" style="242" customWidth="1"/>
    <col min="525" max="525" width="36.42578125" style="242" customWidth="1"/>
    <col min="526" max="526" width="15.5703125" style="242" customWidth="1"/>
    <col min="527" max="527" width="13.7109375" style="242" customWidth="1"/>
    <col min="528" max="528" width="17.28515625" style="242" bestFit="1" customWidth="1"/>
    <col min="529" max="529" width="20.140625" style="242" customWidth="1"/>
    <col min="530" max="530" width="10.5703125" style="242" customWidth="1"/>
    <col min="531" max="537" width="9.140625" style="242"/>
    <col min="538" max="538" width="12.85546875" style="242" customWidth="1"/>
    <col min="539" max="539" width="13.140625" style="242" customWidth="1"/>
    <col min="540" max="540" width="15.5703125" style="242" customWidth="1"/>
    <col min="541" max="768" width="9.140625" style="242"/>
    <col min="769" max="769" width="57.7109375" style="242" customWidth="1"/>
    <col min="770" max="770" width="21.42578125" style="242" customWidth="1"/>
    <col min="771" max="771" width="25.85546875" style="242" customWidth="1"/>
    <col min="772" max="772" width="30.7109375" style="242" bestFit="1" customWidth="1"/>
    <col min="773" max="773" width="12.5703125" style="242" customWidth="1"/>
    <col min="774" max="774" width="15.140625" style="242" customWidth="1"/>
    <col min="775" max="775" width="13.42578125" style="242" bestFit="1" customWidth="1"/>
    <col min="776" max="776" width="29.42578125" style="242" customWidth="1"/>
    <col min="777" max="777" width="24.85546875" style="242" customWidth="1"/>
    <col min="778" max="778" width="17.5703125" style="242" bestFit="1" customWidth="1"/>
    <col min="779" max="780" width="15.28515625" style="242" customWidth="1"/>
    <col min="781" max="781" width="36.42578125" style="242" customWidth="1"/>
    <col min="782" max="782" width="15.5703125" style="242" customWidth="1"/>
    <col min="783" max="783" width="13.7109375" style="242" customWidth="1"/>
    <col min="784" max="784" width="17.28515625" style="242" bestFit="1" customWidth="1"/>
    <col min="785" max="785" width="20.140625" style="242" customWidth="1"/>
    <col min="786" max="786" width="10.5703125" style="242" customWidth="1"/>
    <col min="787" max="793" width="9.140625" style="242"/>
    <col min="794" max="794" width="12.85546875" style="242" customWidth="1"/>
    <col min="795" max="795" width="13.140625" style="242" customWidth="1"/>
    <col min="796" max="796" width="15.5703125" style="242" customWidth="1"/>
    <col min="797" max="1024" width="9.140625" style="242"/>
    <col min="1025" max="1025" width="57.7109375" style="242" customWidth="1"/>
    <col min="1026" max="1026" width="21.42578125" style="242" customWidth="1"/>
    <col min="1027" max="1027" width="25.85546875" style="242" customWidth="1"/>
    <col min="1028" max="1028" width="30.7109375" style="242" bestFit="1" customWidth="1"/>
    <col min="1029" max="1029" width="12.5703125" style="242" customWidth="1"/>
    <col min="1030" max="1030" width="15.140625" style="242" customWidth="1"/>
    <col min="1031" max="1031" width="13.42578125" style="242" bestFit="1" customWidth="1"/>
    <col min="1032" max="1032" width="29.42578125" style="242" customWidth="1"/>
    <col min="1033" max="1033" width="24.85546875" style="242" customWidth="1"/>
    <col min="1034" max="1034" width="17.5703125" style="242" bestFit="1" customWidth="1"/>
    <col min="1035" max="1036" width="15.28515625" style="242" customWidth="1"/>
    <col min="1037" max="1037" width="36.42578125" style="242" customWidth="1"/>
    <col min="1038" max="1038" width="15.5703125" style="242" customWidth="1"/>
    <col min="1039" max="1039" width="13.7109375" style="242" customWidth="1"/>
    <col min="1040" max="1040" width="17.28515625" style="242" bestFit="1" customWidth="1"/>
    <col min="1041" max="1041" width="20.140625" style="242" customWidth="1"/>
    <col min="1042" max="1042" width="10.5703125" style="242" customWidth="1"/>
    <col min="1043" max="1049" width="9.140625" style="242"/>
    <col min="1050" max="1050" width="12.85546875" style="242" customWidth="1"/>
    <col min="1051" max="1051" width="13.140625" style="242" customWidth="1"/>
    <col min="1052" max="1052" width="15.5703125" style="242" customWidth="1"/>
    <col min="1053" max="1280" width="9.140625" style="242"/>
    <col min="1281" max="1281" width="57.7109375" style="242" customWidth="1"/>
    <col min="1282" max="1282" width="21.42578125" style="242" customWidth="1"/>
    <col min="1283" max="1283" width="25.85546875" style="242" customWidth="1"/>
    <col min="1284" max="1284" width="30.7109375" style="242" bestFit="1" customWidth="1"/>
    <col min="1285" max="1285" width="12.5703125" style="242" customWidth="1"/>
    <col min="1286" max="1286" width="15.140625" style="242" customWidth="1"/>
    <col min="1287" max="1287" width="13.42578125" style="242" bestFit="1" customWidth="1"/>
    <col min="1288" max="1288" width="29.42578125" style="242" customWidth="1"/>
    <col min="1289" max="1289" width="24.85546875" style="242" customWidth="1"/>
    <col min="1290" max="1290" width="17.5703125" style="242" bestFit="1" customWidth="1"/>
    <col min="1291" max="1292" width="15.28515625" style="242" customWidth="1"/>
    <col min="1293" max="1293" width="36.42578125" style="242" customWidth="1"/>
    <col min="1294" max="1294" width="15.5703125" style="242" customWidth="1"/>
    <col min="1295" max="1295" width="13.7109375" style="242" customWidth="1"/>
    <col min="1296" max="1296" width="17.28515625" style="242" bestFit="1" customWidth="1"/>
    <col min="1297" max="1297" width="20.140625" style="242" customWidth="1"/>
    <col min="1298" max="1298" width="10.5703125" style="242" customWidth="1"/>
    <col min="1299" max="1305" width="9.140625" style="242"/>
    <col min="1306" max="1306" width="12.85546875" style="242" customWidth="1"/>
    <col min="1307" max="1307" width="13.140625" style="242" customWidth="1"/>
    <col min="1308" max="1308" width="15.5703125" style="242" customWidth="1"/>
    <col min="1309" max="1536" width="9.140625" style="242"/>
    <col min="1537" max="1537" width="57.7109375" style="242" customWidth="1"/>
    <col min="1538" max="1538" width="21.42578125" style="242" customWidth="1"/>
    <col min="1539" max="1539" width="25.85546875" style="242" customWidth="1"/>
    <col min="1540" max="1540" width="30.7109375" style="242" bestFit="1" customWidth="1"/>
    <col min="1541" max="1541" width="12.5703125" style="242" customWidth="1"/>
    <col min="1542" max="1542" width="15.140625" style="242" customWidth="1"/>
    <col min="1543" max="1543" width="13.42578125" style="242" bestFit="1" customWidth="1"/>
    <col min="1544" max="1544" width="29.42578125" style="242" customWidth="1"/>
    <col min="1545" max="1545" width="24.85546875" style="242" customWidth="1"/>
    <col min="1546" max="1546" width="17.5703125" style="242" bestFit="1" customWidth="1"/>
    <col min="1547" max="1548" width="15.28515625" style="242" customWidth="1"/>
    <col min="1549" max="1549" width="36.42578125" style="242" customWidth="1"/>
    <col min="1550" max="1550" width="15.5703125" style="242" customWidth="1"/>
    <col min="1551" max="1551" width="13.7109375" style="242" customWidth="1"/>
    <col min="1552" max="1552" width="17.28515625" style="242" bestFit="1" customWidth="1"/>
    <col min="1553" max="1553" width="20.140625" style="242" customWidth="1"/>
    <col min="1554" max="1554" width="10.5703125" style="242" customWidth="1"/>
    <col min="1555" max="1561" width="9.140625" style="242"/>
    <col min="1562" max="1562" width="12.85546875" style="242" customWidth="1"/>
    <col min="1563" max="1563" width="13.140625" style="242" customWidth="1"/>
    <col min="1564" max="1564" width="15.5703125" style="242" customWidth="1"/>
    <col min="1565" max="1792" width="9.140625" style="242"/>
    <col min="1793" max="1793" width="57.7109375" style="242" customWidth="1"/>
    <col min="1794" max="1794" width="21.42578125" style="242" customWidth="1"/>
    <col min="1795" max="1795" width="25.85546875" style="242" customWidth="1"/>
    <col min="1796" max="1796" width="30.7109375" style="242" bestFit="1" customWidth="1"/>
    <col min="1797" max="1797" width="12.5703125" style="242" customWidth="1"/>
    <col min="1798" max="1798" width="15.140625" style="242" customWidth="1"/>
    <col min="1799" max="1799" width="13.42578125" style="242" bestFit="1" customWidth="1"/>
    <col min="1800" max="1800" width="29.42578125" style="242" customWidth="1"/>
    <col min="1801" max="1801" width="24.85546875" style="242" customWidth="1"/>
    <col min="1802" max="1802" width="17.5703125" style="242" bestFit="1" customWidth="1"/>
    <col min="1803" max="1804" width="15.28515625" style="242" customWidth="1"/>
    <col min="1805" max="1805" width="36.42578125" style="242" customWidth="1"/>
    <col min="1806" max="1806" width="15.5703125" style="242" customWidth="1"/>
    <col min="1807" max="1807" width="13.7109375" style="242" customWidth="1"/>
    <col min="1808" max="1808" width="17.28515625" style="242" bestFit="1" customWidth="1"/>
    <col min="1809" max="1809" width="20.140625" style="242" customWidth="1"/>
    <col min="1810" max="1810" width="10.5703125" style="242" customWidth="1"/>
    <col min="1811" max="1817" width="9.140625" style="242"/>
    <col min="1818" max="1818" width="12.85546875" style="242" customWidth="1"/>
    <col min="1819" max="1819" width="13.140625" style="242" customWidth="1"/>
    <col min="1820" max="1820" width="15.5703125" style="242" customWidth="1"/>
    <col min="1821" max="2048" width="9.140625" style="242"/>
    <col min="2049" max="2049" width="57.7109375" style="242" customWidth="1"/>
    <col min="2050" max="2050" width="21.42578125" style="242" customWidth="1"/>
    <col min="2051" max="2051" width="25.85546875" style="242" customWidth="1"/>
    <col min="2052" max="2052" width="30.7109375" style="242" bestFit="1" customWidth="1"/>
    <col min="2053" max="2053" width="12.5703125" style="242" customWidth="1"/>
    <col min="2054" max="2054" width="15.140625" style="242" customWidth="1"/>
    <col min="2055" max="2055" width="13.42578125" style="242" bestFit="1" customWidth="1"/>
    <col min="2056" max="2056" width="29.42578125" style="242" customWidth="1"/>
    <col min="2057" max="2057" width="24.85546875" style="242" customWidth="1"/>
    <col min="2058" max="2058" width="17.5703125" style="242" bestFit="1" customWidth="1"/>
    <col min="2059" max="2060" width="15.28515625" style="242" customWidth="1"/>
    <col min="2061" max="2061" width="36.42578125" style="242" customWidth="1"/>
    <col min="2062" max="2062" width="15.5703125" style="242" customWidth="1"/>
    <col min="2063" max="2063" width="13.7109375" style="242" customWidth="1"/>
    <col min="2064" max="2064" width="17.28515625" style="242" bestFit="1" customWidth="1"/>
    <col min="2065" max="2065" width="20.140625" style="242" customWidth="1"/>
    <col min="2066" max="2066" width="10.5703125" style="242" customWidth="1"/>
    <col min="2067" max="2073" width="9.140625" style="242"/>
    <col min="2074" max="2074" width="12.85546875" style="242" customWidth="1"/>
    <col min="2075" max="2075" width="13.140625" style="242" customWidth="1"/>
    <col min="2076" max="2076" width="15.5703125" style="242" customWidth="1"/>
    <col min="2077" max="2304" width="9.140625" style="242"/>
    <col min="2305" max="2305" width="57.7109375" style="242" customWidth="1"/>
    <col min="2306" max="2306" width="21.42578125" style="242" customWidth="1"/>
    <col min="2307" max="2307" width="25.85546875" style="242" customWidth="1"/>
    <col min="2308" max="2308" width="30.7109375" style="242" bestFit="1" customWidth="1"/>
    <col min="2309" max="2309" width="12.5703125" style="242" customWidth="1"/>
    <col min="2310" max="2310" width="15.140625" style="242" customWidth="1"/>
    <col min="2311" max="2311" width="13.42578125" style="242" bestFit="1" customWidth="1"/>
    <col min="2312" max="2312" width="29.42578125" style="242" customWidth="1"/>
    <col min="2313" max="2313" width="24.85546875" style="242" customWidth="1"/>
    <col min="2314" max="2314" width="17.5703125" style="242" bestFit="1" customWidth="1"/>
    <col min="2315" max="2316" width="15.28515625" style="242" customWidth="1"/>
    <col min="2317" max="2317" width="36.42578125" style="242" customWidth="1"/>
    <col min="2318" max="2318" width="15.5703125" style="242" customWidth="1"/>
    <col min="2319" max="2319" width="13.7109375" style="242" customWidth="1"/>
    <col min="2320" max="2320" width="17.28515625" style="242" bestFit="1" customWidth="1"/>
    <col min="2321" max="2321" width="20.140625" style="242" customWidth="1"/>
    <col min="2322" max="2322" width="10.5703125" style="242" customWidth="1"/>
    <col min="2323" max="2329" width="9.140625" style="242"/>
    <col min="2330" max="2330" width="12.85546875" style="242" customWidth="1"/>
    <col min="2331" max="2331" width="13.140625" style="242" customWidth="1"/>
    <col min="2332" max="2332" width="15.5703125" style="242" customWidth="1"/>
    <col min="2333" max="2560" width="9.140625" style="242"/>
    <col min="2561" max="2561" width="57.7109375" style="242" customWidth="1"/>
    <col min="2562" max="2562" width="21.42578125" style="242" customWidth="1"/>
    <col min="2563" max="2563" width="25.85546875" style="242" customWidth="1"/>
    <col min="2564" max="2564" width="30.7109375" style="242" bestFit="1" customWidth="1"/>
    <col min="2565" max="2565" width="12.5703125" style="242" customWidth="1"/>
    <col min="2566" max="2566" width="15.140625" style="242" customWidth="1"/>
    <col min="2567" max="2567" width="13.42578125" style="242" bestFit="1" customWidth="1"/>
    <col min="2568" max="2568" width="29.42578125" style="242" customWidth="1"/>
    <col min="2569" max="2569" width="24.85546875" style="242" customWidth="1"/>
    <col min="2570" max="2570" width="17.5703125" style="242" bestFit="1" customWidth="1"/>
    <col min="2571" max="2572" width="15.28515625" style="242" customWidth="1"/>
    <col min="2573" max="2573" width="36.42578125" style="242" customWidth="1"/>
    <col min="2574" max="2574" width="15.5703125" style="242" customWidth="1"/>
    <col min="2575" max="2575" width="13.7109375" style="242" customWidth="1"/>
    <col min="2576" max="2576" width="17.28515625" style="242" bestFit="1" customWidth="1"/>
    <col min="2577" max="2577" width="20.140625" style="242" customWidth="1"/>
    <col min="2578" max="2578" width="10.5703125" style="242" customWidth="1"/>
    <col min="2579" max="2585" width="9.140625" style="242"/>
    <col min="2586" max="2586" width="12.85546875" style="242" customWidth="1"/>
    <col min="2587" max="2587" width="13.140625" style="242" customWidth="1"/>
    <col min="2588" max="2588" width="15.5703125" style="242" customWidth="1"/>
    <col min="2589" max="2816" width="9.140625" style="242"/>
    <col min="2817" max="2817" width="57.7109375" style="242" customWidth="1"/>
    <col min="2818" max="2818" width="21.42578125" style="242" customWidth="1"/>
    <col min="2819" max="2819" width="25.85546875" style="242" customWidth="1"/>
    <col min="2820" max="2820" width="30.7109375" style="242" bestFit="1" customWidth="1"/>
    <col min="2821" max="2821" width="12.5703125" style="242" customWidth="1"/>
    <col min="2822" max="2822" width="15.140625" style="242" customWidth="1"/>
    <col min="2823" max="2823" width="13.42578125" style="242" bestFit="1" customWidth="1"/>
    <col min="2824" max="2824" width="29.42578125" style="242" customWidth="1"/>
    <col min="2825" max="2825" width="24.85546875" style="242" customWidth="1"/>
    <col min="2826" max="2826" width="17.5703125" style="242" bestFit="1" customWidth="1"/>
    <col min="2827" max="2828" width="15.28515625" style="242" customWidth="1"/>
    <col min="2829" max="2829" width="36.42578125" style="242" customWidth="1"/>
    <col min="2830" max="2830" width="15.5703125" style="242" customWidth="1"/>
    <col min="2831" max="2831" width="13.7109375" style="242" customWidth="1"/>
    <col min="2832" max="2832" width="17.28515625" style="242" bestFit="1" customWidth="1"/>
    <col min="2833" max="2833" width="20.140625" style="242" customWidth="1"/>
    <col min="2834" max="2834" width="10.5703125" style="242" customWidth="1"/>
    <col min="2835" max="2841" width="9.140625" style="242"/>
    <col min="2842" max="2842" width="12.85546875" style="242" customWidth="1"/>
    <col min="2843" max="2843" width="13.140625" style="242" customWidth="1"/>
    <col min="2844" max="2844" width="15.5703125" style="242" customWidth="1"/>
    <col min="2845" max="3072" width="9.140625" style="242"/>
    <col min="3073" max="3073" width="57.7109375" style="242" customWidth="1"/>
    <col min="3074" max="3074" width="21.42578125" style="242" customWidth="1"/>
    <col min="3075" max="3075" width="25.85546875" style="242" customWidth="1"/>
    <col min="3076" max="3076" width="30.7109375" style="242" bestFit="1" customWidth="1"/>
    <col min="3077" max="3077" width="12.5703125" style="242" customWidth="1"/>
    <col min="3078" max="3078" width="15.140625" style="242" customWidth="1"/>
    <col min="3079" max="3079" width="13.42578125" style="242" bestFit="1" customWidth="1"/>
    <col min="3080" max="3080" width="29.42578125" style="242" customWidth="1"/>
    <col min="3081" max="3081" width="24.85546875" style="242" customWidth="1"/>
    <col min="3082" max="3082" width="17.5703125" style="242" bestFit="1" customWidth="1"/>
    <col min="3083" max="3084" width="15.28515625" style="242" customWidth="1"/>
    <col min="3085" max="3085" width="36.42578125" style="242" customWidth="1"/>
    <col min="3086" max="3086" width="15.5703125" style="242" customWidth="1"/>
    <col min="3087" max="3087" width="13.7109375" style="242" customWidth="1"/>
    <col min="3088" max="3088" width="17.28515625" style="242" bestFit="1" customWidth="1"/>
    <col min="3089" max="3089" width="20.140625" style="242" customWidth="1"/>
    <col min="3090" max="3090" width="10.5703125" style="242" customWidth="1"/>
    <col min="3091" max="3097" width="9.140625" style="242"/>
    <col min="3098" max="3098" width="12.85546875" style="242" customWidth="1"/>
    <col min="3099" max="3099" width="13.140625" style="242" customWidth="1"/>
    <col min="3100" max="3100" width="15.5703125" style="242" customWidth="1"/>
    <col min="3101" max="3328" width="9.140625" style="242"/>
    <col min="3329" max="3329" width="57.7109375" style="242" customWidth="1"/>
    <col min="3330" max="3330" width="21.42578125" style="242" customWidth="1"/>
    <col min="3331" max="3331" width="25.85546875" style="242" customWidth="1"/>
    <col min="3332" max="3332" width="30.7109375" style="242" bestFit="1" customWidth="1"/>
    <col min="3333" max="3333" width="12.5703125" style="242" customWidth="1"/>
    <col min="3334" max="3334" width="15.140625" style="242" customWidth="1"/>
    <col min="3335" max="3335" width="13.42578125" style="242" bestFit="1" customWidth="1"/>
    <col min="3336" max="3336" width="29.42578125" style="242" customWidth="1"/>
    <col min="3337" max="3337" width="24.85546875" style="242" customWidth="1"/>
    <col min="3338" max="3338" width="17.5703125" style="242" bestFit="1" customWidth="1"/>
    <col min="3339" max="3340" width="15.28515625" style="242" customWidth="1"/>
    <col min="3341" max="3341" width="36.42578125" style="242" customWidth="1"/>
    <col min="3342" max="3342" width="15.5703125" style="242" customWidth="1"/>
    <col min="3343" max="3343" width="13.7109375" style="242" customWidth="1"/>
    <col min="3344" max="3344" width="17.28515625" style="242" bestFit="1" customWidth="1"/>
    <col min="3345" max="3345" width="20.140625" style="242" customWidth="1"/>
    <col min="3346" max="3346" width="10.5703125" style="242" customWidth="1"/>
    <col min="3347" max="3353" width="9.140625" style="242"/>
    <col min="3354" max="3354" width="12.85546875" style="242" customWidth="1"/>
    <col min="3355" max="3355" width="13.140625" style="242" customWidth="1"/>
    <col min="3356" max="3356" width="15.5703125" style="242" customWidth="1"/>
    <col min="3357" max="3584" width="9.140625" style="242"/>
    <col min="3585" max="3585" width="57.7109375" style="242" customWidth="1"/>
    <col min="3586" max="3586" width="21.42578125" style="242" customWidth="1"/>
    <col min="3587" max="3587" width="25.85546875" style="242" customWidth="1"/>
    <col min="3588" max="3588" width="30.7109375" style="242" bestFit="1" customWidth="1"/>
    <col min="3589" max="3589" width="12.5703125" style="242" customWidth="1"/>
    <col min="3590" max="3590" width="15.140625" style="242" customWidth="1"/>
    <col min="3591" max="3591" width="13.42578125" style="242" bestFit="1" customWidth="1"/>
    <col min="3592" max="3592" width="29.42578125" style="242" customWidth="1"/>
    <col min="3593" max="3593" width="24.85546875" style="242" customWidth="1"/>
    <col min="3594" max="3594" width="17.5703125" style="242" bestFit="1" customWidth="1"/>
    <col min="3595" max="3596" width="15.28515625" style="242" customWidth="1"/>
    <col min="3597" max="3597" width="36.42578125" style="242" customWidth="1"/>
    <col min="3598" max="3598" width="15.5703125" style="242" customWidth="1"/>
    <col min="3599" max="3599" width="13.7109375" style="242" customWidth="1"/>
    <col min="3600" max="3600" width="17.28515625" style="242" bestFit="1" customWidth="1"/>
    <col min="3601" max="3601" width="20.140625" style="242" customWidth="1"/>
    <col min="3602" max="3602" width="10.5703125" style="242" customWidth="1"/>
    <col min="3603" max="3609" width="9.140625" style="242"/>
    <col min="3610" max="3610" width="12.85546875" style="242" customWidth="1"/>
    <col min="3611" max="3611" width="13.140625" style="242" customWidth="1"/>
    <col min="3612" max="3612" width="15.5703125" style="242" customWidth="1"/>
    <col min="3613" max="3840" width="9.140625" style="242"/>
    <col min="3841" max="3841" width="57.7109375" style="242" customWidth="1"/>
    <col min="3842" max="3842" width="21.42578125" style="242" customWidth="1"/>
    <col min="3843" max="3843" width="25.85546875" style="242" customWidth="1"/>
    <col min="3844" max="3844" width="30.7109375" style="242" bestFit="1" customWidth="1"/>
    <col min="3845" max="3845" width="12.5703125" style="242" customWidth="1"/>
    <col min="3846" max="3846" width="15.140625" style="242" customWidth="1"/>
    <col min="3847" max="3847" width="13.42578125" style="242" bestFit="1" customWidth="1"/>
    <col min="3848" max="3848" width="29.42578125" style="242" customWidth="1"/>
    <col min="3849" max="3849" width="24.85546875" style="242" customWidth="1"/>
    <col min="3850" max="3850" width="17.5703125" style="242" bestFit="1" customWidth="1"/>
    <col min="3851" max="3852" width="15.28515625" style="242" customWidth="1"/>
    <col min="3853" max="3853" width="36.42578125" style="242" customWidth="1"/>
    <col min="3854" max="3854" width="15.5703125" style="242" customWidth="1"/>
    <col min="3855" max="3855" width="13.7109375" style="242" customWidth="1"/>
    <col min="3856" max="3856" width="17.28515625" style="242" bestFit="1" customWidth="1"/>
    <col min="3857" max="3857" width="20.140625" style="242" customWidth="1"/>
    <col min="3858" max="3858" width="10.5703125" style="242" customWidth="1"/>
    <col min="3859" max="3865" width="9.140625" style="242"/>
    <col min="3866" max="3866" width="12.85546875" style="242" customWidth="1"/>
    <col min="3867" max="3867" width="13.140625" style="242" customWidth="1"/>
    <col min="3868" max="3868" width="15.5703125" style="242" customWidth="1"/>
    <col min="3869" max="4096" width="9.140625" style="242"/>
    <col min="4097" max="4097" width="57.7109375" style="242" customWidth="1"/>
    <col min="4098" max="4098" width="21.42578125" style="242" customWidth="1"/>
    <col min="4099" max="4099" width="25.85546875" style="242" customWidth="1"/>
    <col min="4100" max="4100" width="30.7109375" style="242" bestFit="1" customWidth="1"/>
    <col min="4101" max="4101" width="12.5703125" style="242" customWidth="1"/>
    <col min="4102" max="4102" width="15.140625" style="242" customWidth="1"/>
    <col min="4103" max="4103" width="13.42578125" style="242" bestFit="1" customWidth="1"/>
    <col min="4104" max="4104" width="29.42578125" style="242" customWidth="1"/>
    <col min="4105" max="4105" width="24.85546875" style="242" customWidth="1"/>
    <col min="4106" max="4106" width="17.5703125" style="242" bestFit="1" customWidth="1"/>
    <col min="4107" max="4108" width="15.28515625" style="242" customWidth="1"/>
    <col min="4109" max="4109" width="36.42578125" style="242" customWidth="1"/>
    <col min="4110" max="4110" width="15.5703125" style="242" customWidth="1"/>
    <col min="4111" max="4111" width="13.7109375" style="242" customWidth="1"/>
    <col min="4112" max="4112" width="17.28515625" style="242" bestFit="1" customWidth="1"/>
    <col min="4113" max="4113" width="20.140625" style="242" customWidth="1"/>
    <col min="4114" max="4114" width="10.5703125" style="242" customWidth="1"/>
    <col min="4115" max="4121" width="9.140625" style="242"/>
    <col min="4122" max="4122" width="12.85546875" style="242" customWidth="1"/>
    <col min="4123" max="4123" width="13.140625" style="242" customWidth="1"/>
    <col min="4124" max="4124" width="15.5703125" style="242" customWidth="1"/>
    <col min="4125" max="4352" width="9.140625" style="242"/>
    <col min="4353" max="4353" width="57.7109375" style="242" customWidth="1"/>
    <col min="4354" max="4354" width="21.42578125" style="242" customWidth="1"/>
    <col min="4355" max="4355" width="25.85546875" style="242" customWidth="1"/>
    <col min="4356" max="4356" width="30.7109375" style="242" bestFit="1" customWidth="1"/>
    <col min="4357" max="4357" width="12.5703125" style="242" customWidth="1"/>
    <col min="4358" max="4358" width="15.140625" style="242" customWidth="1"/>
    <col min="4359" max="4359" width="13.42578125" style="242" bestFit="1" customWidth="1"/>
    <col min="4360" max="4360" width="29.42578125" style="242" customWidth="1"/>
    <col min="4361" max="4361" width="24.85546875" style="242" customWidth="1"/>
    <col min="4362" max="4362" width="17.5703125" style="242" bestFit="1" customWidth="1"/>
    <col min="4363" max="4364" width="15.28515625" style="242" customWidth="1"/>
    <col min="4365" max="4365" width="36.42578125" style="242" customWidth="1"/>
    <col min="4366" max="4366" width="15.5703125" style="242" customWidth="1"/>
    <col min="4367" max="4367" width="13.7109375" style="242" customWidth="1"/>
    <col min="4368" max="4368" width="17.28515625" style="242" bestFit="1" customWidth="1"/>
    <col min="4369" max="4369" width="20.140625" style="242" customWidth="1"/>
    <col min="4370" max="4370" width="10.5703125" style="242" customWidth="1"/>
    <col min="4371" max="4377" width="9.140625" style="242"/>
    <col min="4378" max="4378" width="12.85546875" style="242" customWidth="1"/>
    <col min="4379" max="4379" width="13.140625" style="242" customWidth="1"/>
    <col min="4380" max="4380" width="15.5703125" style="242" customWidth="1"/>
    <col min="4381" max="4608" width="9.140625" style="242"/>
    <col min="4609" max="4609" width="57.7109375" style="242" customWidth="1"/>
    <col min="4610" max="4610" width="21.42578125" style="242" customWidth="1"/>
    <col min="4611" max="4611" width="25.85546875" style="242" customWidth="1"/>
    <col min="4612" max="4612" width="30.7109375" style="242" bestFit="1" customWidth="1"/>
    <col min="4613" max="4613" width="12.5703125" style="242" customWidth="1"/>
    <col min="4614" max="4614" width="15.140625" style="242" customWidth="1"/>
    <col min="4615" max="4615" width="13.42578125" style="242" bestFit="1" customWidth="1"/>
    <col min="4616" max="4616" width="29.42578125" style="242" customWidth="1"/>
    <col min="4617" max="4617" width="24.85546875" style="242" customWidth="1"/>
    <col min="4618" max="4618" width="17.5703125" style="242" bestFit="1" customWidth="1"/>
    <col min="4619" max="4620" width="15.28515625" style="242" customWidth="1"/>
    <col min="4621" max="4621" width="36.42578125" style="242" customWidth="1"/>
    <col min="4622" max="4622" width="15.5703125" style="242" customWidth="1"/>
    <col min="4623" max="4623" width="13.7109375" style="242" customWidth="1"/>
    <col min="4624" max="4624" width="17.28515625" style="242" bestFit="1" customWidth="1"/>
    <col min="4625" max="4625" width="20.140625" style="242" customWidth="1"/>
    <col min="4626" max="4626" width="10.5703125" style="242" customWidth="1"/>
    <col min="4627" max="4633" width="9.140625" style="242"/>
    <col min="4634" max="4634" width="12.85546875" style="242" customWidth="1"/>
    <col min="4635" max="4635" width="13.140625" style="242" customWidth="1"/>
    <col min="4636" max="4636" width="15.5703125" style="242" customWidth="1"/>
    <col min="4637" max="4864" width="9.140625" style="242"/>
    <col min="4865" max="4865" width="57.7109375" style="242" customWidth="1"/>
    <col min="4866" max="4866" width="21.42578125" style="242" customWidth="1"/>
    <col min="4867" max="4867" width="25.85546875" style="242" customWidth="1"/>
    <col min="4868" max="4868" width="30.7109375" style="242" bestFit="1" customWidth="1"/>
    <col min="4869" max="4869" width="12.5703125" style="242" customWidth="1"/>
    <col min="4870" max="4870" width="15.140625" style="242" customWidth="1"/>
    <col min="4871" max="4871" width="13.42578125" style="242" bestFit="1" customWidth="1"/>
    <col min="4872" max="4872" width="29.42578125" style="242" customWidth="1"/>
    <col min="4873" max="4873" width="24.85546875" style="242" customWidth="1"/>
    <col min="4874" max="4874" width="17.5703125" style="242" bestFit="1" customWidth="1"/>
    <col min="4875" max="4876" width="15.28515625" style="242" customWidth="1"/>
    <col min="4877" max="4877" width="36.42578125" style="242" customWidth="1"/>
    <col min="4878" max="4878" width="15.5703125" style="242" customWidth="1"/>
    <col min="4879" max="4879" width="13.7109375" style="242" customWidth="1"/>
    <col min="4880" max="4880" width="17.28515625" style="242" bestFit="1" customWidth="1"/>
    <col min="4881" max="4881" width="20.140625" style="242" customWidth="1"/>
    <col min="4882" max="4882" width="10.5703125" style="242" customWidth="1"/>
    <col min="4883" max="4889" width="9.140625" style="242"/>
    <col min="4890" max="4890" width="12.85546875" style="242" customWidth="1"/>
    <col min="4891" max="4891" width="13.140625" style="242" customWidth="1"/>
    <col min="4892" max="4892" width="15.5703125" style="242" customWidth="1"/>
    <col min="4893" max="5120" width="9.140625" style="242"/>
    <col min="5121" max="5121" width="57.7109375" style="242" customWidth="1"/>
    <col min="5122" max="5122" width="21.42578125" style="242" customWidth="1"/>
    <col min="5123" max="5123" width="25.85546875" style="242" customWidth="1"/>
    <col min="5124" max="5124" width="30.7109375" style="242" bestFit="1" customWidth="1"/>
    <col min="5125" max="5125" width="12.5703125" style="242" customWidth="1"/>
    <col min="5126" max="5126" width="15.140625" style="242" customWidth="1"/>
    <col min="5127" max="5127" width="13.42578125" style="242" bestFit="1" customWidth="1"/>
    <col min="5128" max="5128" width="29.42578125" style="242" customWidth="1"/>
    <col min="5129" max="5129" width="24.85546875" style="242" customWidth="1"/>
    <col min="5130" max="5130" width="17.5703125" style="242" bestFit="1" customWidth="1"/>
    <col min="5131" max="5132" width="15.28515625" style="242" customWidth="1"/>
    <col min="5133" max="5133" width="36.42578125" style="242" customWidth="1"/>
    <col min="5134" max="5134" width="15.5703125" style="242" customWidth="1"/>
    <col min="5135" max="5135" width="13.7109375" style="242" customWidth="1"/>
    <col min="5136" max="5136" width="17.28515625" style="242" bestFit="1" customWidth="1"/>
    <col min="5137" max="5137" width="20.140625" style="242" customWidth="1"/>
    <col min="5138" max="5138" width="10.5703125" style="242" customWidth="1"/>
    <col min="5139" max="5145" width="9.140625" style="242"/>
    <col min="5146" max="5146" width="12.85546875" style="242" customWidth="1"/>
    <col min="5147" max="5147" width="13.140625" style="242" customWidth="1"/>
    <col min="5148" max="5148" width="15.5703125" style="242" customWidth="1"/>
    <col min="5149" max="5376" width="9.140625" style="242"/>
    <col min="5377" max="5377" width="57.7109375" style="242" customWidth="1"/>
    <col min="5378" max="5378" width="21.42578125" style="242" customWidth="1"/>
    <col min="5379" max="5379" width="25.85546875" style="242" customWidth="1"/>
    <col min="5380" max="5380" width="30.7109375" style="242" bestFit="1" customWidth="1"/>
    <col min="5381" max="5381" width="12.5703125" style="242" customWidth="1"/>
    <col min="5382" max="5382" width="15.140625" style="242" customWidth="1"/>
    <col min="5383" max="5383" width="13.42578125" style="242" bestFit="1" customWidth="1"/>
    <col min="5384" max="5384" width="29.42578125" style="242" customWidth="1"/>
    <col min="5385" max="5385" width="24.85546875" style="242" customWidth="1"/>
    <col min="5386" max="5386" width="17.5703125" style="242" bestFit="1" customWidth="1"/>
    <col min="5387" max="5388" width="15.28515625" style="242" customWidth="1"/>
    <col min="5389" max="5389" width="36.42578125" style="242" customWidth="1"/>
    <col min="5390" max="5390" width="15.5703125" style="242" customWidth="1"/>
    <col min="5391" max="5391" width="13.7109375" style="242" customWidth="1"/>
    <col min="5392" max="5392" width="17.28515625" style="242" bestFit="1" customWidth="1"/>
    <col min="5393" max="5393" width="20.140625" style="242" customWidth="1"/>
    <col min="5394" max="5394" width="10.5703125" style="242" customWidth="1"/>
    <col min="5395" max="5401" width="9.140625" style="242"/>
    <col min="5402" max="5402" width="12.85546875" style="242" customWidth="1"/>
    <col min="5403" max="5403" width="13.140625" style="242" customWidth="1"/>
    <col min="5404" max="5404" width="15.5703125" style="242" customWidth="1"/>
    <col min="5405" max="5632" width="9.140625" style="242"/>
    <col min="5633" max="5633" width="57.7109375" style="242" customWidth="1"/>
    <col min="5634" max="5634" width="21.42578125" style="242" customWidth="1"/>
    <col min="5635" max="5635" width="25.85546875" style="242" customWidth="1"/>
    <col min="5636" max="5636" width="30.7109375" style="242" bestFit="1" customWidth="1"/>
    <col min="5637" max="5637" width="12.5703125" style="242" customWidth="1"/>
    <col min="5638" max="5638" width="15.140625" style="242" customWidth="1"/>
    <col min="5639" max="5639" width="13.42578125" style="242" bestFit="1" customWidth="1"/>
    <col min="5640" max="5640" width="29.42578125" style="242" customWidth="1"/>
    <col min="5641" max="5641" width="24.85546875" style="242" customWidth="1"/>
    <col min="5642" max="5642" width="17.5703125" style="242" bestFit="1" customWidth="1"/>
    <col min="5643" max="5644" width="15.28515625" style="242" customWidth="1"/>
    <col min="5645" max="5645" width="36.42578125" style="242" customWidth="1"/>
    <col min="5646" max="5646" width="15.5703125" style="242" customWidth="1"/>
    <col min="5647" max="5647" width="13.7109375" style="242" customWidth="1"/>
    <col min="5648" max="5648" width="17.28515625" style="242" bestFit="1" customWidth="1"/>
    <col min="5649" max="5649" width="20.140625" style="242" customWidth="1"/>
    <col min="5650" max="5650" width="10.5703125" style="242" customWidth="1"/>
    <col min="5651" max="5657" width="9.140625" style="242"/>
    <col min="5658" max="5658" width="12.85546875" style="242" customWidth="1"/>
    <col min="5659" max="5659" width="13.140625" style="242" customWidth="1"/>
    <col min="5660" max="5660" width="15.5703125" style="242" customWidth="1"/>
    <col min="5661" max="5888" width="9.140625" style="242"/>
    <col min="5889" max="5889" width="57.7109375" style="242" customWidth="1"/>
    <col min="5890" max="5890" width="21.42578125" style="242" customWidth="1"/>
    <col min="5891" max="5891" width="25.85546875" style="242" customWidth="1"/>
    <col min="5892" max="5892" width="30.7109375" style="242" bestFit="1" customWidth="1"/>
    <col min="5893" max="5893" width="12.5703125" style="242" customWidth="1"/>
    <col min="5894" max="5894" width="15.140625" style="242" customWidth="1"/>
    <col min="5895" max="5895" width="13.42578125" style="242" bestFit="1" customWidth="1"/>
    <col min="5896" max="5896" width="29.42578125" style="242" customWidth="1"/>
    <col min="5897" max="5897" width="24.85546875" style="242" customWidth="1"/>
    <col min="5898" max="5898" width="17.5703125" style="242" bestFit="1" customWidth="1"/>
    <col min="5899" max="5900" width="15.28515625" style="242" customWidth="1"/>
    <col min="5901" max="5901" width="36.42578125" style="242" customWidth="1"/>
    <col min="5902" max="5902" width="15.5703125" style="242" customWidth="1"/>
    <col min="5903" max="5903" width="13.7109375" style="242" customWidth="1"/>
    <col min="5904" max="5904" width="17.28515625" style="242" bestFit="1" customWidth="1"/>
    <col min="5905" max="5905" width="20.140625" style="242" customWidth="1"/>
    <col min="5906" max="5906" width="10.5703125" style="242" customWidth="1"/>
    <col min="5907" max="5913" width="9.140625" style="242"/>
    <col min="5914" max="5914" width="12.85546875" style="242" customWidth="1"/>
    <col min="5915" max="5915" width="13.140625" style="242" customWidth="1"/>
    <col min="5916" max="5916" width="15.5703125" style="242" customWidth="1"/>
    <col min="5917" max="6144" width="9.140625" style="242"/>
    <col min="6145" max="6145" width="57.7109375" style="242" customWidth="1"/>
    <col min="6146" max="6146" width="21.42578125" style="242" customWidth="1"/>
    <col min="6147" max="6147" width="25.85546875" style="242" customWidth="1"/>
    <col min="6148" max="6148" width="30.7109375" style="242" bestFit="1" customWidth="1"/>
    <col min="6149" max="6149" width="12.5703125" style="242" customWidth="1"/>
    <col min="6150" max="6150" width="15.140625" style="242" customWidth="1"/>
    <col min="6151" max="6151" width="13.42578125" style="242" bestFit="1" customWidth="1"/>
    <col min="6152" max="6152" width="29.42578125" style="242" customWidth="1"/>
    <col min="6153" max="6153" width="24.85546875" style="242" customWidth="1"/>
    <col min="6154" max="6154" width="17.5703125" style="242" bestFit="1" customWidth="1"/>
    <col min="6155" max="6156" width="15.28515625" style="242" customWidth="1"/>
    <col min="6157" max="6157" width="36.42578125" style="242" customWidth="1"/>
    <col min="6158" max="6158" width="15.5703125" style="242" customWidth="1"/>
    <col min="6159" max="6159" width="13.7109375" style="242" customWidth="1"/>
    <col min="6160" max="6160" width="17.28515625" style="242" bestFit="1" customWidth="1"/>
    <col min="6161" max="6161" width="20.140625" style="242" customWidth="1"/>
    <col min="6162" max="6162" width="10.5703125" style="242" customWidth="1"/>
    <col min="6163" max="6169" width="9.140625" style="242"/>
    <col min="6170" max="6170" width="12.85546875" style="242" customWidth="1"/>
    <col min="6171" max="6171" width="13.140625" style="242" customWidth="1"/>
    <col min="6172" max="6172" width="15.5703125" style="242" customWidth="1"/>
    <col min="6173" max="6400" width="9.140625" style="242"/>
    <col min="6401" max="6401" width="57.7109375" style="242" customWidth="1"/>
    <col min="6402" max="6402" width="21.42578125" style="242" customWidth="1"/>
    <col min="6403" max="6403" width="25.85546875" style="242" customWidth="1"/>
    <col min="6404" max="6404" width="30.7109375" style="242" bestFit="1" customWidth="1"/>
    <col min="6405" max="6405" width="12.5703125" style="242" customWidth="1"/>
    <col min="6406" max="6406" width="15.140625" style="242" customWidth="1"/>
    <col min="6407" max="6407" width="13.42578125" style="242" bestFit="1" customWidth="1"/>
    <col min="6408" max="6408" width="29.42578125" style="242" customWidth="1"/>
    <col min="6409" max="6409" width="24.85546875" style="242" customWidth="1"/>
    <col min="6410" max="6410" width="17.5703125" style="242" bestFit="1" customWidth="1"/>
    <col min="6411" max="6412" width="15.28515625" style="242" customWidth="1"/>
    <col min="6413" max="6413" width="36.42578125" style="242" customWidth="1"/>
    <col min="6414" max="6414" width="15.5703125" style="242" customWidth="1"/>
    <col min="6415" max="6415" width="13.7109375" style="242" customWidth="1"/>
    <col min="6416" max="6416" width="17.28515625" style="242" bestFit="1" customWidth="1"/>
    <col min="6417" max="6417" width="20.140625" style="242" customWidth="1"/>
    <col min="6418" max="6418" width="10.5703125" style="242" customWidth="1"/>
    <col min="6419" max="6425" width="9.140625" style="242"/>
    <col min="6426" max="6426" width="12.85546875" style="242" customWidth="1"/>
    <col min="6427" max="6427" width="13.140625" style="242" customWidth="1"/>
    <col min="6428" max="6428" width="15.5703125" style="242" customWidth="1"/>
    <col min="6429" max="6656" width="9.140625" style="242"/>
    <col min="6657" max="6657" width="57.7109375" style="242" customWidth="1"/>
    <col min="6658" max="6658" width="21.42578125" style="242" customWidth="1"/>
    <col min="6659" max="6659" width="25.85546875" style="242" customWidth="1"/>
    <col min="6660" max="6660" width="30.7109375" style="242" bestFit="1" customWidth="1"/>
    <col min="6661" max="6661" width="12.5703125" style="242" customWidth="1"/>
    <col min="6662" max="6662" width="15.140625" style="242" customWidth="1"/>
    <col min="6663" max="6663" width="13.42578125" style="242" bestFit="1" customWidth="1"/>
    <col min="6664" max="6664" width="29.42578125" style="242" customWidth="1"/>
    <col min="6665" max="6665" width="24.85546875" style="242" customWidth="1"/>
    <col min="6666" max="6666" width="17.5703125" style="242" bestFit="1" customWidth="1"/>
    <col min="6667" max="6668" width="15.28515625" style="242" customWidth="1"/>
    <col min="6669" max="6669" width="36.42578125" style="242" customWidth="1"/>
    <col min="6670" max="6670" width="15.5703125" style="242" customWidth="1"/>
    <col min="6671" max="6671" width="13.7109375" style="242" customWidth="1"/>
    <col min="6672" max="6672" width="17.28515625" style="242" bestFit="1" customWidth="1"/>
    <col min="6673" max="6673" width="20.140625" style="242" customWidth="1"/>
    <col min="6674" max="6674" width="10.5703125" style="242" customWidth="1"/>
    <col min="6675" max="6681" width="9.140625" style="242"/>
    <col min="6682" max="6682" width="12.85546875" style="242" customWidth="1"/>
    <col min="6683" max="6683" width="13.140625" style="242" customWidth="1"/>
    <col min="6684" max="6684" width="15.5703125" style="242" customWidth="1"/>
    <col min="6685" max="6912" width="9.140625" style="242"/>
    <col min="6913" max="6913" width="57.7109375" style="242" customWidth="1"/>
    <col min="6914" max="6914" width="21.42578125" style="242" customWidth="1"/>
    <col min="6915" max="6915" width="25.85546875" style="242" customWidth="1"/>
    <col min="6916" max="6916" width="30.7109375" style="242" bestFit="1" customWidth="1"/>
    <col min="6917" max="6917" width="12.5703125" style="242" customWidth="1"/>
    <col min="6918" max="6918" width="15.140625" style="242" customWidth="1"/>
    <col min="6919" max="6919" width="13.42578125" style="242" bestFit="1" customWidth="1"/>
    <col min="6920" max="6920" width="29.42578125" style="242" customWidth="1"/>
    <col min="6921" max="6921" width="24.85546875" style="242" customWidth="1"/>
    <col min="6922" max="6922" width="17.5703125" style="242" bestFit="1" customWidth="1"/>
    <col min="6923" max="6924" width="15.28515625" style="242" customWidth="1"/>
    <col min="6925" max="6925" width="36.42578125" style="242" customWidth="1"/>
    <col min="6926" max="6926" width="15.5703125" style="242" customWidth="1"/>
    <col min="6927" max="6927" width="13.7109375" style="242" customWidth="1"/>
    <col min="6928" max="6928" width="17.28515625" style="242" bestFit="1" customWidth="1"/>
    <col min="6929" max="6929" width="20.140625" style="242" customWidth="1"/>
    <col min="6930" max="6930" width="10.5703125" style="242" customWidth="1"/>
    <col min="6931" max="6937" width="9.140625" style="242"/>
    <col min="6938" max="6938" width="12.85546875" style="242" customWidth="1"/>
    <col min="6939" max="6939" width="13.140625" style="242" customWidth="1"/>
    <col min="6940" max="6940" width="15.5703125" style="242" customWidth="1"/>
    <col min="6941" max="7168" width="9.140625" style="242"/>
    <col min="7169" max="7169" width="57.7109375" style="242" customWidth="1"/>
    <col min="7170" max="7170" width="21.42578125" style="242" customWidth="1"/>
    <col min="7171" max="7171" width="25.85546875" style="242" customWidth="1"/>
    <col min="7172" max="7172" width="30.7109375" style="242" bestFit="1" customWidth="1"/>
    <col min="7173" max="7173" width="12.5703125" style="242" customWidth="1"/>
    <col min="7174" max="7174" width="15.140625" style="242" customWidth="1"/>
    <col min="7175" max="7175" width="13.42578125" style="242" bestFit="1" customWidth="1"/>
    <col min="7176" max="7176" width="29.42578125" style="242" customWidth="1"/>
    <col min="7177" max="7177" width="24.85546875" style="242" customWidth="1"/>
    <col min="7178" max="7178" width="17.5703125" style="242" bestFit="1" customWidth="1"/>
    <col min="7179" max="7180" width="15.28515625" style="242" customWidth="1"/>
    <col min="7181" max="7181" width="36.42578125" style="242" customWidth="1"/>
    <col min="7182" max="7182" width="15.5703125" style="242" customWidth="1"/>
    <col min="7183" max="7183" width="13.7109375" style="242" customWidth="1"/>
    <col min="7184" max="7184" width="17.28515625" style="242" bestFit="1" customWidth="1"/>
    <col min="7185" max="7185" width="20.140625" style="242" customWidth="1"/>
    <col min="7186" max="7186" width="10.5703125" style="242" customWidth="1"/>
    <col min="7187" max="7193" width="9.140625" style="242"/>
    <col min="7194" max="7194" width="12.85546875" style="242" customWidth="1"/>
    <col min="7195" max="7195" width="13.140625" style="242" customWidth="1"/>
    <col min="7196" max="7196" width="15.5703125" style="242" customWidth="1"/>
    <col min="7197" max="7424" width="9.140625" style="242"/>
    <col min="7425" max="7425" width="57.7109375" style="242" customWidth="1"/>
    <col min="7426" max="7426" width="21.42578125" style="242" customWidth="1"/>
    <col min="7427" max="7427" width="25.85546875" style="242" customWidth="1"/>
    <col min="7428" max="7428" width="30.7109375" style="242" bestFit="1" customWidth="1"/>
    <col min="7429" max="7429" width="12.5703125" style="242" customWidth="1"/>
    <col min="7430" max="7430" width="15.140625" style="242" customWidth="1"/>
    <col min="7431" max="7431" width="13.42578125" style="242" bestFit="1" customWidth="1"/>
    <col min="7432" max="7432" width="29.42578125" style="242" customWidth="1"/>
    <col min="7433" max="7433" width="24.85546875" style="242" customWidth="1"/>
    <col min="7434" max="7434" width="17.5703125" style="242" bestFit="1" customWidth="1"/>
    <col min="7435" max="7436" width="15.28515625" style="242" customWidth="1"/>
    <col min="7437" max="7437" width="36.42578125" style="242" customWidth="1"/>
    <col min="7438" max="7438" width="15.5703125" style="242" customWidth="1"/>
    <col min="7439" max="7439" width="13.7109375" style="242" customWidth="1"/>
    <col min="7440" max="7440" width="17.28515625" style="242" bestFit="1" customWidth="1"/>
    <col min="7441" max="7441" width="20.140625" style="242" customWidth="1"/>
    <col min="7442" max="7442" width="10.5703125" style="242" customWidth="1"/>
    <col min="7443" max="7449" width="9.140625" style="242"/>
    <col min="7450" max="7450" width="12.85546875" style="242" customWidth="1"/>
    <col min="7451" max="7451" width="13.140625" style="242" customWidth="1"/>
    <col min="7452" max="7452" width="15.5703125" style="242" customWidth="1"/>
    <col min="7453" max="7680" width="9.140625" style="242"/>
    <col min="7681" max="7681" width="57.7109375" style="242" customWidth="1"/>
    <col min="7682" max="7682" width="21.42578125" style="242" customWidth="1"/>
    <col min="7683" max="7683" width="25.85546875" style="242" customWidth="1"/>
    <col min="7684" max="7684" width="30.7109375" style="242" bestFit="1" customWidth="1"/>
    <col min="7685" max="7685" width="12.5703125" style="242" customWidth="1"/>
    <col min="7686" max="7686" width="15.140625" style="242" customWidth="1"/>
    <col min="7687" max="7687" width="13.42578125" style="242" bestFit="1" customWidth="1"/>
    <col min="7688" max="7688" width="29.42578125" style="242" customWidth="1"/>
    <col min="7689" max="7689" width="24.85546875" style="242" customWidth="1"/>
    <col min="7690" max="7690" width="17.5703125" style="242" bestFit="1" customWidth="1"/>
    <col min="7691" max="7692" width="15.28515625" style="242" customWidth="1"/>
    <col min="7693" max="7693" width="36.42578125" style="242" customWidth="1"/>
    <col min="7694" max="7694" width="15.5703125" style="242" customWidth="1"/>
    <col min="7695" max="7695" width="13.7109375" style="242" customWidth="1"/>
    <col min="7696" max="7696" width="17.28515625" style="242" bestFit="1" customWidth="1"/>
    <col min="7697" max="7697" width="20.140625" style="242" customWidth="1"/>
    <col min="7698" max="7698" width="10.5703125" style="242" customWidth="1"/>
    <col min="7699" max="7705" width="9.140625" style="242"/>
    <col min="7706" max="7706" width="12.85546875" style="242" customWidth="1"/>
    <col min="7707" max="7707" width="13.140625" style="242" customWidth="1"/>
    <col min="7708" max="7708" width="15.5703125" style="242" customWidth="1"/>
    <col min="7709" max="7936" width="9.140625" style="242"/>
    <col min="7937" max="7937" width="57.7109375" style="242" customWidth="1"/>
    <col min="7938" max="7938" width="21.42578125" style="242" customWidth="1"/>
    <col min="7939" max="7939" width="25.85546875" style="242" customWidth="1"/>
    <col min="7940" max="7940" width="30.7109375" style="242" bestFit="1" customWidth="1"/>
    <col min="7941" max="7941" width="12.5703125" style="242" customWidth="1"/>
    <col min="7942" max="7942" width="15.140625" style="242" customWidth="1"/>
    <col min="7943" max="7943" width="13.42578125" style="242" bestFit="1" customWidth="1"/>
    <col min="7944" max="7944" width="29.42578125" style="242" customWidth="1"/>
    <col min="7945" max="7945" width="24.85546875" style="242" customWidth="1"/>
    <col min="7946" max="7946" width="17.5703125" style="242" bestFit="1" customWidth="1"/>
    <col min="7947" max="7948" width="15.28515625" style="242" customWidth="1"/>
    <col min="7949" max="7949" width="36.42578125" style="242" customWidth="1"/>
    <col min="7950" max="7950" width="15.5703125" style="242" customWidth="1"/>
    <col min="7951" max="7951" width="13.7109375" style="242" customWidth="1"/>
    <col min="7952" max="7952" width="17.28515625" style="242" bestFit="1" customWidth="1"/>
    <col min="7953" max="7953" width="20.140625" style="242" customWidth="1"/>
    <col min="7954" max="7954" width="10.5703125" style="242" customWidth="1"/>
    <col min="7955" max="7961" width="9.140625" style="242"/>
    <col min="7962" max="7962" width="12.85546875" style="242" customWidth="1"/>
    <col min="7963" max="7963" width="13.140625" style="242" customWidth="1"/>
    <col min="7964" max="7964" width="15.5703125" style="242" customWidth="1"/>
    <col min="7965" max="8192" width="9.140625" style="242"/>
    <col min="8193" max="8193" width="57.7109375" style="242" customWidth="1"/>
    <col min="8194" max="8194" width="21.42578125" style="242" customWidth="1"/>
    <col min="8195" max="8195" width="25.85546875" style="242" customWidth="1"/>
    <col min="8196" max="8196" width="30.7109375" style="242" bestFit="1" customWidth="1"/>
    <col min="8197" max="8197" width="12.5703125" style="242" customWidth="1"/>
    <col min="8198" max="8198" width="15.140625" style="242" customWidth="1"/>
    <col min="8199" max="8199" width="13.42578125" style="242" bestFit="1" customWidth="1"/>
    <col min="8200" max="8200" width="29.42578125" style="242" customWidth="1"/>
    <col min="8201" max="8201" width="24.85546875" style="242" customWidth="1"/>
    <col min="8202" max="8202" width="17.5703125" style="242" bestFit="1" customWidth="1"/>
    <col min="8203" max="8204" width="15.28515625" style="242" customWidth="1"/>
    <col min="8205" max="8205" width="36.42578125" style="242" customWidth="1"/>
    <col min="8206" max="8206" width="15.5703125" style="242" customWidth="1"/>
    <col min="8207" max="8207" width="13.7109375" style="242" customWidth="1"/>
    <col min="8208" max="8208" width="17.28515625" style="242" bestFit="1" customWidth="1"/>
    <col min="8209" max="8209" width="20.140625" style="242" customWidth="1"/>
    <col min="8210" max="8210" width="10.5703125" style="242" customWidth="1"/>
    <col min="8211" max="8217" width="9.140625" style="242"/>
    <col min="8218" max="8218" width="12.85546875" style="242" customWidth="1"/>
    <col min="8219" max="8219" width="13.140625" style="242" customWidth="1"/>
    <col min="8220" max="8220" width="15.5703125" style="242" customWidth="1"/>
    <col min="8221" max="8448" width="9.140625" style="242"/>
    <col min="8449" max="8449" width="57.7109375" style="242" customWidth="1"/>
    <col min="8450" max="8450" width="21.42578125" style="242" customWidth="1"/>
    <col min="8451" max="8451" width="25.85546875" style="242" customWidth="1"/>
    <col min="8452" max="8452" width="30.7109375" style="242" bestFit="1" customWidth="1"/>
    <col min="8453" max="8453" width="12.5703125" style="242" customWidth="1"/>
    <col min="8454" max="8454" width="15.140625" style="242" customWidth="1"/>
    <col min="8455" max="8455" width="13.42578125" style="242" bestFit="1" customWidth="1"/>
    <col min="8456" max="8456" width="29.42578125" style="242" customWidth="1"/>
    <col min="8457" max="8457" width="24.85546875" style="242" customWidth="1"/>
    <col min="8458" max="8458" width="17.5703125" style="242" bestFit="1" customWidth="1"/>
    <col min="8459" max="8460" width="15.28515625" style="242" customWidth="1"/>
    <col min="8461" max="8461" width="36.42578125" style="242" customWidth="1"/>
    <col min="8462" max="8462" width="15.5703125" style="242" customWidth="1"/>
    <col min="8463" max="8463" width="13.7109375" style="242" customWidth="1"/>
    <col min="8464" max="8464" width="17.28515625" style="242" bestFit="1" customWidth="1"/>
    <col min="8465" max="8465" width="20.140625" style="242" customWidth="1"/>
    <col min="8466" max="8466" width="10.5703125" style="242" customWidth="1"/>
    <col min="8467" max="8473" width="9.140625" style="242"/>
    <col min="8474" max="8474" width="12.85546875" style="242" customWidth="1"/>
    <col min="8475" max="8475" width="13.140625" style="242" customWidth="1"/>
    <col min="8476" max="8476" width="15.5703125" style="242" customWidth="1"/>
    <col min="8477" max="8704" width="9.140625" style="242"/>
    <col min="8705" max="8705" width="57.7109375" style="242" customWidth="1"/>
    <col min="8706" max="8706" width="21.42578125" style="242" customWidth="1"/>
    <col min="8707" max="8707" width="25.85546875" style="242" customWidth="1"/>
    <col min="8708" max="8708" width="30.7109375" style="242" bestFit="1" customWidth="1"/>
    <col min="8709" max="8709" width="12.5703125" style="242" customWidth="1"/>
    <col min="8710" max="8710" width="15.140625" style="242" customWidth="1"/>
    <col min="8711" max="8711" width="13.42578125" style="242" bestFit="1" customWidth="1"/>
    <col min="8712" max="8712" width="29.42578125" style="242" customWidth="1"/>
    <col min="8713" max="8713" width="24.85546875" style="242" customWidth="1"/>
    <col min="8714" max="8714" width="17.5703125" style="242" bestFit="1" customWidth="1"/>
    <col min="8715" max="8716" width="15.28515625" style="242" customWidth="1"/>
    <col min="8717" max="8717" width="36.42578125" style="242" customWidth="1"/>
    <col min="8718" max="8718" width="15.5703125" style="242" customWidth="1"/>
    <col min="8719" max="8719" width="13.7109375" style="242" customWidth="1"/>
    <col min="8720" max="8720" width="17.28515625" style="242" bestFit="1" customWidth="1"/>
    <col min="8721" max="8721" width="20.140625" style="242" customWidth="1"/>
    <col min="8722" max="8722" width="10.5703125" style="242" customWidth="1"/>
    <col min="8723" max="8729" width="9.140625" style="242"/>
    <col min="8730" max="8730" width="12.85546875" style="242" customWidth="1"/>
    <col min="8731" max="8731" width="13.140625" style="242" customWidth="1"/>
    <col min="8732" max="8732" width="15.5703125" style="242" customWidth="1"/>
    <col min="8733" max="8960" width="9.140625" style="242"/>
    <col min="8961" max="8961" width="57.7109375" style="242" customWidth="1"/>
    <col min="8962" max="8962" width="21.42578125" style="242" customWidth="1"/>
    <col min="8963" max="8963" width="25.85546875" style="242" customWidth="1"/>
    <col min="8964" max="8964" width="30.7109375" style="242" bestFit="1" customWidth="1"/>
    <col min="8965" max="8965" width="12.5703125" style="242" customWidth="1"/>
    <col min="8966" max="8966" width="15.140625" style="242" customWidth="1"/>
    <col min="8967" max="8967" width="13.42578125" style="242" bestFit="1" customWidth="1"/>
    <col min="8968" max="8968" width="29.42578125" style="242" customWidth="1"/>
    <col min="8969" max="8969" width="24.85546875" style="242" customWidth="1"/>
    <col min="8970" max="8970" width="17.5703125" style="242" bestFit="1" customWidth="1"/>
    <col min="8971" max="8972" width="15.28515625" style="242" customWidth="1"/>
    <col min="8973" max="8973" width="36.42578125" style="242" customWidth="1"/>
    <col min="8974" max="8974" width="15.5703125" style="242" customWidth="1"/>
    <col min="8975" max="8975" width="13.7109375" style="242" customWidth="1"/>
    <col min="8976" max="8976" width="17.28515625" style="242" bestFit="1" customWidth="1"/>
    <col min="8977" max="8977" width="20.140625" style="242" customWidth="1"/>
    <col min="8978" max="8978" width="10.5703125" style="242" customWidth="1"/>
    <col min="8979" max="8985" width="9.140625" style="242"/>
    <col min="8986" max="8986" width="12.85546875" style="242" customWidth="1"/>
    <col min="8987" max="8987" width="13.140625" style="242" customWidth="1"/>
    <col min="8988" max="8988" width="15.5703125" style="242" customWidth="1"/>
    <col min="8989" max="9216" width="9.140625" style="242"/>
    <col min="9217" max="9217" width="57.7109375" style="242" customWidth="1"/>
    <col min="9218" max="9218" width="21.42578125" style="242" customWidth="1"/>
    <col min="9219" max="9219" width="25.85546875" style="242" customWidth="1"/>
    <col min="9220" max="9220" width="30.7109375" style="242" bestFit="1" customWidth="1"/>
    <col min="9221" max="9221" width="12.5703125" style="242" customWidth="1"/>
    <col min="9222" max="9222" width="15.140625" style="242" customWidth="1"/>
    <col min="9223" max="9223" width="13.42578125" style="242" bestFit="1" customWidth="1"/>
    <col min="9224" max="9224" width="29.42578125" style="242" customWidth="1"/>
    <col min="9225" max="9225" width="24.85546875" style="242" customWidth="1"/>
    <col min="9226" max="9226" width="17.5703125" style="242" bestFit="1" customWidth="1"/>
    <col min="9227" max="9228" width="15.28515625" style="242" customWidth="1"/>
    <col min="9229" max="9229" width="36.42578125" style="242" customWidth="1"/>
    <col min="9230" max="9230" width="15.5703125" style="242" customWidth="1"/>
    <col min="9231" max="9231" width="13.7109375" style="242" customWidth="1"/>
    <col min="9232" max="9232" width="17.28515625" style="242" bestFit="1" customWidth="1"/>
    <col min="9233" max="9233" width="20.140625" style="242" customWidth="1"/>
    <col min="9234" max="9234" width="10.5703125" style="242" customWidth="1"/>
    <col min="9235" max="9241" width="9.140625" style="242"/>
    <col min="9242" max="9242" width="12.85546875" style="242" customWidth="1"/>
    <col min="9243" max="9243" width="13.140625" style="242" customWidth="1"/>
    <col min="9244" max="9244" width="15.5703125" style="242" customWidth="1"/>
    <col min="9245" max="9472" width="9.140625" style="242"/>
    <col min="9473" max="9473" width="57.7109375" style="242" customWidth="1"/>
    <col min="9474" max="9474" width="21.42578125" style="242" customWidth="1"/>
    <col min="9475" max="9475" width="25.85546875" style="242" customWidth="1"/>
    <col min="9476" max="9476" width="30.7109375" style="242" bestFit="1" customWidth="1"/>
    <col min="9477" max="9477" width="12.5703125" style="242" customWidth="1"/>
    <col min="9478" max="9478" width="15.140625" style="242" customWidth="1"/>
    <col min="9479" max="9479" width="13.42578125" style="242" bestFit="1" customWidth="1"/>
    <col min="9480" max="9480" width="29.42578125" style="242" customWidth="1"/>
    <col min="9481" max="9481" width="24.85546875" style="242" customWidth="1"/>
    <col min="9482" max="9482" width="17.5703125" style="242" bestFit="1" customWidth="1"/>
    <col min="9483" max="9484" width="15.28515625" style="242" customWidth="1"/>
    <col min="9485" max="9485" width="36.42578125" style="242" customWidth="1"/>
    <col min="9486" max="9486" width="15.5703125" style="242" customWidth="1"/>
    <col min="9487" max="9487" width="13.7109375" style="242" customWidth="1"/>
    <col min="9488" max="9488" width="17.28515625" style="242" bestFit="1" customWidth="1"/>
    <col min="9489" max="9489" width="20.140625" style="242" customWidth="1"/>
    <col min="9490" max="9490" width="10.5703125" style="242" customWidth="1"/>
    <col min="9491" max="9497" width="9.140625" style="242"/>
    <col min="9498" max="9498" width="12.85546875" style="242" customWidth="1"/>
    <col min="9499" max="9499" width="13.140625" style="242" customWidth="1"/>
    <col min="9500" max="9500" width="15.5703125" style="242" customWidth="1"/>
    <col min="9501" max="9728" width="9.140625" style="242"/>
    <col min="9729" max="9729" width="57.7109375" style="242" customWidth="1"/>
    <col min="9730" max="9730" width="21.42578125" style="242" customWidth="1"/>
    <col min="9731" max="9731" width="25.85546875" style="242" customWidth="1"/>
    <col min="9732" max="9732" width="30.7109375" style="242" bestFit="1" customWidth="1"/>
    <col min="9733" max="9733" width="12.5703125" style="242" customWidth="1"/>
    <col min="9734" max="9734" width="15.140625" style="242" customWidth="1"/>
    <col min="9735" max="9735" width="13.42578125" style="242" bestFit="1" customWidth="1"/>
    <col min="9736" max="9736" width="29.42578125" style="242" customWidth="1"/>
    <col min="9737" max="9737" width="24.85546875" style="242" customWidth="1"/>
    <col min="9738" max="9738" width="17.5703125" style="242" bestFit="1" customWidth="1"/>
    <col min="9739" max="9740" width="15.28515625" style="242" customWidth="1"/>
    <col min="9741" max="9741" width="36.42578125" style="242" customWidth="1"/>
    <col min="9742" max="9742" width="15.5703125" style="242" customWidth="1"/>
    <col min="9743" max="9743" width="13.7109375" style="242" customWidth="1"/>
    <col min="9744" max="9744" width="17.28515625" style="242" bestFit="1" customWidth="1"/>
    <col min="9745" max="9745" width="20.140625" style="242" customWidth="1"/>
    <col min="9746" max="9746" width="10.5703125" style="242" customWidth="1"/>
    <col min="9747" max="9753" width="9.140625" style="242"/>
    <col min="9754" max="9754" width="12.85546875" style="242" customWidth="1"/>
    <col min="9755" max="9755" width="13.140625" style="242" customWidth="1"/>
    <col min="9756" max="9756" width="15.5703125" style="242" customWidth="1"/>
    <col min="9757" max="9984" width="9.140625" style="242"/>
    <col min="9985" max="9985" width="57.7109375" style="242" customWidth="1"/>
    <col min="9986" max="9986" width="21.42578125" style="242" customWidth="1"/>
    <col min="9987" max="9987" width="25.85546875" style="242" customWidth="1"/>
    <col min="9988" max="9988" width="30.7109375" style="242" bestFit="1" customWidth="1"/>
    <col min="9989" max="9989" width="12.5703125" style="242" customWidth="1"/>
    <col min="9990" max="9990" width="15.140625" style="242" customWidth="1"/>
    <col min="9991" max="9991" width="13.42578125" style="242" bestFit="1" customWidth="1"/>
    <col min="9992" max="9992" width="29.42578125" style="242" customWidth="1"/>
    <col min="9993" max="9993" width="24.85546875" style="242" customWidth="1"/>
    <col min="9994" max="9994" width="17.5703125" style="242" bestFit="1" customWidth="1"/>
    <col min="9995" max="9996" width="15.28515625" style="242" customWidth="1"/>
    <col min="9997" max="9997" width="36.42578125" style="242" customWidth="1"/>
    <col min="9998" max="9998" width="15.5703125" style="242" customWidth="1"/>
    <col min="9999" max="9999" width="13.7109375" style="242" customWidth="1"/>
    <col min="10000" max="10000" width="17.28515625" style="242" bestFit="1" customWidth="1"/>
    <col min="10001" max="10001" width="20.140625" style="242" customWidth="1"/>
    <col min="10002" max="10002" width="10.5703125" style="242" customWidth="1"/>
    <col min="10003" max="10009" width="9.140625" style="242"/>
    <col min="10010" max="10010" width="12.85546875" style="242" customWidth="1"/>
    <col min="10011" max="10011" width="13.140625" style="242" customWidth="1"/>
    <col min="10012" max="10012" width="15.5703125" style="242" customWidth="1"/>
    <col min="10013" max="10240" width="9.140625" style="242"/>
    <col min="10241" max="10241" width="57.7109375" style="242" customWidth="1"/>
    <col min="10242" max="10242" width="21.42578125" style="242" customWidth="1"/>
    <col min="10243" max="10243" width="25.85546875" style="242" customWidth="1"/>
    <col min="10244" max="10244" width="30.7109375" style="242" bestFit="1" customWidth="1"/>
    <col min="10245" max="10245" width="12.5703125" style="242" customWidth="1"/>
    <col min="10246" max="10246" width="15.140625" style="242" customWidth="1"/>
    <col min="10247" max="10247" width="13.42578125" style="242" bestFit="1" customWidth="1"/>
    <col min="10248" max="10248" width="29.42578125" style="242" customWidth="1"/>
    <col min="10249" max="10249" width="24.85546875" style="242" customWidth="1"/>
    <col min="10250" max="10250" width="17.5703125" style="242" bestFit="1" customWidth="1"/>
    <col min="10251" max="10252" width="15.28515625" style="242" customWidth="1"/>
    <col min="10253" max="10253" width="36.42578125" style="242" customWidth="1"/>
    <col min="10254" max="10254" width="15.5703125" style="242" customWidth="1"/>
    <col min="10255" max="10255" width="13.7109375" style="242" customWidth="1"/>
    <col min="10256" max="10256" width="17.28515625" style="242" bestFit="1" customWidth="1"/>
    <col min="10257" max="10257" width="20.140625" style="242" customWidth="1"/>
    <col min="10258" max="10258" width="10.5703125" style="242" customWidth="1"/>
    <col min="10259" max="10265" width="9.140625" style="242"/>
    <col min="10266" max="10266" width="12.85546875" style="242" customWidth="1"/>
    <col min="10267" max="10267" width="13.140625" style="242" customWidth="1"/>
    <col min="10268" max="10268" width="15.5703125" style="242" customWidth="1"/>
    <col min="10269" max="10496" width="9.140625" style="242"/>
    <col min="10497" max="10497" width="57.7109375" style="242" customWidth="1"/>
    <col min="10498" max="10498" width="21.42578125" style="242" customWidth="1"/>
    <col min="10499" max="10499" width="25.85546875" style="242" customWidth="1"/>
    <col min="10500" max="10500" width="30.7109375" style="242" bestFit="1" customWidth="1"/>
    <col min="10501" max="10501" width="12.5703125" style="242" customWidth="1"/>
    <col min="10502" max="10502" width="15.140625" style="242" customWidth="1"/>
    <col min="10503" max="10503" width="13.42578125" style="242" bestFit="1" customWidth="1"/>
    <col min="10504" max="10504" width="29.42578125" style="242" customWidth="1"/>
    <col min="10505" max="10505" width="24.85546875" style="242" customWidth="1"/>
    <col min="10506" max="10506" width="17.5703125" style="242" bestFit="1" customWidth="1"/>
    <col min="10507" max="10508" width="15.28515625" style="242" customWidth="1"/>
    <col min="10509" max="10509" width="36.42578125" style="242" customWidth="1"/>
    <col min="10510" max="10510" width="15.5703125" style="242" customWidth="1"/>
    <col min="10511" max="10511" width="13.7109375" style="242" customWidth="1"/>
    <col min="10512" max="10512" width="17.28515625" style="242" bestFit="1" customWidth="1"/>
    <col min="10513" max="10513" width="20.140625" style="242" customWidth="1"/>
    <col min="10514" max="10514" width="10.5703125" style="242" customWidth="1"/>
    <col min="10515" max="10521" width="9.140625" style="242"/>
    <col min="10522" max="10522" width="12.85546875" style="242" customWidth="1"/>
    <col min="10523" max="10523" width="13.140625" style="242" customWidth="1"/>
    <col min="10524" max="10524" width="15.5703125" style="242" customWidth="1"/>
    <col min="10525" max="10752" width="9.140625" style="242"/>
    <col min="10753" max="10753" width="57.7109375" style="242" customWidth="1"/>
    <col min="10754" max="10754" width="21.42578125" style="242" customWidth="1"/>
    <col min="10755" max="10755" width="25.85546875" style="242" customWidth="1"/>
    <col min="10756" max="10756" width="30.7109375" style="242" bestFit="1" customWidth="1"/>
    <col min="10757" max="10757" width="12.5703125" style="242" customWidth="1"/>
    <col min="10758" max="10758" width="15.140625" style="242" customWidth="1"/>
    <col min="10759" max="10759" width="13.42578125" style="242" bestFit="1" customWidth="1"/>
    <col min="10760" max="10760" width="29.42578125" style="242" customWidth="1"/>
    <col min="10761" max="10761" width="24.85546875" style="242" customWidth="1"/>
    <col min="10762" max="10762" width="17.5703125" style="242" bestFit="1" customWidth="1"/>
    <col min="10763" max="10764" width="15.28515625" style="242" customWidth="1"/>
    <col min="10765" max="10765" width="36.42578125" style="242" customWidth="1"/>
    <col min="10766" max="10766" width="15.5703125" style="242" customWidth="1"/>
    <col min="10767" max="10767" width="13.7109375" style="242" customWidth="1"/>
    <col min="10768" max="10768" width="17.28515625" style="242" bestFit="1" customWidth="1"/>
    <col min="10769" max="10769" width="20.140625" style="242" customWidth="1"/>
    <col min="10770" max="10770" width="10.5703125" style="242" customWidth="1"/>
    <col min="10771" max="10777" width="9.140625" style="242"/>
    <col min="10778" max="10778" width="12.85546875" style="242" customWidth="1"/>
    <col min="10779" max="10779" width="13.140625" style="242" customWidth="1"/>
    <col min="10780" max="10780" width="15.5703125" style="242" customWidth="1"/>
    <col min="10781" max="11008" width="9.140625" style="242"/>
    <col min="11009" max="11009" width="57.7109375" style="242" customWidth="1"/>
    <col min="11010" max="11010" width="21.42578125" style="242" customWidth="1"/>
    <col min="11011" max="11011" width="25.85546875" style="242" customWidth="1"/>
    <col min="11012" max="11012" width="30.7109375" style="242" bestFit="1" customWidth="1"/>
    <col min="11013" max="11013" width="12.5703125" style="242" customWidth="1"/>
    <col min="11014" max="11014" width="15.140625" style="242" customWidth="1"/>
    <col min="11015" max="11015" width="13.42578125" style="242" bestFit="1" customWidth="1"/>
    <col min="11016" max="11016" width="29.42578125" style="242" customWidth="1"/>
    <col min="11017" max="11017" width="24.85546875" style="242" customWidth="1"/>
    <col min="11018" max="11018" width="17.5703125" style="242" bestFit="1" customWidth="1"/>
    <col min="11019" max="11020" width="15.28515625" style="242" customWidth="1"/>
    <col min="11021" max="11021" width="36.42578125" style="242" customWidth="1"/>
    <col min="11022" max="11022" width="15.5703125" style="242" customWidth="1"/>
    <col min="11023" max="11023" width="13.7109375" style="242" customWidth="1"/>
    <col min="11024" max="11024" width="17.28515625" style="242" bestFit="1" customWidth="1"/>
    <col min="11025" max="11025" width="20.140625" style="242" customWidth="1"/>
    <col min="11026" max="11026" width="10.5703125" style="242" customWidth="1"/>
    <col min="11027" max="11033" width="9.140625" style="242"/>
    <col min="11034" max="11034" width="12.85546875" style="242" customWidth="1"/>
    <col min="11035" max="11035" width="13.140625" style="242" customWidth="1"/>
    <col min="11036" max="11036" width="15.5703125" style="242" customWidth="1"/>
    <col min="11037" max="11264" width="9.140625" style="242"/>
    <col min="11265" max="11265" width="57.7109375" style="242" customWidth="1"/>
    <col min="11266" max="11266" width="21.42578125" style="242" customWidth="1"/>
    <col min="11267" max="11267" width="25.85546875" style="242" customWidth="1"/>
    <col min="11268" max="11268" width="30.7109375" style="242" bestFit="1" customWidth="1"/>
    <col min="11269" max="11269" width="12.5703125" style="242" customWidth="1"/>
    <col min="11270" max="11270" width="15.140625" style="242" customWidth="1"/>
    <col min="11271" max="11271" width="13.42578125" style="242" bestFit="1" customWidth="1"/>
    <col min="11272" max="11272" width="29.42578125" style="242" customWidth="1"/>
    <col min="11273" max="11273" width="24.85546875" style="242" customWidth="1"/>
    <col min="11274" max="11274" width="17.5703125" style="242" bestFit="1" customWidth="1"/>
    <col min="11275" max="11276" width="15.28515625" style="242" customWidth="1"/>
    <col min="11277" max="11277" width="36.42578125" style="242" customWidth="1"/>
    <col min="11278" max="11278" width="15.5703125" style="242" customWidth="1"/>
    <col min="11279" max="11279" width="13.7109375" style="242" customWidth="1"/>
    <col min="11280" max="11280" width="17.28515625" style="242" bestFit="1" customWidth="1"/>
    <col min="11281" max="11281" width="20.140625" style="242" customWidth="1"/>
    <col min="11282" max="11282" width="10.5703125" style="242" customWidth="1"/>
    <col min="11283" max="11289" width="9.140625" style="242"/>
    <col min="11290" max="11290" width="12.85546875" style="242" customWidth="1"/>
    <col min="11291" max="11291" width="13.140625" style="242" customWidth="1"/>
    <col min="11292" max="11292" width="15.5703125" style="242" customWidth="1"/>
    <col min="11293" max="11520" width="9.140625" style="242"/>
    <col min="11521" max="11521" width="57.7109375" style="242" customWidth="1"/>
    <col min="11522" max="11522" width="21.42578125" style="242" customWidth="1"/>
    <col min="11523" max="11523" width="25.85546875" style="242" customWidth="1"/>
    <col min="11524" max="11524" width="30.7109375" style="242" bestFit="1" customWidth="1"/>
    <col min="11525" max="11525" width="12.5703125" style="242" customWidth="1"/>
    <col min="11526" max="11526" width="15.140625" style="242" customWidth="1"/>
    <col min="11527" max="11527" width="13.42578125" style="242" bestFit="1" customWidth="1"/>
    <col min="11528" max="11528" width="29.42578125" style="242" customWidth="1"/>
    <col min="11529" max="11529" width="24.85546875" style="242" customWidth="1"/>
    <col min="11530" max="11530" width="17.5703125" style="242" bestFit="1" customWidth="1"/>
    <col min="11531" max="11532" width="15.28515625" style="242" customWidth="1"/>
    <col min="11533" max="11533" width="36.42578125" style="242" customWidth="1"/>
    <col min="11534" max="11534" width="15.5703125" style="242" customWidth="1"/>
    <col min="11535" max="11535" width="13.7109375" style="242" customWidth="1"/>
    <col min="11536" max="11536" width="17.28515625" style="242" bestFit="1" customWidth="1"/>
    <col min="11537" max="11537" width="20.140625" style="242" customWidth="1"/>
    <col min="11538" max="11538" width="10.5703125" style="242" customWidth="1"/>
    <col min="11539" max="11545" width="9.140625" style="242"/>
    <col min="11546" max="11546" width="12.85546875" style="242" customWidth="1"/>
    <col min="11547" max="11547" width="13.140625" style="242" customWidth="1"/>
    <col min="11548" max="11548" width="15.5703125" style="242" customWidth="1"/>
    <col min="11549" max="11776" width="9.140625" style="242"/>
    <col min="11777" max="11777" width="57.7109375" style="242" customWidth="1"/>
    <col min="11778" max="11778" width="21.42578125" style="242" customWidth="1"/>
    <col min="11779" max="11779" width="25.85546875" style="242" customWidth="1"/>
    <col min="11780" max="11780" width="30.7109375" style="242" bestFit="1" customWidth="1"/>
    <col min="11781" max="11781" width="12.5703125" style="242" customWidth="1"/>
    <col min="11782" max="11782" width="15.140625" style="242" customWidth="1"/>
    <col min="11783" max="11783" width="13.42578125" style="242" bestFit="1" customWidth="1"/>
    <col min="11784" max="11784" width="29.42578125" style="242" customWidth="1"/>
    <col min="11785" max="11785" width="24.85546875" style="242" customWidth="1"/>
    <col min="11786" max="11786" width="17.5703125" style="242" bestFit="1" customWidth="1"/>
    <col min="11787" max="11788" width="15.28515625" style="242" customWidth="1"/>
    <col min="11789" max="11789" width="36.42578125" style="242" customWidth="1"/>
    <col min="11790" max="11790" width="15.5703125" style="242" customWidth="1"/>
    <col min="11791" max="11791" width="13.7109375" style="242" customWidth="1"/>
    <col min="11792" max="11792" width="17.28515625" style="242" bestFit="1" customWidth="1"/>
    <col min="11793" max="11793" width="20.140625" style="242" customWidth="1"/>
    <col min="11794" max="11794" width="10.5703125" style="242" customWidth="1"/>
    <col min="11795" max="11801" width="9.140625" style="242"/>
    <col min="11802" max="11802" width="12.85546875" style="242" customWidth="1"/>
    <col min="11803" max="11803" width="13.140625" style="242" customWidth="1"/>
    <col min="11804" max="11804" width="15.5703125" style="242" customWidth="1"/>
    <col min="11805" max="12032" width="9.140625" style="242"/>
    <col min="12033" max="12033" width="57.7109375" style="242" customWidth="1"/>
    <col min="12034" max="12034" width="21.42578125" style="242" customWidth="1"/>
    <col min="12035" max="12035" width="25.85546875" style="242" customWidth="1"/>
    <col min="12036" max="12036" width="30.7109375" style="242" bestFit="1" customWidth="1"/>
    <col min="12037" max="12037" width="12.5703125" style="242" customWidth="1"/>
    <col min="12038" max="12038" width="15.140625" style="242" customWidth="1"/>
    <col min="12039" max="12039" width="13.42578125" style="242" bestFit="1" customWidth="1"/>
    <col min="12040" max="12040" width="29.42578125" style="242" customWidth="1"/>
    <col min="12041" max="12041" width="24.85546875" style="242" customWidth="1"/>
    <col min="12042" max="12042" width="17.5703125" style="242" bestFit="1" customWidth="1"/>
    <col min="12043" max="12044" width="15.28515625" style="242" customWidth="1"/>
    <col min="12045" max="12045" width="36.42578125" style="242" customWidth="1"/>
    <col min="12046" max="12046" width="15.5703125" style="242" customWidth="1"/>
    <col min="12047" max="12047" width="13.7109375" style="242" customWidth="1"/>
    <col min="12048" max="12048" width="17.28515625" style="242" bestFit="1" customWidth="1"/>
    <col min="12049" max="12049" width="20.140625" style="242" customWidth="1"/>
    <col min="12050" max="12050" width="10.5703125" style="242" customWidth="1"/>
    <col min="12051" max="12057" width="9.140625" style="242"/>
    <col min="12058" max="12058" width="12.85546875" style="242" customWidth="1"/>
    <col min="12059" max="12059" width="13.140625" style="242" customWidth="1"/>
    <col min="12060" max="12060" width="15.5703125" style="242" customWidth="1"/>
    <col min="12061" max="12288" width="9.140625" style="242"/>
    <col min="12289" max="12289" width="57.7109375" style="242" customWidth="1"/>
    <col min="12290" max="12290" width="21.42578125" style="242" customWidth="1"/>
    <col min="12291" max="12291" width="25.85546875" style="242" customWidth="1"/>
    <col min="12292" max="12292" width="30.7109375" style="242" bestFit="1" customWidth="1"/>
    <col min="12293" max="12293" width="12.5703125" style="242" customWidth="1"/>
    <col min="12294" max="12294" width="15.140625" style="242" customWidth="1"/>
    <col min="12295" max="12295" width="13.42578125" style="242" bestFit="1" customWidth="1"/>
    <col min="12296" max="12296" width="29.42578125" style="242" customWidth="1"/>
    <col min="12297" max="12297" width="24.85546875" style="242" customWidth="1"/>
    <col min="12298" max="12298" width="17.5703125" style="242" bestFit="1" customWidth="1"/>
    <col min="12299" max="12300" width="15.28515625" style="242" customWidth="1"/>
    <col min="12301" max="12301" width="36.42578125" style="242" customWidth="1"/>
    <col min="12302" max="12302" width="15.5703125" style="242" customWidth="1"/>
    <col min="12303" max="12303" width="13.7109375" style="242" customWidth="1"/>
    <col min="12304" max="12304" width="17.28515625" style="242" bestFit="1" customWidth="1"/>
    <col min="12305" max="12305" width="20.140625" style="242" customWidth="1"/>
    <col min="12306" max="12306" width="10.5703125" style="242" customWidth="1"/>
    <col min="12307" max="12313" width="9.140625" style="242"/>
    <col min="12314" max="12314" width="12.85546875" style="242" customWidth="1"/>
    <col min="12315" max="12315" width="13.140625" style="242" customWidth="1"/>
    <col min="12316" max="12316" width="15.5703125" style="242" customWidth="1"/>
    <col min="12317" max="12544" width="9.140625" style="242"/>
    <col min="12545" max="12545" width="57.7109375" style="242" customWidth="1"/>
    <col min="12546" max="12546" width="21.42578125" style="242" customWidth="1"/>
    <col min="12547" max="12547" width="25.85546875" style="242" customWidth="1"/>
    <col min="12548" max="12548" width="30.7109375" style="242" bestFit="1" customWidth="1"/>
    <col min="12549" max="12549" width="12.5703125" style="242" customWidth="1"/>
    <col min="12550" max="12550" width="15.140625" style="242" customWidth="1"/>
    <col min="12551" max="12551" width="13.42578125" style="242" bestFit="1" customWidth="1"/>
    <col min="12552" max="12552" width="29.42578125" style="242" customWidth="1"/>
    <col min="12553" max="12553" width="24.85546875" style="242" customWidth="1"/>
    <col min="12554" max="12554" width="17.5703125" style="242" bestFit="1" customWidth="1"/>
    <col min="12555" max="12556" width="15.28515625" style="242" customWidth="1"/>
    <col min="12557" max="12557" width="36.42578125" style="242" customWidth="1"/>
    <col min="12558" max="12558" width="15.5703125" style="242" customWidth="1"/>
    <col min="12559" max="12559" width="13.7109375" style="242" customWidth="1"/>
    <col min="12560" max="12560" width="17.28515625" style="242" bestFit="1" customWidth="1"/>
    <col min="12561" max="12561" width="20.140625" style="242" customWidth="1"/>
    <col min="12562" max="12562" width="10.5703125" style="242" customWidth="1"/>
    <col min="12563" max="12569" width="9.140625" style="242"/>
    <col min="12570" max="12570" width="12.85546875" style="242" customWidth="1"/>
    <col min="12571" max="12571" width="13.140625" style="242" customWidth="1"/>
    <col min="12572" max="12572" width="15.5703125" style="242" customWidth="1"/>
    <col min="12573" max="12800" width="9.140625" style="242"/>
    <col min="12801" max="12801" width="57.7109375" style="242" customWidth="1"/>
    <col min="12802" max="12802" width="21.42578125" style="242" customWidth="1"/>
    <col min="12803" max="12803" width="25.85546875" style="242" customWidth="1"/>
    <col min="12804" max="12804" width="30.7109375" style="242" bestFit="1" customWidth="1"/>
    <col min="12805" max="12805" width="12.5703125" style="242" customWidth="1"/>
    <col min="12806" max="12806" width="15.140625" style="242" customWidth="1"/>
    <col min="12807" max="12807" width="13.42578125" style="242" bestFit="1" customWidth="1"/>
    <col min="12808" max="12808" width="29.42578125" style="242" customWidth="1"/>
    <col min="12809" max="12809" width="24.85546875" style="242" customWidth="1"/>
    <col min="12810" max="12810" width="17.5703125" style="242" bestFit="1" customWidth="1"/>
    <col min="12811" max="12812" width="15.28515625" style="242" customWidth="1"/>
    <col min="12813" max="12813" width="36.42578125" style="242" customWidth="1"/>
    <col min="12814" max="12814" width="15.5703125" style="242" customWidth="1"/>
    <col min="12815" max="12815" width="13.7109375" style="242" customWidth="1"/>
    <col min="12816" max="12816" width="17.28515625" style="242" bestFit="1" customWidth="1"/>
    <col min="12817" max="12817" width="20.140625" style="242" customWidth="1"/>
    <col min="12818" max="12818" width="10.5703125" style="242" customWidth="1"/>
    <col min="12819" max="12825" width="9.140625" style="242"/>
    <col min="12826" max="12826" width="12.85546875" style="242" customWidth="1"/>
    <col min="12827" max="12827" width="13.140625" style="242" customWidth="1"/>
    <col min="12828" max="12828" width="15.5703125" style="242" customWidth="1"/>
    <col min="12829" max="13056" width="9.140625" style="242"/>
    <col min="13057" max="13057" width="57.7109375" style="242" customWidth="1"/>
    <col min="13058" max="13058" width="21.42578125" style="242" customWidth="1"/>
    <col min="13059" max="13059" width="25.85546875" style="242" customWidth="1"/>
    <col min="13060" max="13060" width="30.7109375" style="242" bestFit="1" customWidth="1"/>
    <col min="13061" max="13061" width="12.5703125" style="242" customWidth="1"/>
    <col min="13062" max="13062" width="15.140625" style="242" customWidth="1"/>
    <col min="13063" max="13063" width="13.42578125" style="242" bestFit="1" customWidth="1"/>
    <col min="13064" max="13064" width="29.42578125" style="242" customWidth="1"/>
    <col min="13065" max="13065" width="24.85546875" style="242" customWidth="1"/>
    <col min="13066" max="13066" width="17.5703125" style="242" bestFit="1" customWidth="1"/>
    <col min="13067" max="13068" width="15.28515625" style="242" customWidth="1"/>
    <col min="13069" max="13069" width="36.42578125" style="242" customWidth="1"/>
    <col min="13070" max="13070" width="15.5703125" style="242" customWidth="1"/>
    <col min="13071" max="13071" width="13.7109375" style="242" customWidth="1"/>
    <col min="13072" max="13072" width="17.28515625" style="242" bestFit="1" customWidth="1"/>
    <col min="13073" max="13073" width="20.140625" style="242" customWidth="1"/>
    <col min="13074" max="13074" width="10.5703125" style="242" customWidth="1"/>
    <col min="13075" max="13081" width="9.140625" style="242"/>
    <col min="13082" max="13082" width="12.85546875" style="242" customWidth="1"/>
    <col min="13083" max="13083" width="13.140625" style="242" customWidth="1"/>
    <col min="13084" max="13084" width="15.5703125" style="242" customWidth="1"/>
    <col min="13085" max="13312" width="9.140625" style="242"/>
    <col min="13313" max="13313" width="57.7109375" style="242" customWidth="1"/>
    <col min="13314" max="13314" width="21.42578125" style="242" customWidth="1"/>
    <col min="13315" max="13315" width="25.85546875" style="242" customWidth="1"/>
    <col min="13316" max="13316" width="30.7109375" style="242" bestFit="1" customWidth="1"/>
    <col min="13317" max="13317" width="12.5703125" style="242" customWidth="1"/>
    <col min="13318" max="13318" width="15.140625" style="242" customWidth="1"/>
    <col min="13319" max="13319" width="13.42578125" style="242" bestFit="1" customWidth="1"/>
    <col min="13320" max="13320" width="29.42578125" style="242" customWidth="1"/>
    <col min="13321" max="13321" width="24.85546875" style="242" customWidth="1"/>
    <col min="13322" max="13322" width="17.5703125" style="242" bestFit="1" customWidth="1"/>
    <col min="13323" max="13324" width="15.28515625" style="242" customWidth="1"/>
    <col min="13325" max="13325" width="36.42578125" style="242" customWidth="1"/>
    <col min="13326" max="13326" width="15.5703125" style="242" customWidth="1"/>
    <col min="13327" max="13327" width="13.7109375" style="242" customWidth="1"/>
    <col min="13328" max="13328" width="17.28515625" style="242" bestFit="1" customWidth="1"/>
    <col min="13329" max="13329" width="20.140625" style="242" customWidth="1"/>
    <col min="13330" max="13330" width="10.5703125" style="242" customWidth="1"/>
    <col min="13331" max="13337" width="9.140625" style="242"/>
    <col min="13338" max="13338" width="12.85546875" style="242" customWidth="1"/>
    <col min="13339" max="13339" width="13.140625" style="242" customWidth="1"/>
    <col min="13340" max="13340" width="15.5703125" style="242" customWidth="1"/>
    <col min="13341" max="13568" width="9.140625" style="242"/>
    <col min="13569" max="13569" width="57.7109375" style="242" customWidth="1"/>
    <col min="13570" max="13570" width="21.42578125" style="242" customWidth="1"/>
    <col min="13571" max="13571" width="25.85546875" style="242" customWidth="1"/>
    <col min="13572" max="13572" width="30.7109375" style="242" bestFit="1" customWidth="1"/>
    <col min="13573" max="13573" width="12.5703125" style="242" customWidth="1"/>
    <col min="13574" max="13574" width="15.140625" style="242" customWidth="1"/>
    <col min="13575" max="13575" width="13.42578125" style="242" bestFit="1" customWidth="1"/>
    <col min="13576" max="13576" width="29.42578125" style="242" customWidth="1"/>
    <col min="13577" max="13577" width="24.85546875" style="242" customWidth="1"/>
    <col min="13578" max="13578" width="17.5703125" style="242" bestFit="1" customWidth="1"/>
    <col min="13579" max="13580" width="15.28515625" style="242" customWidth="1"/>
    <col min="13581" max="13581" width="36.42578125" style="242" customWidth="1"/>
    <col min="13582" max="13582" width="15.5703125" style="242" customWidth="1"/>
    <col min="13583" max="13583" width="13.7109375" style="242" customWidth="1"/>
    <col min="13584" max="13584" width="17.28515625" style="242" bestFit="1" customWidth="1"/>
    <col min="13585" max="13585" width="20.140625" style="242" customWidth="1"/>
    <col min="13586" max="13586" width="10.5703125" style="242" customWidth="1"/>
    <col min="13587" max="13593" width="9.140625" style="242"/>
    <col min="13594" max="13594" width="12.85546875" style="242" customWidth="1"/>
    <col min="13595" max="13595" width="13.140625" style="242" customWidth="1"/>
    <col min="13596" max="13596" width="15.5703125" style="242" customWidth="1"/>
    <col min="13597" max="13824" width="9.140625" style="242"/>
    <col min="13825" max="13825" width="57.7109375" style="242" customWidth="1"/>
    <col min="13826" max="13826" width="21.42578125" style="242" customWidth="1"/>
    <col min="13827" max="13827" width="25.85546875" style="242" customWidth="1"/>
    <col min="13828" max="13828" width="30.7109375" style="242" bestFit="1" customWidth="1"/>
    <col min="13829" max="13829" width="12.5703125" style="242" customWidth="1"/>
    <col min="13830" max="13830" width="15.140625" style="242" customWidth="1"/>
    <col min="13831" max="13831" width="13.42578125" style="242" bestFit="1" customWidth="1"/>
    <col min="13832" max="13832" width="29.42578125" style="242" customWidth="1"/>
    <col min="13833" max="13833" width="24.85546875" style="242" customWidth="1"/>
    <col min="13834" max="13834" width="17.5703125" style="242" bestFit="1" customWidth="1"/>
    <col min="13835" max="13836" width="15.28515625" style="242" customWidth="1"/>
    <col min="13837" max="13837" width="36.42578125" style="242" customWidth="1"/>
    <col min="13838" max="13838" width="15.5703125" style="242" customWidth="1"/>
    <col min="13839" max="13839" width="13.7109375" style="242" customWidth="1"/>
    <col min="13840" max="13840" width="17.28515625" style="242" bestFit="1" customWidth="1"/>
    <col min="13841" max="13841" width="20.140625" style="242" customWidth="1"/>
    <col min="13842" max="13842" width="10.5703125" style="242" customWidth="1"/>
    <col min="13843" max="13849" width="9.140625" style="242"/>
    <col min="13850" max="13850" width="12.85546875" style="242" customWidth="1"/>
    <col min="13851" max="13851" width="13.140625" style="242" customWidth="1"/>
    <col min="13852" max="13852" width="15.5703125" style="242" customWidth="1"/>
    <col min="13853" max="14080" width="9.140625" style="242"/>
    <col min="14081" max="14081" width="57.7109375" style="242" customWidth="1"/>
    <col min="14082" max="14082" width="21.42578125" style="242" customWidth="1"/>
    <col min="14083" max="14083" width="25.85546875" style="242" customWidth="1"/>
    <col min="14084" max="14084" width="30.7109375" style="242" bestFit="1" customWidth="1"/>
    <col min="14085" max="14085" width="12.5703125" style="242" customWidth="1"/>
    <col min="14086" max="14086" width="15.140625" style="242" customWidth="1"/>
    <col min="14087" max="14087" width="13.42578125" style="242" bestFit="1" customWidth="1"/>
    <col min="14088" max="14088" width="29.42578125" style="242" customWidth="1"/>
    <col min="14089" max="14089" width="24.85546875" style="242" customWidth="1"/>
    <col min="14090" max="14090" width="17.5703125" style="242" bestFit="1" customWidth="1"/>
    <col min="14091" max="14092" width="15.28515625" style="242" customWidth="1"/>
    <col min="14093" max="14093" width="36.42578125" style="242" customWidth="1"/>
    <col min="14094" max="14094" width="15.5703125" style="242" customWidth="1"/>
    <col min="14095" max="14095" width="13.7109375" style="242" customWidth="1"/>
    <col min="14096" max="14096" width="17.28515625" style="242" bestFit="1" customWidth="1"/>
    <col min="14097" max="14097" width="20.140625" style="242" customWidth="1"/>
    <col min="14098" max="14098" width="10.5703125" style="242" customWidth="1"/>
    <col min="14099" max="14105" width="9.140625" style="242"/>
    <col min="14106" max="14106" width="12.85546875" style="242" customWidth="1"/>
    <col min="14107" max="14107" width="13.140625" style="242" customWidth="1"/>
    <col min="14108" max="14108" width="15.5703125" style="242" customWidth="1"/>
    <col min="14109" max="14336" width="9.140625" style="242"/>
    <col min="14337" max="14337" width="57.7109375" style="242" customWidth="1"/>
    <col min="14338" max="14338" width="21.42578125" style="242" customWidth="1"/>
    <col min="14339" max="14339" width="25.85546875" style="242" customWidth="1"/>
    <col min="14340" max="14340" width="30.7109375" style="242" bestFit="1" customWidth="1"/>
    <col min="14341" max="14341" width="12.5703125" style="242" customWidth="1"/>
    <col min="14342" max="14342" width="15.140625" style="242" customWidth="1"/>
    <col min="14343" max="14343" width="13.42578125" style="242" bestFit="1" customWidth="1"/>
    <col min="14344" max="14344" width="29.42578125" style="242" customWidth="1"/>
    <col min="14345" max="14345" width="24.85546875" style="242" customWidth="1"/>
    <col min="14346" max="14346" width="17.5703125" style="242" bestFit="1" customWidth="1"/>
    <col min="14347" max="14348" width="15.28515625" style="242" customWidth="1"/>
    <col min="14349" max="14349" width="36.42578125" style="242" customWidth="1"/>
    <col min="14350" max="14350" width="15.5703125" style="242" customWidth="1"/>
    <col min="14351" max="14351" width="13.7109375" style="242" customWidth="1"/>
    <col min="14352" max="14352" width="17.28515625" style="242" bestFit="1" customWidth="1"/>
    <col min="14353" max="14353" width="20.140625" style="242" customWidth="1"/>
    <col min="14354" max="14354" width="10.5703125" style="242" customWidth="1"/>
    <col min="14355" max="14361" width="9.140625" style="242"/>
    <col min="14362" max="14362" width="12.85546875" style="242" customWidth="1"/>
    <col min="14363" max="14363" width="13.140625" style="242" customWidth="1"/>
    <col min="14364" max="14364" width="15.5703125" style="242" customWidth="1"/>
    <col min="14365" max="14592" width="9.140625" style="242"/>
    <col min="14593" max="14593" width="57.7109375" style="242" customWidth="1"/>
    <col min="14594" max="14594" width="21.42578125" style="242" customWidth="1"/>
    <col min="14595" max="14595" width="25.85546875" style="242" customWidth="1"/>
    <col min="14596" max="14596" width="30.7109375" style="242" bestFit="1" customWidth="1"/>
    <col min="14597" max="14597" width="12.5703125" style="242" customWidth="1"/>
    <col min="14598" max="14598" width="15.140625" style="242" customWidth="1"/>
    <col min="14599" max="14599" width="13.42578125" style="242" bestFit="1" customWidth="1"/>
    <col min="14600" max="14600" width="29.42578125" style="242" customWidth="1"/>
    <col min="14601" max="14601" width="24.85546875" style="242" customWidth="1"/>
    <col min="14602" max="14602" width="17.5703125" style="242" bestFit="1" customWidth="1"/>
    <col min="14603" max="14604" width="15.28515625" style="242" customWidth="1"/>
    <col min="14605" max="14605" width="36.42578125" style="242" customWidth="1"/>
    <col min="14606" max="14606" width="15.5703125" style="242" customWidth="1"/>
    <col min="14607" max="14607" width="13.7109375" style="242" customWidth="1"/>
    <col min="14608" max="14608" width="17.28515625" style="242" bestFit="1" customWidth="1"/>
    <col min="14609" max="14609" width="20.140625" style="242" customWidth="1"/>
    <col min="14610" max="14610" width="10.5703125" style="242" customWidth="1"/>
    <col min="14611" max="14617" width="9.140625" style="242"/>
    <col min="14618" max="14618" width="12.85546875" style="242" customWidth="1"/>
    <col min="14619" max="14619" width="13.140625" style="242" customWidth="1"/>
    <col min="14620" max="14620" width="15.5703125" style="242" customWidth="1"/>
    <col min="14621" max="14848" width="9.140625" style="242"/>
    <col min="14849" max="14849" width="57.7109375" style="242" customWidth="1"/>
    <col min="14850" max="14850" width="21.42578125" style="242" customWidth="1"/>
    <col min="14851" max="14851" width="25.85546875" style="242" customWidth="1"/>
    <col min="14852" max="14852" width="30.7109375" style="242" bestFit="1" customWidth="1"/>
    <col min="14853" max="14853" width="12.5703125" style="242" customWidth="1"/>
    <col min="14854" max="14854" width="15.140625" style="242" customWidth="1"/>
    <col min="14855" max="14855" width="13.42578125" style="242" bestFit="1" customWidth="1"/>
    <col min="14856" max="14856" width="29.42578125" style="242" customWidth="1"/>
    <col min="14857" max="14857" width="24.85546875" style="242" customWidth="1"/>
    <col min="14858" max="14858" width="17.5703125" style="242" bestFit="1" customWidth="1"/>
    <col min="14859" max="14860" width="15.28515625" style="242" customWidth="1"/>
    <col min="14861" max="14861" width="36.42578125" style="242" customWidth="1"/>
    <col min="14862" max="14862" width="15.5703125" style="242" customWidth="1"/>
    <col min="14863" max="14863" width="13.7109375" style="242" customWidth="1"/>
    <col min="14864" max="14864" width="17.28515625" style="242" bestFit="1" customWidth="1"/>
    <col min="14865" max="14865" width="20.140625" style="242" customWidth="1"/>
    <col min="14866" max="14866" width="10.5703125" style="242" customWidth="1"/>
    <col min="14867" max="14873" width="9.140625" style="242"/>
    <col min="14874" max="14874" width="12.85546875" style="242" customWidth="1"/>
    <col min="14875" max="14875" width="13.140625" style="242" customWidth="1"/>
    <col min="14876" max="14876" width="15.5703125" style="242" customWidth="1"/>
    <col min="14877" max="15104" width="9.140625" style="242"/>
    <col min="15105" max="15105" width="57.7109375" style="242" customWidth="1"/>
    <col min="15106" max="15106" width="21.42578125" style="242" customWidth="1"/>
    <col min="15107" max="15107" width="25.85546875" style="242" customWidth="1"/>
    <col min="15108" max="15108" width="30.7109375" style="242" bestFit="1" customWidth="1"/>
    <col min="15109" max="15109" width="12.5703125" style="242" customWidth="1"/>
    <col min="15110" max="15110" width="15.140625" style="242" customWidth="1"/>
    <col min="15111" max="15111" width="13.42578125" style="242" bestFit="1" customWidth="1"/>
    <col min="15112" max="15112" width="29.42578125" style="242" customWidth="1"/>
    <col min="15113" max="15113" width="24.85546875" style="242" customWidth="1"/>
    <col min="15114" max="15114" width="17.5703125" style="242" bestFit="1" customWidth="1"/>
    <col min="15115" max="15116" width="15.28515625" style="242" customWidth="1"/>
    <col min="15117" max="15117" width="36.42578125" style="242" customWidth="1"/>
    <col min="15118" max="15118" width="15.5703125" style="242" customWidth="1"/>
    <col min="15119" max="15119" width="13.7109375" style="242" customWidth="1"/>
    <col min="15120" max="15120" width="17.28515625" style="242" bestFit="1" customWidth="1"/>
    <col min="15121" max="15121" width="20.140625" style="242" customWidth="1"/>
    <col min="15122" max="15122" width="10.5703125" style="242" customWidth="1"/>
    <col min="15123" max="15129" width="9.140625" style="242"/>
    <col min="15130" max="15130" width="12.85546875" style="242" customWidth="1"/>
    <col min="15131" max="15131" width="13.140625" style="242" customWidth="1"/>
    <col min="15132" max="15132" width="15.5703125" style="242" customWidth="1"/>
    <col min="15133" max="15360" width="9.140625" style="242"/>
    <col min="15361" max="15361" width="57.7109375" style="242" customWidth="1"/>
    <col min="15362" max="15362" width="21.42578125" style="242" customWidth="1"/>
    <col min="15363" max="15363" width="25.85546875" style="242" customWidth="1"/>
    <col min="15364" max="15364" width="30.7109375" style="242" bestFit="1" customWidth="1"/>
    <col min="15365" max="15365" width="12.5703125" style="242" customWidth="1"/>
    <col min="15366" max="15366" width="15.140625" style="242" customWidth="1"/>
    <col min="15367" max="15367" width="13.42578125" style="242" bestFit="1" customWidth="1"/>
    <col min="15368" max="15368" width="29.42578125" style="242" customWidth="1"/>
    <col min="15369" max="15369" width="24.85546875" style="242" customWidth="1"/>
    <col min="15370" max="15370" width="17.5703125" style="242" bestFit="1" customWidth="1"/>
    <col min="15371" max="15372" width="15.28515625" style="242" customWidth="1"/>
    <col min="15373" max="15373" width="36.42578125" style="242" customWidth="1"/>
    <col min="15374" max="15374" width="15.5703125" style="242" customWidth="1"/>
    <col min="15375" max="15375" width="13.7109375" style="242" customWidth="1"/>
    <col min="15376" max="15376" width="17.28515625" style="242" bestFit="1" customWidth="1"/>
    <col min="15377" max="15377" width="20.140625" style="242" customWidth="1"/>
    <col min="15378" max="15378" width="10.5703125" style="242" customWidth="1"/>
    <col min="15379" max="15385" width="9.140625" style="242"/>
    <col min="15386" max="15386" width="12.85546875" style="242" customWidth="1"/>
    <col min="15387" max="15387" width="13.140625" style="242" customWidth="1"/>
    <col min="15388" max="15388" width="15.5703125" style="242" customWidth="1"/>
    <col min="15389" max="15616" width="9.140625" style="242"/>
    <col min="15617" max="15617" width="57.7109375" style="242" customWidth="1"/>
    <col min="15618" max="15618" width="21.42578125" style="242" customWidth="1"/>
    <col min="15619" max="15619" width="25.85546875" style="242" customWidth="1"/>
    <col min="15620" max="15620" width="30.7109375" style="242" bestFit="1" customWidth="1"/>
    <col min="15621" max="15621" width="12.5703125" style="242" customWidth="1"/>
    <col min="15622" max="15622" width="15.140625" style="242" customWidth="1"/>
    <col min="15623" max="15623" width="13.42578125" style="242" bestFit="1" customWidth="1"/>
    <col min="15624" max="15624" width="29.42578125" style="242" customWidth="1"/>
    <col min="15625" max="15625" width="24.85546875" style="242" customWidth="1"/>
    <col min="15626" max="15626" width="17.5703125" style="242" bestFit="1" customWidth="1"/>
    <col min="15627" max="15628" width="15.28515625" style="242" customWidth="1"/>
    <col min="15629" max="15629" width="36.42578125" style="242" customWidth="1"/>
    <col min="15630" max="15630" width="15.5703125" style="242" customWidth="1"/>
    <col min="15631" max="15631" width="13.7109375" style="242" customWidth="1"/>
    <col min="15632" max="15632" width="17.28515625" style="242" bestFit="1" customWidth="1"/>
    <col min="15633" max="15633" width="20.140625" style="242" customWidth="1"/>
    <col min="15634" max="15634" width="10.5703125" style="242" customWidth="1"/>
    <col min="15635" max="15641" width="9.140625" style="242"/>
    <col min="15642" max="15642" width="12.85546875" style="242" customWidth="1"/>
    <col min="15643" max="15643" width="13.140625" style="242" customWidth="1"/>
    <col min="15644" max="15644" width="15.5703125" style="242" customWidth="1"/>
    <col min="15645" max="15872" width="9.140625" style="242"/>
    <col min="15873" max="15873" width="57.7109375" style="242" customWidth="1"/>
    <col min="15874" max="15874" width="21.42578125" style="242" customWidth="1"/>
    <col min="15875" max="15875" width="25.85546875" style="242" customWidth="1"/>
    <col min="15876" max="15876" width="30.7109375" style="242" bestFit="1" customWidth="1"/>
    <col min="15877" max="15877" width="12.5703125" style="242" customWidth="1"/>
    <col min="15878" max="15878" width="15.140625" style="242" customWidth="1"/>
    <col min="15879" max="15879" width="13.42578125" style="242" bestFit="1" customWidth="1"/>
    <col min="15880" max="15880" width="29.42578125" style="242" customWidth="1"/>
    <col min="15881" max="15881" width="24.85546875" style="242" customWidth="1"/>
    <col min="15882" max="15882" width="17.5703125" style="242" bestFit="1" customWidth="1"/>
    <col min="15883" max="15884" width="15.28515625" style="242" customWidth="1"/>
    <col min="15885" max="15885" width="36.42578125" style="242" customWidth="1"/>
    <col min="15886" max="15886" width="15.5703125" style="242" customWidth="1"/>
    <col min="15887" max="15887" width="13.7109375" style="242" customWidth="1"/>
    <col min="15888" max="15888" width="17.28515625" style="242" bestFit="1" customWidth="1"/>
    <col min="15889" max="15889" width="20.140625" style="242" customWidth="1"/>
    <col min="15890" max="15890" width="10.5703125" style="242" customWidth="1"/>
    <col min="15891" max="15897" width="9.140625" style="242"/>
    <col min="15898" max="15898" width="12.85546875" style="242" customWidth="1"/>
    <col min="15899" max="15899" width="13.140625" style="242" customWidth="1"/>
    <col min="15900" max="15900" width="15.5703125" style="242" customWidth="1"/>
    <col min="15901" max="16128" width="9.140625" style="242"/>
    <col min="16129" max="16129" width="57.7109375" style="242" customWidth="1"/>
    <col min="16130" max="16130" width="21.42578125" style="242" customWidth="1"/>
    <col min="16131" max="16131" width="25.85546875" style="242" customWidth="1"/>
    <col min="16132" max="16132" width="30.7109375" style="242" bestFit="1" customWidth="1"/>
    <col min="16133" max="16133" width="12.5703125" style="242" customWidth="1"/>
    <col min="16134" max="16134" width="15.140625" style="242" customWidth="1"/>
    <col min="16135" max="16135" width="13.42578125" style="242" bestFit="1" customWidth="1"/>
    <col min="16136" max="16136" width="29.42578125" style="242" customWidth="1"/>
    <col min="16137" max="16137" width="24.85546875" style="242" customWidth="1"/>
    <col min="16138" max="16138" width="17.5703125" style="242" bestFit="1" customWidth="1"/>
    <col min="16139" max="16140" width="15.28515625" style="242" customWidth="1"/>
    <col min="16141" max="16141" width="36.42578125" style="242" customWidth="1"/>
    <col min="16142" max="16142" width="15.5703125" style="242" customWidth="1"/>
    <col min="16143" max="16143" width="13.7109375" style="242" customWidth="1"/>
    <col min="16144" max="16144" width="17.28515625" style="242" bestFit="1" customWidth="1"/>
    <col min="16145" max="16145" width="20.140625" style="242" customWidth="1"/>
    <col min="16146" max="16146" width="10.5703125" style="242" customWidth="1"/>
    <col min="16147" max="16153" width="9.140625" style="242"/>
    <col min="16154" max="16154" width="12.85546875" style="242" customWidth="1"/>
    <col min="16155" max="16155" width="13.140625" style="242" customWidth="1"/>
    <col min="16156" max="16156" width="15.5703125" style="242" customWidth="1"/>
    <col min="16157" max="16384" width="9.140625" style="242"/>
  </cols>
  <sheetData>
    <row r="1" spans="1:16" hidden="1">
      <c r="A1" s="242" t="s">
        <v>820</v>
      </c>
    </row>
    <row r="2" spans="1:16" hidden="1"/>
    <row r="3" spans="1:16" s="254" customFormat="1" hidden="1">
      <c r="A3" s="253" t="s">
        <v>821</v>
      </c>
      <c r="H3" s="255"/>
    </row>
    <row r="4" spans="1:16" s="254" customFormat="1" ht="45" hidden="1">
      <c r="A4" s="256"/>
      <c r="B4" s="257" t="s">
        <v>822</v>
      </c>
      <c r="C4" s="257" t="s">
        <v>823</v>
      </c>
      <c r="D4" s="257" t="s">
        <v>824</v>
      </c>
      <c r="E4" s="257" t="s">
        <v>825</v>
      </c>
      <c r="F4" s="257" t="s">
        <v>826</v>
      </c>
      <c r="G4" s="257" t="s">
        <v>827</v>
      </c>
      <c r="H4" s="257" t="s">
        <v>828</v>
      </c>
      <c r="I4" s="257" t="s">
        <v>829</v>
      </c>
      <c r="J4" s="257" t="s">
        <v>830</v>
      </c>
      <c r="K4" s="257" t="s">
        <v>831</v>
      </c>
      <c r="L4" s="258" t="s">
        <v>832</v>
      </c>
      <c r="M4" s="259" t="s">
        <v>833</v>
      </c>
      <c r="N4" s="259" t="s">
        <v>834</v>
      </c>
      <c r="O4" s="259" t="s">
        <v>835</v>
      </c>
      <c r="P4" s="259" t="s">
        <v>836</v>
      </c>
    </row>
    <row r="5" spans="1:16" s="254" customFormat="1" hidden="1">
      <c r="A5" s="244" t="s">
        <v>837</v>
      </c>
      <c r="B5" s="260">
        <v>0.34658169792647309</v>
      </c>
      <c r="C5" s="260">
        <v>0.25993627344485482</v>
      </c>
      <c r="D5" s="261">
        <v>20000</v>
      </c>
      <c r="E5" s="261">
        <v>76941.935555766046</v>
      </c>
      <c r="F5" s="261">
        <v>6000</v>
      </c>
      <c r="G5" s="261">
        <v>23082.580666729813</v>
      </c>
      <c r="H5" s="261">
        <v>34000</v>
      </c>
      <c r="I5" s="261">
        <v>1825</v>
      </c>
      <c r="J5" s="261">
        <v>10000</v>
      </c>
      <c r="K5" s="261">
        <v>0</v>
      </c>
      <c r="L5" s="262">
        <v>142626.29044480226</v>
      </c>
      <c r="M5" s="263">
        <f>1000000*C5*F13*H13</f>
        <v>105040.24809906582</v>
      </c>
      <c r="N5" s="264">
        <f>D5/M5</f>
        <v>0.19040320602763189</v>
      </c>
      <c r="O5" s="265">
        <f>(L5-G5)*C5</f>
        <v>31073.746433485401</v>
      </c>
      <c r="P5" s="266">
        <f>O5/M5</f>
        <v>0.29582704721126563</v>
      </c>
    </row>
    <row r="6" spans="1:16" s="254" customFormat="1" hidden="1">
      <c r="A6" s="244" t="s">
        <v>838</v>
      </c>
      <c r="B6" s="260">
        <v>3.4622784514925371</v>
      </c>
      <c r="C6" s="260">
        <v>2.5967088386194028</v>
      </c>
      <c r="D6" s="261">
        <v>50000</v>
      </c>
      <c r="E6" s="261">
        <v>19255.142993460751</v>
      </c>
      <c r="F6" s="261">
        <v>6000</v>
      </c>
      <c r="G6" s="261">
        <v>2310.61715921529</v>
      </c>
      <c r="H6" s="261">
        <v>34000</v>
      </c>
      <c r="I6" s="261">
        <v>1825</v>
      </c>
      <c r="J6" s="261">
        <v>10000</v>
      </c>
      <c r="K6" s="261">
        <v>0</v>
      </c>
      <c r="L6" s="262">
        <v>24918.49723555331</v>
      </c>
      <c r="M6" s="263">
        <f>1000000*C6*F14*H14</f>
        <v>874441.70140508376</v>
      </c>
      <c r="N6" s="264">
        <f>D6/M6</f>
        <v>5.7179340737819613E-2</v>
      </c>
      <c r="O6" s="265">
        <f>(L6-G6)*C6</f>
        <v>58706.082016674438</v>
      </c>
      <c r="P6" s="266">
        <f>O6/M6</f>
        <v>6.7135501340276238E-2</v>
      </c>
    </row>
    <row r="7" spans="1:16" s="254" customFormat="1" hidden="1">
      <c r="A7" s="244" t="s">
        <v>839</v>
      </c>
      <c r="B7" s="260">
        <v>32.897959183673471</v>
      </c>
      <c r="C7" s="260">
        <v>24.673469387755102</v>
      </c>
      <c r="D7" s="261">
        <v>200000</v>
      </c>
      <c r="E7" s="261">
        <v>8105.8726220016542</v>
      </c>
      <c r="F7" s="261">
        <v>6000</v>
      </c>
      <c r="G7" s="261">
        <v>243.17617866004963</v>
      </c>
      <c r="H7" s="261">
        <v>34000</v>
      </c>
      <c r="I7" s="261">
        <v>1825</v>
      </c>
      <c r="J7" s="261">
        <v>30000</v>
      </c>
      <c r="K7" s="261">
        <v>0</v>
      </c>
      <c r="L7" s="262">
        <v>33202.998345740285</v>
      </c>
      <c r="M7" s="263">
        <f>1000000*C7*F15*H15</f>
        <v>2991164.6938775508</v>
      </c>
      <c r="N7" s="264">
        <f>D7/M7</f>
        <v>6.686358675246766E-2</v>
      </c>
      <c r="O7" s="265">
        <f>(L7-G7)*C7</f>
        <v>813233.16326530627</v>
      </c>
      <c r="P7" s="266">
        <f>O7/M7</f>
        <v>0.27187843080986751</v>
      </c>
    </row>
    <row r="8" spans="1:16" s="254" customFormat="1" hidden="1">
      <c r="A8" s="244" t="s">
        <v>840</v>
      </c>
      <c r="B8" s="260">
        <v>2.628714782316067</v>
      </c>
      <c r="C8" s="260">
        <v>1.9715360867370504</v>
      </c>
      <c r="D8" s="261">
        <v>75000</v>
      </c>
      <c r="E8" s="261">
        <v>38041.403606325657</v>
      </c>
      <c r="F8" s="261">
        <v>6000</v>
      </c>
      <c r="G8" s="261">
        <v>3043.3122885060525</v>
      </c>
      <c r="H8" s="261">
        <v>34000</v>
      </c>
      <c r="I8" s="261">
        <v>0</v>
      </c>
      <c r="J8" s="261">
        <v>25000</v>
      </c>
      <c r="K8" s="261">
        <v>0</v>
      </c>
      <c r="L8" s="262">
        <v>42245.436301534297</v>
      </c>
      <c r="M8" s="263">
        <f>1000000*C8*F17*H17</f>
        <v>851112.12864438468</v>
      </c>
      <c r="N8" s="264">
        <f>D8/M8</f>
        <v>8.8119999088083517E-2</v>
      </c>
      <c r="O8" s="265">
        <f>(L8-G8)*C8</f>
        <v>77288.402168426255</v>
      </c>
      <c r="P8" s="266">
        <f>O8/M8</f>
        <v>9.0808719048015379E-2</v>
      </c>
    </row>
    <row r="9" spans="1:16" s="254" customFormat="1" ht="15.75" hidden="1" thickBot="1">
      <c r="A9" s="267" t="s">
        <v>841</v>
      </c>
      <c r="B9" s="268">
        <v>0.54434722884133491</v>
      </c>
      <c r="C9" s="268">
        <v>0.40826042163100118</v>
      </c>
      <c r="D9" s="269">
        <v>50000</v>
      </c>
      <c r="E9" s="270">
        <v>122470.84789715815</v>
      </c>
      <c r="F9" s="270">
        <v>6000</v>
      </c>
      <c r="G9" s="270">
        <v>14696.501747658978</v>
      </c>
      <c r="H9" s="270">
        <v>34000</v>
      </c>
      <c r="I9" s="270">
        <v>0</v>
      </c>
      <c r="J9" s="270">
        <v>25000</v>
      </c>
      <c r="K9" s="270">
        <v>0</v>
      </c>
      <c r="L9" s="271">
        <v>108280.17657006755</v>
      </c>
      <c r="M9" s="263">
        <f>1000000*C9*F18*H18</f>
        <v>115435.63421616558</v>
      </c>
      <c r="N9" s="264">
        <f>D9/M9</f>
        <v>0.43314181395988738</v>
      </c>
      <c r="O9" s="265">
        <f>(L9-G9)*C9</f>
        <v>38206.510540775031</v>
      </c>
      <c r="P9" s="266">
        <f>O9/M9</f>
        <v>0.33097674561417706</v>
      </c>
    </row>
    <row r="10" spans="1:16" s="254" customFormat="1" hidden="1">
      <c r="A10" s="242" t="s">
        <v>842</v>
      </c>
      <c r="B10" s="242"/>
      <c r="C10" s="242"/>
      <c r="D10" s="242"/>
      <c r="E10" s="242"/>
      <c r="F10" s="242"/>
      <c r="G10" s="242"/>
      <c r="H10" s="242"/>
      <c r="I10" s="242"/>
      <c r="J10" s="242"/>
      <c r="K10" s="242"/>
      <c r="L10" s="242"/>
      <c r="M10" s="263">
        <f>1000000*C10*F18*H18</f>
        <v>0</v>
      </c>
    </row>
    <row r="11" spans="1:16" s="254" customFormat="1" hidden="1"/>
    <row r="12" spans="1:16" ht="51.75" hidden="1">
      <c r="A12" s="272" t="s">
        <v>789</v>
      </c>
      <c r="B12" s="243" t="s">
        <v>790</v>
      </c>
      <c r="C12" s="243" t="s">
        <v>791</v>
      </c>
      <c r="D12" s="243" t="s">
        <v>792</v>
      </c>
      <c r="E12" s="243" t="s">
        <v>793</v>
      </c>
      <c r="F12" s="243" t="s">
        <v>843</v>
      </c>
      <c r="G12" s="243" t="s">
        <v>796</v>
      </c>
      <c r="H12" s="243" t="s">
        <v>799</v>
      </c>
      <c r="I12" s="243" t="s">
        <v>797</v>
      </c>
      <c r="J12" s="243" t="s">
        <v>844</v>
      </c>
      <c r="K12" s="243" t="s">
        <v>845</v>
      </c>
      <c r="L12" s="243" t="s">
        <v>846</v>
      </c>
      <c r="M12" s="273" t="s">
        <v>847</v>
      </c>
      <c r="N12" s="274" t="s">
        <v>848</v>
      </c>
      <c r="O12" s="275" t="s">
        <v>805</v>
      </c>
    </row>
    <row r="13" spans="1:16" hidden="1">
      <c r="A13" s="244" t="s">
        <v>837</v>
      </c>
      <c r="B13" s="245" t="s">
        <v>815</v>
      </c>
      <c r="C13" s="246">
        <v>276.18</v>
      </c>
      <c r="D13" s="246">
        <v>95.718933333333339</v>
      </c>
      <c r="E13" s="246">
        <v>71.789200000000008</v>
      </c>
      <c r="F13" s="276">
        <v>1.347</v>
      </c>
      <c r="G13" s="246">
        <v>11.038818767123288</v>
      </c>
      <c r="H13" s="277">
        <v>0.3</v>
      </c>
      <c r="I13" s="278">
        <f>J13/E13*8.76</f>
        <v>0.40409999999999996</v>
      </c>
      <c r="J13" s="246">
        <v>3.3116456301369865</v>
      </c>
      <c r="K13" s="279">
        <v>350134.16033021943</v>
      </c>
      <c r="L13" s="279">
        <v>105040.24809906582</v>
      </c>
      <c r="M13" s="280">
        <v>404099.99999999994</v>
      </c>
      <c r="N13" s="281">
        <v>3.7165900509415109E-2</v>
      </c>
    </row>
    <row r="14" spans="1:16" hidden="1">
      <c r="A14" s="244" t="s">
        <v>838</v>
      </c>
      <c r="B14" s="245" t="s">
        <v>817</v>
      </c>
      <c r="C14" s="246">
        <v>114.34666666666666</v>
      </c>
      <c r="D14" s="246">
        <v>395.9</v>
      </c>
      <c r="E14" s="246">
        <v>296.92499999999995</v>
      </c>
      <c r="F14" s="276">
        <v>1.347</v>
      </c>
      <c r="G14" s="246">
        <v>45.657303082191774</v>
      </c>
      <c r="H14" s="277">
        <v>0.25</v>
      </c>
      <c r="I14" s="278">
        <f>J14/E14*8.76</f>
        <v>0.33674999999999999</v>
      </c>
      <c r="J14" s="246">
        <v>11.414325770547944</v>
      </c>
      <c r="K14" s="279">
        <v>3497766.8056203355</v>
      </c>
      <c r="L14" s="279">
        <v>874441.70140508388</v>
      </c>
      <c r="M14" s="280">
        <v>336750</v>
      </c>
      <c r="N14" s="281">
        <v>0.15372068512754117</v>
      </c>
    </row>
    <row r="15" spans="1:16" hidden="1">
      <c r="A15" s="244" t="s">
        <v>839</v>
      </c>
      <c r="B15" s="245" t="s">
        <v>819</v>
      </c>
      <c r="C15" s="246">
        <v>49</v>
      </c>
      <c r="D15" s="246">
        <v>1612</v>
      </c>
      <c r="E15" s="246">
        <v>1209</v>
      </c>
      <c r="F15" s="276">
        <v>1.347</v>
      </c>
      <c r="G15" s="246">
        <v>185.90445205479452</v>
      </c>
      <c r="H15" s="277">
        <v>0.09</v>
      </c>
      <c r="I15" s="278">
        <f>J15/E15*8.76</f>
        <v>0.16163999999999998</v>
      </c>
      <c r="J15" s="246">
        <v>22.308534246575341</v>
      </c>
      <c r="K15" s="279">
        <v>33235163.265306119</v>
      </c>
      <c r="L15" s="279">
        <v>2991164.6938775508</v>
      </c>
      <c r="M15" s="280">
        <v>121229.99999999999</v>
      </c>
      <c r="N15" s="281">
        <v>0.62590993792775051</v>
      </c>
    </row>
    <row r="16" spans="1:16" hidden="1">
      <c r="A16" s="282"/>
      <c r="B16" s="283" t="s">
        <v>849</v>
      </c>
      <c r="C16" s="246">
        <v>439.52666666666664</v>
      </c>
      <c r="D16" s="246">
        <v>2103.6189333333332</v>
      </c>
      <c r="E16" s="246">
        <v>1577.7141999999999</v>
      </c>
      <c r="F16" s="276">
        <v>0</v>
      </c>
      <c r="G16" s="246">
        <v>242.60057390410958</v>
      </c>
      <c r="H16" s="277">
        <v>0</v>
      </c>
      <c r="I16" s="284"/>
      <c r="J16" s="246">
        <v>37.034505647260275</v>
      </c>
      <c r="K16" s="285"/>
      <c r="L16" s="285"/>
      <c r="M16" s="286"/>
      <c r="N16" s="287"/>
    </row>
    <row r="17" spans="1:39" hidden="1">
      <c r="A17" s="244" t="s">
        <v>840</v>
      </c>
      <c r="B17" s="288" t="s">
        <v>850</v>
      </c>
      <c r="C17" s="246">
        <v>121.25799145299145</v>
      </c>
      <c r="D17" s="246">
        <v>318.75267460643391</v>
      </c>
      <c r="E17" s="246">
        <v>239.06450595482545</v>
      </c>
      <c r="F17" s="289">
        <v>1.4390000000000001</v>
      </c>
      <c r="G17" s="246">
        <v>39.270984482761854</v>
      </c>
      <c r="H17" s="277">
        <v>0.3</v>
      </c>
      <c r="I17" s="278">
        <f>J17/E17*8.76</f>
        <v>0.43170000000000003</v>
      </c>
      <c r="J17" s="246">
        <v>11.781295344828555</v>
      </c>
      <c r="K17" s="279">
        <v>2837040.4288146161</v>
      </c>
      <c r="L17" s="279">
        <v>851112.12864438479</v>
      </c>
      <c r="M17" s="280">
        <v>431700</v>
      </c>
      <c r="N17" s="281">
        <v>0.12376579824889423</v>
      </c>
    </row>
    <row r="18" spans="1:39" ht="15.75" hidden="1" thickBot="1">
      <c r="A18" s="267" t="s">
        <v>841</v>
      </c>
      <c r="B18" s="288" t="s">
        <v>851</v>
      </c>
      <c r="C18" s="290">
        <v>281.2153418803419</v>
      </c>
      <c r="D18" s="290">
        <v>153.0787920602327</v>
      </c>
      <c r="E18" s="290">
        <v>114.80909404517453</v>
      </c>
      <c r="F18" s="289">
        <v>1.131</v>
      </c>
      <c r="G18" s="246">
        <v>14.822954950353015</v>
      </c>
      <c r="H18" s="277">
        <v>0.25</v>
      </c>
      <c r="I18" s="278">
        <f>J18/E18*8.76</f>
        <v>0.28275</v>
      </c>
      <c r="J18" s="246">
        <v>3.7057387375882538</v>
      </c>
      <c r="K18" s="279">
        <v>461742.53686466231</v>
      </c>
      <c r="L18" s="279">
        <v>115435.63421616558</v>
      </c>
      <c r="M18" s="280">
        <v>282750</v>
      </c>
      <c r="N18" s="281">
        <v>5.9437678186399057E-2</v>
      </c>
    </row>
    <row r="19" spans="1:39" hidden="1">
      <c r="A19" s="291" t="s">
        <v>852</v>
      </c>
      <c r="B19" s="283" t="s">
        <v>849</v>
      </c>
      <c r="C19" s="292">
        <v>402.47333333333336</v>
      </c>
      <c r="D19" s="292">
        <v>471.83146666666664</v>
      </c>
      <c r="E19" s="292">
        <v>353.87360000000001</v>
      </c>
      <c r="F19" s="293">
        <v>0</v>
      </c>
      <c r="G19" s="292">
        <v>54.093939433114869</v>
      </c>
      <c r="H19" s="293">
        <v>0</v>
      </c>
      <c r="I19" s="293"/>
      <c r="J19" s="292">
        <v>15.487034082416809</v>
      </c>
      <c r="K19" s="294"/>
      <c r="L19" s="294"/>
      <c r="M19" s="295"/>
    </row>
    <row r="20" spans="1:39" hidden="1">
      <c r="A20" s="291" t="s">
        <v>221</v>
      </c>
      <c r="B20" s="283" t="s">
        <v>221</v>
      </c>
      <c r="C20" s="292">
        <v>842</v>
      </c>
      <c r="D20" s="292">
        <v>2575.4503999999997</v>
      </c>
      <c r="E20" s="292">
        <v>1931.5877999999998</v>
      </c>
      <c r="F20" s="293">
        <v>1.3455479149506362</v>
      </c>
      <c r="G20" s="292">
        <v>296.69451333722446</v>
      </c>
      <c r="H20" s="293">
        <v>0</v>
      </c>
      <c r="I20" s="293"/>
      <c r="J20" s="292">
        <v>52.521539729677087</v>
      </c>
      <c r="K20" s="294"/>
      <c r="L20" s="294"/>
      <c r="M20" s="295"/>
      <c r="O20" s="296">
        <v>0.17391623042644844</v>
      </c>
    </row>
    <row r="21" spans="1:39" ht="15.75" hidden="1" thickBot="1">
      <c r="A21" s="297" t="s">
        <v>853</v>
      </c>
      <c r="B21" s="298"/>
      <c r="C21" s="298"/>
      <c r="D21" s="298"/>
      <c r="E21" s="298"/>
      <c r="F21" s="298"/>
      <c r="G21" s="298"/>
      <c r="H21" s="298"/>
      <c r="I21" s="298"/>
      <c r="J21" s="298"/>
      <c r="K21" s="298"/>
      <c r="L21" s="298"/>
      <c r="M21" s="299"/>
    </row>
    <row r="22" spans="1:39" hidden="1"/>
    <row r="23" spans="1:39" hidden="1"/>
    <row r="24" spans="1:39" s="300" customFormat="1" ht="26.25">
      <c r="A24" s="546" t="s">
        <v>854</v>
      </c>
      <c r="B24" s="546"/>
    </row>
    <row r="25" spans="1:39">
      <c r="A25" s="413">
        <f>SUM(E38:E40)/E37*1000</f>
        <v>151.38285154651305</v>
      </c>
      <c r="B25" s="254" t="s">
        <v>855</v>
      </c>
      <c r="C25" s="254"/>
      <c r="D25" s="254"/>
      <c r="E25" s="254"/>
      <c r="F25" s="254"/>
      <c r="G25" s="254"/>
      <c r="H25" s="254"/>
      <c r="I25" s="254"/>
      <c r="J25" s="254"/>
    </row>
    <row r="26" spans="1:39">
      <c r="A26" s="254"/>
      <c r="B26" s="254"/>
      <c r="C26" s="254"/>
      <c r="D26" s="254"/>
      <c r="E26" s="254"/>
      <c r="F26" s="254"/>
      <c r="G26" s="310"/>
      <c r="H26" s="310"/>
      <c r="I26" s="310"/>
      <c r="J26" s="310"/>
    </row>
    <row r="27" spans="1:39">
      <c r="A27" s="310"/>
      <c r="B27" s="302" t="s">
        <v>856</v>
      </c>
      <c r="C27" s="254"/>
      <c r="D27" s="254"/>
      <c r="E27" s="254"/>
      <c r="F27" s="254"/>
      <c r="G27" s="310"/>
      <c r="H27" s="519"/>
      <c r="I27" s="519"/>
      <c r="J27" s="310"/>
    </row>
    <row r="28" spans="1:39">
      <c r="A28" s="307" t="s">
        <v>857</v>
      </c>
      <c r="B28" s="520">
        <f>C44/C47</f>
        <v>0.22325115562403841</v>
      </c>
      <c r="C28" s="254"/>
      <c r="D28" s="254"/>
      <c r="E28" s="254"/>
      <c r="F28" s="254"/>
      <c r="G28" s="310"/>
      <c r="H28" s="310"/>
      <c r="I28" s="521"/>
      <c r="J28" s="310"/>
    </row>
    <row r="29" spans="1:39">
      <c r="A29" s="307" t="s">
        <v>858</v>
      </c>
      <c r="B29" s="520">
        <f>C45/C48</f>
        <v>3.2926785714285711</v>
      </c>
      <c r="C29" s="254"/>
      <c r="D29" s="254"/>
    </row>
    <row r="30" spans="1:39">
      <c r="A30" s="307" t="s">
        <v>859</v>
      </c>
      <c r="B30" s="520">
        <f>C46/C49</f>
        <v>37.246578947368413</v>
      </c>
      <c r="C30" s="254"/>
      <c r="D30" s="254"/>
      <c r="AG30" s="254"/>
      <c r="AH30" s="254"/>
      <c r="AI30" s="254"/>
      <c r="AJ30" s="254"/>
      <c r="AK30" s="254"/>
      <c r="AL30" s="254"/>
      <c r="AM30" s="254"/>
    </row>
    <row r="31" spans="1:39">
      <c r="A31" s="254"/>
      <c r="B31" s="254"/>
      <c r="C31" s="254"/>
      <c r="D31" s="254"/>
      <c r="AG31" s="254"/>
      <c r="AH31" s="254"/>
      <c r="AI31" s="254"/>
      <c r="AJ31" s="254"/>
      <c r="AK31" s="254"/>
      <c r="AL31" s="254"/>
      <c r="AM31" s="254"/>
    </row>
    <row r="32" spans="1:39">
      <c r="A32" s="547" t="s">
        <v>860</v>
      </c>
      <c r="B32" s="547"/>
      <c r="C32" s="254"/>
      <c r="D32" s="254"/>
      <c r="E32" s="254"/>
      <c r="F32" s="254"/>
      <c r="G32" s="310"/>
      <c r="H32" s="310"/>
      <c r="I32" s="310"/>
      <c r="J32" s="310"/>
    </row>
    <row r="33" spans="1:13">
      <c r="A33" s="302" t="s">
        <v>861</v>
      </c>
      <c r="B33" s="522">
        <v>0.5</v>
      </c>
      <c r="C33" s="254"/>
      <c r="D33" s="254"/>
      <c r="E33" s="254"/>
      <c r="F33" s="254"/>
      <c r="G33" s="310"/>
      <c r="H33" s="310"/>
      <c r="I33" s="310"/>
      <c r="J33" s="310"/>
      <c r="M33" s="301" t="s">
        <v>862</v>
      </c>
    </row>
    <row r="34" spans="1:13">
      <c r="A34" s="302" t="s">
        <v>863</v>
      </c>
      <c r="B34" s="523">
        <f>1-B33</f>
        <v>0.5</v>
      </c>
      <c r="C34" s="254"/>
      <c r="D34" s="254"/>
      <c r="E34" s="524"/>
      <c r="F34" s="254"/>
      <c r="G34" s="254"/>
      <c r="H34" s="254"/>
      <c r="I34" s="254"/>
      <c r="J34" s="254"/>
    </row>
    <row r="35" spans="1:13">
      <c r="A35" s="547"/>
      <c r="B35" s="553" t="s">
        <v>864</v>
      </c>
      <c r="C35" s="329"/>
      <c r="D35" s="329"/>
      <c r="E35" s="524">
        <f>B75</f>
        <v>12261.453230000001</v>
      </c>
      <c r="F35" s="524">
        <f>D75</f>
        <v>12604.661620000001</v>
      </c>
      <c r="G35" s="524">
        <f>I75</f>
        <v>13242.678320000001</v>
      </c>
      <c r="H35" s="524">
        <f>N75</f>
        <v>13944.276469999999</v>
      </c>
      <c r="I35" s="524">
        <f>S75</f>
        <v>14610.4211</v>
      </c>
      <c r="J35" s="524">
        <f>X75</f>
        <v>15225.195700000002</v>
      </c>
      <c r="K35" s="329">
        <f>AC75</f>
        <v>15813.626329999999</v>
      </c>
      <c r="M35" s="303" t="s">
        <v>865</v>
      </c>
    </row>
    <row r="36" spans="1:13">
      <c r="A36" s="547"/>
      <c r="B36" s="554" t="s">
        <v>866</v>
      </c>
      <c r="C36" s="518">
        <v>2004</v>
      </c>
      <c r="D36" s="525">
        <v>2005</v>
      </c>
      <c r="E36" s="525">
        <v>2008</v>
      </c>
      <c r="F36" s="525">
        <v>2010</v>
      </c>
      <c r="G36" s="525">
        <v>2015</v>
      </c>
      <c r="H36" s="525">
        <v>2020</v>
      </c>
      <c r="I36" s="525">
        <v>2025</v>
      </c>
      <c r="J36" s="525">
        <v>2030</v>
      </c>
      <c r="K36" s="581">
        <v>2035</v>
      </c>
    </row>
    <row r="37" spans="1:13" ht="15.75" thickBot="1">
      <c r="A37" s="547"/>
      <c r="B37" s="554" t="s">
        <v>864</v>
      </c>
      <c r="C37" s="526">
        <v>9236.4539999999997</v>
      </c>
      <c r="D37" s="526">
        <v>9375.6906752700052</v>
      </c>
      <c r="E37" s="526">
        <v>9836.9001824652241</v>
      </c>
      <c r="F37" s="526">
        <f t="shared" ref="F37:K37" si="0">$E$37*F35/E35</f>
        <v>10112.243293178586</v>
      </c>
      <c r="G37" s="526">
        <f t="shared" si="0"/>
        <v>10334.819665102304</v>
      </c>
      <c r="H37" s="526">
        <f t="shared" si="0"/>
        <v>10358.059936027239</v>
      </c>
      <c r="I37" s="526">
        <f t="shared" si="0"/>
        <v>10306.827628790104</v>
      </c>
      <c r="J37" s="526">
        <f t="shared" si="0"/>
        <v>10250.815451130204</v>
      </c>
      <c r="K37" s="526">
        <f t="shared" si="0"/>
        <v>10217.081395611476</v>
      </c>
    </row>
    <row r="38" spans="1:13">
      <c r="A38" s="548" t="s">
        <v>857</v>
      </c>
      <c r="B38" s="721" t="s">
        <v>867</v>
      </c>
      <c r="C38" s="527">
        <v>97.030000000000115</v>
      </c>
      <c r="D38" s="527">
        <f>$C38*D$37/$C$37</f>
        <v>98.492697113139926</v>
      </c>
      <c r="E38" s="527">
        <f>M38</f>
        <v>113.41100000000013</v>
      </c>
      <c r="F38" s="527">
        <f t="shared" ref="F38:K38" si="1">$E38*F$37/$E$37</f>
        <v>116.58546928909352</v>
      </c>
      <c r="G38" s="527">
        <f t="shared" si="1"/>
        <v>119.1515834559565</v>
      </c>
      <c r="H38" s="527">
        <f t="shared" si="1"/>
        <v>119.4195237945772</v>
      </c>
      <c r="I38" s="527">
        <f t="shared" si="1"/>
        <v>118.82885934863438</v>
      </c>
      <c r="J38" s="527">
        <f t="shared" si="1"/>
        <v>118.18308710709934</v>
      </c>
      <c r="K38" s="527">
        <f t="shared" si="1"/>
        <v>117.79416245609451</v>
      </c>
      <c r="M38" s="304">
        <f>'[12]Pivot Results'!$C13</f>
        <v>113.41100000000013</v>
      </c>
    </row>
    <row r="39" spans="1:13">
      <c r="A39" s="549" t="s">
        <v>858</v>
      </c>
      <c r="B39" s="722"/>
      <c r="C39" s="528">
        <v>352.76999999999987</v>
      </c>
      <c r="D39" s="528">
        <f>$C39*D$37/$C$37</f>
        <v>358.08789818202945</v>
      </c>
      <c r="E39" s="528">
        <f>M39</f>
        <v>409.30100000000004</v>
      </c>
      <c r="F39" s="527">
        <f t="shared" ref="F39:K40" si="2">$E39*F$37/$E$37</f>
        <v>420.75767928591779</v>
      </c>
      <c r="G39" s="527">
        <f t="shared" si="2"/>
        <v>430.01880117542743</v>
      </c>
      <c r="H39" s="527">
        <f t="shared" si="2"/>
        <v>430.98579951366435</v>
      </c>
      <c r="I39" s="527">
        <f t="shared" si="2"/>
        <v>428.8540878773253</v>
      </c>
      <c r="J39" s="527">
        <f t="shared" si="2"/>
        <v>426.52349186606955</v>
      </c>
      <c r="K39" s="527">
        <f t="shared" si="2"/>
        <v>425.11986039662725</v>
      </c>
      <c r="M39" s="304">
        <f>'[12]Pivot Results'!$C14</f>
        <v>409.30100000000004</v>
      </c>
    </row>
    <row r="40" spans="1:13" ht="15.75" thickBot="1">
      <c r="A40" s="550" t="s">
        <v>859</v>
      </c>
      <c r="B40" s="723"/>
      <c r="C40" s="529">
        <v>997.3599999999999</v>
      </c>
      <c r="D40" s="529">
        <f>$C40*D$37/$C$37</f>
        <v>1012.3948922267455</v>
      </c>
      <c r="E40" s="529">
        <f>M40</f>
        <v>966.42599999999993</v>
      </c>
      <c r="F40" s="527">
        <f t="shared" si="2"/>
        <v>993.47707667846475</v>
      </c>
      <c r="G40" s="527">
        <f t="shared" si="2"/>
        <v>1015.344086490782</v>
      </c>
      <c r="H40" s="527">
        <f t="shared" si="2"/>
        <v>1017.6273262972543</v>
      </c>
      <c r="I40" s="527">
        <f t="shared" si="2"/>
        <v>1012.5940096186716</v>
      </c>
      <c r="J40" s="527">
        <f t="shared" si="2"/>
        <v>1007.0910946959768</v>
      </c>
      <c r="K40" s="527">
        <f t="shared" si="2"/>
        <v>1003.7768932977707</v>
      </c>
      <c r="M40" s="304">
        <f>'[12]Pivot Results'!$C15</f>
        <v>966.42599999999993</v>
      </c>
    </row>
    <row r="41" spans="1:13">
      <c r="A41" s="548" t="s">
        <v>857</v>
      </c>
      <c r="B41" s="724" t="s">
        <v>868</v>
      </c>
      <c r="C41" s="725"/>
      <c r="D41" s="530">
        <f>D38-C38</f>
        <v>1.4626971131398108</v>
      </c>
      <c r="E41" s="530">
        <f t="shared" ref="E41:K41" si="3">E38-D38</f>
        <v>14.918302886860204</v>
      </c>
      <c r="F41" s="530">
        <f t="shared" si="3"/>
        <v>3.1744692890933948</v>
      </c>
      <c r="G41" s="530">
        <f t="shared" si="3"/>
        <v>2.5661141668629739</v>
      </c>
      <c r="H41" s="530">
        <f t="shared" si="3"/>
        <v>0.26794033862070421</v>
      </c>
      <c r="I41" s="530">
        <f t="shared" si="3"/>
        <v>-0.59066444594282075</v>
      </c>
      <c r="J41" s="530">
        <f t="shared" si="3"/>
        <v>-0.64577224153504176</v>
      </c>
      <c r="K41" s="530">
        <f t="shared" si="3"/>
        <v>-0.38892465100482809</v>
      </c>
      <c r="M41" s="305"/>
    </row>
    <row r="42" spans="1:13">
      <c r="A42" s="549" t="s">
        <v>858</v>
      </c>
      <c r="B42" s="726"/>
      <c r="C42" s="727"/>
      <c r="D42" s="528">
        <f t="shared" ref="D42:K43" si="4">D39-C39</f>
        <v>5.3178981820295803</v>
      </c>
      <c r="E42" s="528">
        <f t="shared" si="4"/>
        <v>51.213101817970596</v>
      </c>
      <c r="F42" s="528">
        <f t="shared" si="4"/>
        <v>11.456679285917744</v>
      </c>
      <c r="G42" s="528">
        <f t="shared" si="4"/>
        <v>9.2611218895096385</v>
      </c>
      <c r="H42" s="528">
        <f t="shared" si="4"/>
        <v>0.96699833823691961</v>
      </c>
      <c r="I42" s="528">
        <f t="shared" si="4"/>
        <v>-2.1317116363390483</v>
      </c>
      <c r="J42" s="528">
        <f t="shared" si="4"/>
        <v>-2.33059601125575</v>
      </c>
      <c r="K42" s="528">
        <f t="shared" si="4"/>
        <v>-1.4036314694423027</v>
      </c>
      <c r="M42" s="305"/>
    </row>
    <row r="43" spans="1:13" ht="15.75" thickBot="1">
      <c r="A43" s="551" t="s">
        <v>859</v>
      </c>
      <c r="B43" s="728"/>
      <c r="C43" s="729"/>
      <c r="D43" s="531">
        <f t="shared" si="4"/>
        <v>15.034892226745569</v>
      </c>
      <c r="E43" s="531">
        <f t="shared" si="4"/>
        <v>-45.968892226745538</v>
      </c>
      <c r="F43" s="531">
        <f t="shared" si="4"/>
        <v>27.051076678464824</v>
      </c>
      <c r="G43" s="531">
        <f t="shared" si="4"/>
        <v>21.867009812317292</v>
      </c>
      <c r="H43" s="531">
        <f t="shared" si="4"/>
        <v>2.2832398064722383</v>
      </c>
      <c r="I43" s="531">
        <f t="shared" si="4"/>
        <v>-5.0333166785826506</v>
      </c>
      <c r="J43" s="531">
        <f t="shared" si="4"/>
        <v>-5.5029149226947993</v>
      </c>
      <c r="K43" s="531">
        <f t="shared" si="4"/>
        <v>-3.3142013982061371</v>
      </c>
      <c r="M43" s="305"/>
    </row>
    <row r="44" spans="1:13">
      <c r="A44" s="552" t="s">
        <v>857</v>
      </c>
      <c r="B44" s="730" t="s">
        <v>869</v>
      </c>
      <c r="C44" s="527">
        <v>144.89000000000092</v>
      </c>
      <c r="D44" s="527">
        <f t="shared" ref="D44:K46" si="5">C44+D41*$B$33/C50</f>
        <v>145.98208587407507</v>
      </c>
      <c r="E44" s="527">
        <f t="shared" ref="E44:E49" si="6">M44</f>
        <v>199.8479999999999</v>
      </c>
      <c r="F44" s="527">
        <f t="shared" si="5"/>
        <v>202.64495681409525</v>
      </c>
      <c r="G44" s="527">
        <f t="shared" si="5"/>
        <v>204.87512365090117</v>
      </c>
      <c r="H44" s="527">
        <f t="shared" si="5"/>
        <v>205.10547858372618</v>
      </c>
      <c r="I44" s="527">
        <f t="shared" si="5"/>
        <v>204.59823944050245</v>
      </c>
      <c r="J44" s="527">
        <f t="shared" si="5"/>
        <v>204.04229762459232</v>
      </c>
      <c r="K44" s="527">
        <f t="shared" si="5"/>
        <v>203.70655973968687</v>
      </c>
      <c r="M44" s="304">
        <f>'[12]Pivot Results'!$D13</f>
        <v>199.8479999999999</v>
      </c>
    </row>
    <row r="45" spans="1:13">
      <c r="A45" s="549" t="s">
        <v>858</v>
      </c>
      <c r="B45" s="731"/>
      <c r="C45" s="528">
        <v>553.16999999999996</v>
      </c>
      <c r="D45" s="527">
        <f t="shared" si="5"/>
        <v>557.33943296957409</v>
      </c>
      <c r="E45" s="527">
        <f t="shared" si="6"/>
        <v>683.94499999999994</v>
      </c>
      <c r="F45" s="527">
        <f t="shared" si="5"/>
        <v>693.51709793551322</v>
      </c>
      <c r="G45" s="527">
        <f t="shared" si="5"/>
        <v>701.14945581349662</v>
      </c>
      <c r="H45" s="527">
        <f t="shared" si="5"/>
        <v>701.93780548189955</v>
      </c>
      <c r="I45" s="527">
        <f t="shared" si="5"/>
        <v>700.20186779019309</v>
      </c>
      <c r="J45" s="527">
        <f t="shared" si="5"/>
        <v>698.29925367705391</v>
      </c>
      <c r="K45" s="527">
        <f t="shared" si="5"/>
        <v>697.15024919518942</v>
      </c>
      <c r="M45" s="304">
        <f>'[12]Pivot Results'!$D14</f>
        <v>683.94499999999994</v>
      </c>
    </row>
    <row r="46" spans="1:13" ht="15.75" thickBot="1">
      <c r="A46" s="551" t="s">
        <v>859</v>
      </c>
      <c r="B46" s="732"/>
      <c r="C46" s="531">
        <v>1415.3699999999997</v>
      </c>
      <c r="D46" s="527">
        <f t="shared" si="5"/>
        <v>1426.0381315728364</v>
      </c>
      <c r="E46" s="527">
        <f t="shared" si="6"/>
        <v>1277.53</v>
      </c>
      <c r="F46" s="527">
        <f t="shared" si="5"/>
        <v>1295.4095696665026</v>
      </c>
      <c r="G46" s="527">
        <f t="shared" si="5"/>
        <v>1309.665929695248</v>
      </c>
      <c r="H46" s="527">
        <f t="shared" si="5"/>
        <v>1311.1384755167319</v>
      </c>
      <c r="I46" s="527">
        <f t="shared" si="5"/>
        <v>1307.8959450803873</v>
      </c>
      <c r="J46" s="527">
        <f t="shared" si="5"/>
        <v>1304.3420824043551</v>
      </c>
      <c r="K46" s="527">
        <f t="shared" si="5"/>
        <v>1302.1958751863533</v>
      </c>
      <c r="M46" s="304">
        <f>'[12]Pivot Results'!$D15</f>
        <v>1277.53</v>
      </c>
    </row>
    <row r="47" spans="1:13">
      <c r="A47" s="548" t="s">
        <v>857</v>
      </c>
      <c r="B47" s="733" t="s">
        <v>870</v>
      </c>
      <c r="C47" s="530">
        <v>649</v>
      </c>
      <c r="D47" s="530">
        <f>D44/$B28</f>
        <v>653.89173671249989</v>
      </c>
      <c r="E47" s="530">
        <f t="shared" si="6"/>
        <v>625</v>
      </c>
      <c r="F47" s="530">
        <f t="shared" ref="F47:J49" si="7">F44/$B28</f>
        <v>907.69947527328986</v>
      </c>
      <c r="G47" s="530">
        <f t="shared" si="7"/>
        <v>917.68897266501494</v>
      </c>
      <c r="H47" s="530">
        <f t="shared" si="7"/>
        <v>918.72079233099203</v>
      </c>
      <c r="I47" s="530">
        <f t="shared" si="7"/>
        <v>916.44873626119977</v>
      </c>
      <c r="J47" s="530">
        <f t="shared" si="7"/>
        <v>913.95852825149814</v>
      </c>
      <c r="K47" s="530">
        <f t="shared" ref="K47" si="8">K44/$B28</f>
        <v>912.45467093005675</v>
      </c>
      <c r="M47" s="306">
        <f>'[12]Pivot Results'!$B13</f>
        <v>625</v>
      </c>
    </row>
    <row r="48" spans="1:13">
      <c r="A48" s="549" t="s">
        <v>858</v>
      </c>
      <c r="B48" s="731"/>
      <c r="C48" s="528">
        <v>168</v>
      </c>
      <c r="D48" s="528">
        <f>D45/$B29</f>
        <v>169.2662739101695</v>
      </c>
      <c r="E48" s="528">
        <f t="shared" si="6"/>
        <v>146</v>
      </c>
      <c r="F48" s="528">
        <f t="shared" si="7"/>
        <v>210.62398982802074</v>
      </c>
      <c r="G48" s="528">
        <f t="shared" si="7"/>
        <v>212.94196824966545</v>
      </c>
      <c r="H48" s="528">
        <f t="shared" si="7"/>
        <v>213.1813932804728</v>
      </c>
      <c r="I48" s="528">
        <f t="shared" si="7"/>
        <v>212.65418187673311</v>
      </c>
      <c r="J48" s="528">
        <f t="shared" si="7"/>
        <v>212.07635015952613</v>
      </c>
      <c r="K48" s="528">
        <f t="shared" ref="K48" si="9">K45/$B29</f>
        <v>211.72739278122791</v>
      </c>
      <c r="M48" s="306">
        <f>'[12]Pivot Results'!$B14</f>
        <v>146</v>
      </c>
    </row>
    <row r="49" spans="1:13" ht="13.5" customHeight="1" thickBot="1">
      <c r="A49" s="551" t="s">
        <v>859</v>
      </c>
      <c r="B49" s="732"/>
      <c r="C49" s="531">
        <v>38</v>
      </c>
      <c r="D49" s="531">
        <f>D46/$B30</f>
        <v>38.286419098728807</v>
      </c>
      <c r="E49" s="531">
        <f t="shared" si="6"/>
        <v>28</v>
      </c>
      <c r="F49" s="531">
        <f t="shared" si="7"/>
        <v>34.779289971757997</v>
      </c>
      <c r="G49" s="531">
        <f t="shared" si="7"/>
        <v>35.162046198816874</v>
      </c>
      <c r="H49" s="531">
        <f t="shared" si="7"/>
        <v>35.201581261179641</v>
      </c>
      <c r="I49" s="531">
        <f t="shared" si="7"/>
        <v>35.114525468997314</v>
      </c>
      <c r="J49" s="531">
        <f t="shared" si="7"/>
        <v>35.01911099667614</v>
      </c>
      <c r="K49" s="531">
        <f t="shared" ref="K49" si="10">K46/$B30</f>
        <v>34.961489403535076</v>
      </c>
      <c r="M49" s="306">
        <f>'[12]Pivot Results'!$B15</f>
        <v>28</v>
      </c>
    </row>
    <row r="50" spans="1:13" ht="13.5" customHeight="1">
      <c r="A50" s="548" t="s">
        <v>857</v>
      </c>
      <c r="B50" s="733" t="s">
        <v>871</v>
      </c>
      <c r="C50" s="532">
        <f>C38/C44</f>
        <v>0.66968044723583064</v>
      </c>
      <c r="D50" s="532">
        <f>D38/D44</f>
        <v>0.67469029863088992</v>
      </c>
      <c r="E50" s="532">
        <f t="shared" ref="E50:J50" si="11">E38/E44</f>
        <v>0.56748628958008185</v>
      </c>
      <c r="F50" s="532">
        <f t="shared" si="11"/>
        <v>0.57531887850556296</v>
      </c>
      <c r="G50" s="532">
        <f t="shared" si="11"/>
        <v>0.58158150844602252</v>
      </c>
      <c r="H50" s="532">
        <f t="shared" si="11"/>
        <v>0.58223468538812784</v>
      </c>
      <c r="I50" s="532">
        <f t="shared" si="11"/>
        <v>0.58079121146685153</v>
      </c>
      <c r="J50" s="533">
        <f t="shared" si="11"/>
        <v>0.57920876447166247</v>
      </c>
      <c r="K50" s="533">
        <f t="shared" ref="K50" si="12">K38/K44</f>
        <v>0.57825414462166391</v>
      </c>
    </row>
    <row r="51" spans="1:13" ht="13.5" customHeight="1">
      <c r="A51" s="549" t="s">
        <v>858</v>
      </c>
      <c r="B51" s="731"/>
      <c r="C51" s="534">
        <f>C39/C45</f>
        <v>0.63772438852432323</v>
      </c>
      <c r="D51" s="534">
        <f t="shared" ref="D51:J52" si="13">D39/D45</f>
        <v>0.64249517798174161</v>
      </c>
      <c r="E51" s="534">
        <f t="shared" si="13"/>
        <v>0.59844139514142236</v>
      </c>
      <c r="F51" s="534">
        <f t="shared" si="13"/>
        <v>0.60670123424273814</v>
      </c>
      <c r="G51" s="534">
        <f t="shared" si="13"/>
        <v>0.61330547661412005</v>
      </c>
      <c r="H51" s="534">
        <f t="shared" si="13"/>
        <v>0.61399428289487956</v>
      </c>
      <c r="I51" s="534">
        <f t="shared" si="13"/>
        <v>0.61247207070551002</v>
      </c>
      <c r="J51" s="535">
        <f t="shared" si="13"/>
        <v>0.61080330477243516</v>
      </c>
      <c r="K51" s="535">
        <f t="shared" ref="K51" si="14">K39/K45</f>
        <v>0.60979661254858331</v>
      </c>
    </row>
    <row r="52" spans="1:13" ht="15.75" thickBot="1">
      <c r="A52" s="551" t="s">
        <v>859</v>
      </c>
      <c r="B52" s="732"/>
      <c r="C52" s="536">
        <f>C40/C46</f>
        <v>0.70466379815878544</v>
      </c>
      <c r="D52" s="536">
        <f t="shared" si="13"/>
        <v>0.70993535853780665</v>
      </c>
      <c r="E52" s="536">
        <f t="shared" si="13"/>
        <v>0.75648008265950695</v>
      </c>
      <c r="F52" s="536">
        <f t="shared" si="13"/>
        <v>0.76692121159351245</v>
      </c>
      <c r="G52" s="536">
        <f t="shared" si="13"/>
        <v>0.77526952749473066</v>
      </c>
      <c r="H52" s="536">
        <f t="shared" si="13"/>
        <v>0.77614023636687035</v>
      </c>
      <c r="I52" s="536">
        <f t="shared" si="13"/>
        <v>0.77421603257316818</v>
      </c>
      <c r="J52" s="537">
        <f t="shared" si="13"/>
        <v>0.77210657256381587</v>
      </c>
      <c r="K52" s="537">
        <f t="shared" ref="K52" si="15">K40/K46</f>
        <v>0.77083402921555344</v>
      </c>
    </row>
    <row r="53" spans="1:13">
      <c r="A53" s="307"/>
      <c r="B53" s="308"/>
      <c r="C53" s="309">
        <f>C51</f>
        <v>0.63772438852432323</v>
      </c>
      <c r="D53" s="309">
        <f t="shared" ref="D53:J53" si="16">D51</f>
        <v>0.64249517798174161</v>
      </c>
      <c r="E53" s="309">
        <f t="shared" si="16"/>
        <v>0.59844139514142236</v>
      </c>
      <c r="F53" s="309">
        <f t="shared" si="16"/>
        <v>0.60670123424273814</v>
      </c>
      <c r="G53" s="309">
        <f t="shared" si="16"/>
        <v>0.61330547661412005</v>
      </c>
      <c r="H53" s="309">
        <f t="shared" si="16"/>
        <v>0.61399428289487956</v>
      </c>
      <c r="I53" s="309">
        <f t="shared" si="16"/>
        <v>0.61247207070551002</v>
      </c>
      <c r="J53" s="309">
        <f t="shared" si="16"/>
        <v>0.61080330477243516</v>
      </c>
      <c r="K53" s="309">
        <f t="shared" ref="K53" si="17">K51</f>
        <v>0.60979661254858331</v>
      </c>
    </row>
    <row r="54" spans="1:13" ht="15.75" thickBot="1">
      <c r="A54" s="307"/>
      <c r="B54" s="308"/>
      <c r="C54" s="309">
        <f>C50</f>
        <v>0.66968044723583064</v>
      </c>
      <c r="D54" s="309">
        <f t="shared" ref="D54:J54" si="18">D50</f>
        <v>0.67469029863088992</v>
      </c>
      <c r="E54" s="309">
        <f t="shared" si="18"/>
        <v>0.56748628958008185</v>
      </c>
      <c r="F54" s="309">
        <f t="shared" si="18"/>
        <v>0.57531887850556296</v>
      </c>
      <c r="G54" s="309">
        <f t="shared" si="18"/>
        <v>0.58158150844602252</v>
      </c>
      <c r="H54" s="309">
        <f t="shared" si="18"/>
        <v>0.58223468538812784</v>
      </c>
      <c r="I54" s="309">
        <f t="shared" si="18"/>
        <v>0.58079121146685153</v>
      </c>
      <c r="J54" s="309">
        <f t="shared" si="18"/>
        <v>0.57920876447166247</v>
      </c>
      <c r="K54" s="309">
        <f t="shared" ref="K54" si="19">K50</f>
        <v>0.57825414462166391</v>
      </c>
    </row>
    <row r="55" spans="1:13">
      <c r="A55" s="548" t="s">
        <v>857</v>
      </c>
      <c r="B55" s="718" t="s">
        <v>872</v>
      </c>
      <c r="C55" s="538"/>
      <c r="D55" s="539">
        <f>D41</f>
        <v>1.4626971131398108</v>
      </c>
      <c r="E55" s="539">
        <f t="shared" ref="E55:J55" si="20">E41</f>
        <v>14.918302886860204</v>
      </c>
      <c r="F55" s="539">
        <f t="shared" si="20"/>
        <v>3.1744692890933948</v>
      </c>
      <c r="G55" s="539">
        <f t="shared" si="20"/>
        <v>2.5661141668629739</v>
      </c>
      <c r="H55" s="539">
        <f t="shared" si="20"/>
        <v>0.26794033862070421</v>
      </c>
      <c r="I55" s="539">
        <f t="shared" si="20"/>
        <v>-0.59066444594282075</v>
      </c>
      <c r="J55" s="540">
        <f t="shared" si="20"/>
        <v>-0.64577224153504176</v>
      </c>
      <c r="K55" s="540">
        <f t="shared" ref="K55" si="21">K41</f>
        <v>-0.38892465100482809</v>
      </c>
    </row>
    <row r="56" spans="1:13">
      <c r="A56" s="549" t="s">
        <v>858</v>
      </c>
      <c r="B56" s="719"/>
      <c r="C56" s="541"/>
      <c r="D56" s="542">
        <f t="shared" ref="D56:J57" si="22">D42</f>
        <v>5.3178981820295803</v>
      </c>
      <c r="E56" s="542">
        <f t="shared" si="22"/>
        <v>51.213101817970596</v>
      </c>
      <c r="F56" s="542">
        <f t="shared" si="22"/>
        <v>11.456679285917744</v>
      </c>
      <c r="G56" s="542">
        <f t="shared" si="22"/>
        <v>9.2611218895096385</v>
      </c>
      <c r="H56" s="542">
        <f t="shared" si="22"/>
        <v>0.96699833823691961</v>
      </c>
      <c r="I56" s="542">
        <f t="shared" si="22"/>
        <v>-2.1317116363390483</v>
      </c>
      <c r="J56" s="543">
        <f t="shared" si="22"/>
        <v>-2.33059601125575</v>
      </c>
      <c r="K56" s="543">
        <f t="shared" ref="K56" si="23">K42</f>
        <v>-1.4036314694423027</v>
      </c>
    </row>
    <row r="57" spans="1:13" ht="15.75" thickBot="1">
      <c r="A57" s="550" t="s">
        <v>859</v>
      </c>
      <c r="B57" s="719"/>
      <c r="C57" s="541"/>
      <c r="D57" s="542">
        <f t="shared" si="22"/>
        <v>15.034892226745569</v>
      </c>
      <c r="E57" s="542">
        <f t="shared" si="22"/>
        <v>-45.968892226745538</v>
      </c>
      <c r="F57" s="542">
        <f t="shared" si="22"/>
        <v>27.051076678464824</v>
      </c>
      <c r="G57" s="542">
        <f t="shared" si="22"/>
        <v>21.867009812317292</v>
      </c>
      <c r="H57" s="542">
        <f t="shared" si="22"/>
        <v>2.2832398064722383</v>
      </c>
      <c r="I57" s="542">
        <f t="shared" si="22"/>
        <v>-5.0333166785826506</v>
      </c>
      <c r="J57" s="543">
        <f t="shared" si="22"/>
        <v>-5.5029149226947993</v>
      </c>
      <c r="K57" s="543">
        <f t="shared" ref="K57" si="24">K43</f>
        <v>-3.3142013982061371</v>
      </c>
    </row>
    <row r="58" spans="1:13" ht="15.75" customHeight="1">
      <c r="A58" s="548" t="s">
        <v>857</v>
      </c>
      <c r="B58" s="718" t="s">
        <v>873</v>
      </c>
      <c r="C58" s="538"/>
      <c r="D58" s="539">
        <f>D44-C44</f>
        <v>1.0920858740741437</v>
      </c>
      <c r="E58" s="539">
        <f t="shared" ref="E58:K58" si="25">E44-D44</f>
        <v>53.865914125924832</v>
      </c>
      <c r="F58" s="539">
        <f t="shared" si="25"/>
        <v>2.7969568140953527</v>
      </c>
      <c r="G58" s="539">
        <f t="shared" si="25"/>
        <v>2.2301668368059211</v>
      </c>
      <c r="H58" s="539">
        <f t="shared" si="25"/>
        <v>0.23035493282500852</v>
      </c>
      <c r="I58" s="539">
        <f t="shared" si="25"/>
        <v>-0.50723914322372821</v>
      </c>
      <c r="J58" s="540">
        <f t="shared" si="25"/>
        <v>-0.55594181591013125</v>
      </c>
      <c r="K58" s="540">
        <f t="shared" si="25"/>
        <v>-0.33573788490545553</v>
      </c>
    </row>
    <row r="59" spans="1:13">
      <c r="A59" s="549" t="s">
        <v>858</v>
      </c>
      <c r="B59" s="719"/>
      <c r="C59" s="541"/>
      <c r="D59" s="542">
        <f t="shared" ref="D59:K61" si="26">D45-C45</f>
        <v>4.1694329695741317</v>
      </c>
      <c r="E59" s="542">
        <f t="shared" si="26"/>
        <v>126.60556703042585</v>
      </c>
      <c r="F59" s="542">
        <f t="shared" si="26"/>
        <v>9.572097935513284</v>
      </c>
      <c r="G59" s="542">
        <f t="shared" si="26"/>
        <v>7.6323578779833952</v>
      </c>
      <c r="H59" s="542">
        <f t="shared" si="26"/>
        <v>0.78834966840292964</v>
      </c>
      <c r="I59" s="542">
        <f t="shared" si="26"/>
        <v>-1.7359376917064537</v>
      </c>
      <c r="J59" s="543">
        <f t="shared" si="26"/>
        <v>-1.9026141131391796</v>
      </c>
      <c r="K59" s="543">
        <f t="shared" si="26"/>
        <v>-1.1490044818644947</v>
      </c>
    </row>
    <row r="60" spans="1:13" ht="15.75" thickBot="1">
      <c r="A60" s="550" t="s">
        <v>859</v>
      </c>
      <c r="B60" s="719"/>
      <c r="C60" s="541"/>
      <c r="D60" s="542">
        <f t="shared" si="26"/>
        <v>10.668131572836728</v>
      </c>
      <c r="E60" s="542">
        <f t="shared" si="26"/>
        <v>-148.50813157283642</v>
      </c>
      <c r="F60" s="542">
        <f t="shared" si="26"/>
        <v>17.879569666502675</v>
      </c>
      <c r="G60" s="542">
        <f t="shared" si="26"/>
        <v>14.256360028745348</v>
      </c>
      <c r="H60" s="542">
        <f t="shared" si="26"/>
        <v>1.4725458214838909</v>
      </c>
      <c r="I60" s="542">
        <f t="shared" si="26"/>
        <v>-3.242530436344623</v>
      </c>
      <c r="J60" s="543">
        <f t="shared" si="26"/>
        <v>-3.5538626760321677</v>
      </c>
      <c r="K60" s="543">
        <f t="shared" si="26"/>
        <v>-2.1462072180017913</v>
      </c>
    </row>
    <row r="61" spans="1:13" ht="15.75" customHeight="1">
      <c r="A61" s="548" t="s">
        <v>857</v>
      </c>
      <c r="B61" s="718" t="s">
        <v>874</v>
      </c>
      <c r="C61" s="538"/>
      <c r="D61" s="538">
        <f>D47-C47</f>
        <v>4.8917367124998918</v>
      </c>
      <c r="E61" s="538">
        <f t="shared" si="26"/>
        <v>-28.891736712499892</v>
      </c>
      <c r="F61" s="538">
        <f t="shared" si="26"/>
        <v>282.69947527328986</v>
      </c>
      <c r="G61" s="538">
        <f t="shared" si="26"/>
        <v>9.9894973917250809</v>
      </c>
      <c r="H61" s="538">
        <f t="shared" si="26"/>
        <v>1.031819665977082</v>
      </c>
      <c r="I61" s="538">
        <f t="shared" si="26"/>
        <v>-2.2720560697922565</v>
      </c>
      <c r="J61" s="544">
        <f t="shared" si="26"/>
        <v>-2.4902080097016324</v>
      </c>
      <c r="K61" s="544">
        <f t="shared" si="26"/>
        <v>-1.5038573214413873</v>
      </c>
    </row>
    <row r="62" spans="1:13">
      <c r="A62" s="549" t="s">
        <v>858</v>
      </c>
      <c r="B62" s="719"/>
      <c r="C62" s="541"/>
      <c r="D62" s="541">
        <f t="shared" ref="D62:K63" si="27">D48-C48</f>
        <v>1.2662739101695024</v>
      </c>
      <c r="E62" s="541">
        <f t="shared" si="27"/>
        <v>-23.266273910169502</v>
      </c>
      <c r="F62" s="541">
        <f t="shared" si="27"/>
        <v>64.62398982802074</v>
      </c>
      <c r="G62" s="541">
        <f t="shared" si="27"/>
        <v>2.3179784216447104</v>
      </c>
      <c r="H62" s="541">
        <f t="shared" si="27"/>
        <v>0.23942503080735378</v>
      </c>
      <c r="I62" s="541">
        <f t="shared" si="27"/>
        <v>-0.52721140373969888</v>
      </c>
      <c r="J62" s="545">
        <f t="shared" si="27"/>
        <v>-0.57783171720697624</v>
      </c>
      <c r="K62" s="545">
        <f t="shared" si="27"/>
        <v>-0.34895737829822338</v>
      </c>
    </row>
    <row r="63" spans="1:13">
      <c r="A63" s="550" t="s">
        <v>859</v>
      </c>
      <c r="B63" s="719"/>
      <c r="C63" s="541"/>
      <c r="D63" s="541">
        <f t="shared" si="27"/>
        <v>0.28641909872880689</v>
      </c>
      <c r="E63" s="541">
        <f t="shared" si="27"/>
        <v>-10.286419098728807</v>
      </c>
      <c r="F63" s="541">
        <f t="shared" si="27"/>
        <v>6.7792899717579971</v>
      </c>
      <c r="G63" s="541">
        <f t="shared" si="27"/>
        <v>0.38275622705887713</v>
      </c>
      <c r="H63" s="541">
        <f t="shared" si="27"/>
        <v>3.9535062362766382E-2</v>
      </c>
      <c r="I63" s="541">
        <f t="shared" si="27"/>
        <v>-8.7055792182326286E-2</v>
      </c>
      <c r="J63" s="545">
        <f t="shared" si="27"/>
        <v>-9.541447232117406E-2</v>
      </c>
      <c r="K63" s="545">
        <f t="shared" si="27"/>
        <v>-5.7621593141064409E-2</v>
      </c>
    </row>
    <row r="64" spans="1:13" s="254" customFormat="1" ht="15.75" thickBot="1">
      <c r="A64" s="555"/>
      <c r="B64" s="556"/>
      <c r="C64" s="311"/>
      <c r="D64" s="312"/>
      <c r="E64" s="312"/>
      <c r="F64" s="312"/>
      <c r="G64" s="312"/>
      <c r="H64" s="312"/>
      <c r="I64" s="312"/>
      <c r="J64" s="312"/>
      <c r="K64" s="312"/>
    </row>
    <row r="65" spans="1:29" ht="15.75" customHeight="1" thickBot="1">
      <c r="A65" s="548" t="s">
        <v>857</v>
      </c>
      <c r="B65" s="718" t="s">
        <v>875</v>
      </c>
      <c r="C65" s="538"/>
      <c r="D65" s="538">
        <f>D58*D50*'Savings and Cost'!$G3/8.76</f>
        <v>0.17788559933393205</v>
      </c>
      <c r="E65" s="538">
        <f>E58*E50*'Savings and Cost'!$G3/8.76</f>
        <v>7.379873951359726</v>
      </c>
      <c r="F65" s="538">
        <f>F58*F50*'Savings and Cost'!$G3/8.76</f>
        <v>0.38848470259815548</v>
      </c>
      <c r="G65" s="538">
        <f>G58*G50*'Savings and Cost'!$G3/8.76</f>
        <v>0.31313201972905697</v>
      </c>
      <c r="H65" s="538">
        <f>H58*H50*'Savings and Cost'!$G3/8.76</f>
        <v>3.2379871950844789E-2</v>
      </c>
      <c r="I65" s="538">
        <f>I58*I50*'Savings and Cost'!$G3/8.76</f>
        <v>-7.1123371009581451E-2</v>
      </c>
      <c r="J65" s="544">
        <f>J58*J50*'Savings and Cost'!$G3/8.76</f>
        <v>-7.7739904440379287E-2</v>
      </c>
      <c r="K65" s="544">
        <f>K58*K50*'Savings and Cost'!$G3/8.76</f>
        <v>-4.6870397920346037E-2</v>
      </c>
    </row>
    <row r="66" spans="1:29" ht="15.75" thickBot="1">
      <c r="A66" s="549" t="s">
        <v>858</v>
      </c>
      <c r="B66" s="719"/>
      <c r="C66" s="541"/>
      <c r="D66" s="538">
        <f>D59*D51*'Savings and Cost'!$G4/8.76</f>
        <v>0.26454867192968545</v>
      </c>
      <c r="E66" s="541">
        <f>E59*E51*'Savings and Cost'!$G4/8.76</f>
        <v>7.4822660450961997</v>
      </c>
      <c r="F66" s="541">
        <f>F59*F51*'Savings and Cost'!$G4/8.76</f>
        <v>0.57350964847852459</v>
      </c>
      <c r="G66" s="541">
        <f>G59*G51*'Savings and Cost'!$G4/8.76</f>
        <v>0.46226848408994059</v>
      </c>
      <c r="H66" s="541">
        <f>H59*H51*'Savings and Cost'!$G4/8.76</f>
        <v>4.7801544967179609E-2</v>
      </c>
      <c r="I66" s="541">
        <f>I59*I51*'Savings and Cost'!$G4/8.76</f>
        <v>-0.10499754361886673</v>
      </c>
      <c r="J66" s="545">
        <f>J59*J51*'Savings and Cost'!$G4/8.76</f>
        <v>-0.11476535619079878</v>
      </c>
      <c r="K66" s="545">
        <f>K59*K51*'Savings and Cost'!$G4/8.76</f>
        <v>-6.9193523594545128E-2</v>
      </c>
    </row>
    <row r="67" spans="1:29">
      <c r="A67" s="550" t="s">
        <v>859</v>
      </c>
      <c r="B67" s="719"/>
      <c r="C67" s="541"/>
      <c r="D67" s="538">
        <f>D60*D52*'Savings and Cost'!$G5/8.76</f>
        <v>0.51022816029696838</v>
      </c>
      <c r="E67" s="541">
        <f>E60*E52*'Savings and Cost'!$G5/8.76</f>
        <v>-7.5684158447154077</v>
      </c>
      <c r="F67" s="541">
        <f>F60*F52*'Savings and Cost'!$G5/8.76</f>
        <v>0.92377257687893288</v>
      </c>
      <c r="G67" s="541">
        <f>G60*G52*'Savings and Cost'!$G5/8.76</f>
        <v>0.74459244040718442</v>
      </c>
      <c r="H67" s="541">
        <f>H60*H52*'Savings and Cost'!$G5/8.76</f>
        <v>7.6995664310571435E-2</v>
      </c>
      <c r="I67" s="541">
        <f>I60*I52*'Savings and Cost'!$G5/8.76</f>
        <v>-0.16912331238380299</v>
      </c>
      <c r="J67" s="545">
        <f>J60*J52*'Savings and Cost'!$G5/8.76</f>
        <v>-0.18485667870813347</v>
      </c>
      <c r="K67" s="545">
        <f>K60*K52*'Savings and Cost'!$G5/8.76</f>
        <v>-0.11145249214870941</v>
      </c>
    </row>
    <row r="68" spans="1:29" s="254" customFormat="1">
      <c r="A68" s="555"/>
      <c r="B68" s="556"/>
      <c r="C68" s="311"/>
      <c r="D68" s="312">
        <f t="shared" ref="D68:J68" si="28">SUM(D65:D67)</f>
        <v>0.95266243156058583</v>
      </c>
      <c r="E68" s="312">
        <f t="shared" si="28"/>
        <v>7.2937241517405189</v>
      </c>
      <c r="F68" s="312">
        <f t="shared" si="28"/>
        <v>1.8857669279556131</v>
      </c>
      <c r="G68" s="313">
        <f t="shared" si="28"/>
        <v>1.5199929442261819</v>
      </c>
      <c r="H68" s="313">
        <f t="shared" si="28"/>
        <v>0.15717708122859583</v>
      </c>
      <c r="I68" s="313">
        <f t="shared" si="28"/>
        <v>-0.34524422701225121</v>
      </c>
      <c r="J68" s="313">
        <f t="shared" si="28"/>
        <v>-0.3773619393393115</v>
      </c>
      <c r="K68" s="313">
        <f t="shared" ref="K68" si="29">SUM(K65:K67)</f>
        <v>-0.22751641366360059</v>
      </c>
    </row>
    <row r="69" spans="1:29" s="254" customFormat="1" ht="15.75" thickBot="1">
      <c r="A69" s="555"/>
      <c r="B69" s="556"/>
      <c r="C69" s="311"/>
      <c r="D69" s="312"/>
      <c r="E69" s="312"/>
      <c r="F69" s="312"/>
      <c r="G69" s="312"/>
      <c r="H69" s="312"/>
      <c r="I69" s="312"/>
      <c r="J69" s="312"/>
      <c r="K69" s="312"/>
    </row>
    <row r="70" spans="1:29">
      <c r="A70" s="548" t="s">
        <v>857</v>
      </c>
      <c r="B70" s="718" t="s">
        <v>876</v>
      </c>
      <c r="C70" s="538"/>
      <c r="D70" s="538">
        <f>D65*'Savings and Cost'!$K3</f>
        <v>0.10290376667411635</v>
      </c>
      <c r="E70" s="538">
        <f>E65*'Savings and Cost'!$K3</f>
        <v>4.2691304412422442</v>
      </c>
      <c r="F70" s="538">
        <f>F65*'Savings and Cost'!$K3</f>
        <v>0.22473173400382426</v>
      </c>
      <c r="G70" s="538">
        <f>G65*'Savings and Cost'!$K3</f>
        <v>0.18114150002611917</v>
      </c>
      <c r="H70" s="538">
        <f>H65*'Savings and Cost'!$K3</f>
        <v>1.8731200280650874E-2</v>
      </c>
      <c r="I70" s="538">
        <f>I65*'Savings and Cost'!$K3</f>
        <v>-4.1143649642528944E-2</v>
      </c>
      <c r="J70" s="544">
        <f>J65*'Savings and Cost'!$K3</f>
        <v>-4.497120069165108E-2</v>
      </c>
      <c r="K70" s="544">
        <f>K65*'Savings and Cost'!$K3</f>
        <v>-2.7113720894652839E-2</v>
      </c>
    </row>
    <row r="71" spans="1:29">
      <c r="A71" s="549" t="s">
        <v>858</v>
      </c>
      <c r="B71" s="719"/>
      <c r="C71" s="541"/>
      <c r="D71" s="541">
        <f>D66*'Savings and Cost'!$K4</f>
        <v>8.3720234156648046E-2</v>
      </c>
      <c r="E71" s="541">
        <f>E66*'Savings and Cost'!$K4</f>
        <v>2.3678707617337293</v>
      </c>
      <c r="F71" s="541">
        <f>F66*'Savings and Cost'!$K4</f>
        <v>0.18149538121469291</v>
      </c>
      <c r="G71" s="541">
        <f>G66*'Savings and Cost'!$K4</f>
        <v>0.14629151395450959</v>
      </c>
      <c r="H71" s="541">
        <f>H66*'Savings and Cost'!$K4</f>
        <v>1.512748678158362E-2</v>
      </c>
      <c r="I71" s="541">
        <f>I66*'Savings and Cost'!$K4</f>
        <v>-3.3227983620272343E-2</v>
      </c>
      <c r="J71" s="545">
        <f>J66*'Savings and Cost'!$K4</f>
        <v>-3.6319148470034868E-2</v>
      </c>
      <c r="K71" s="545">
        <f>K66*'Savings and Cost'!$K4</f>
        <v>-2.189728625437427E-2</v>
      </c>
    </row>
    <row r="72" spans="1:29">
      <c r="A72" s="550" t="s">
        <v>859</v>
      </c>
      <c r="B72" s="719"/>
      <c r="C72" s="541"/>
      <c r="D72" s="541">
        <f>D67*'Savings and Cost'!$K5</f>
        <v>5.2802090376319721E-2</v>
      </c>
      <c r="E72" s="541">
        <f>E67*'Savings and Cost'!$K5</f>
        <v>-0.7832342636785028</v>
      </c>
      <c r="F72" s="541">
        <f>F67*'Savings and Cost'!$K5</f>
        <v>9.5598649559321458E-2</v>
      </c>
      <c r="G72" s="541">
        <f>G67*'Savings and Cost'!$K5</f>
        <v>7.7055796585240366E-2</v>
      </c>
      <c r="H72" s="541">
        <f>H67*'Savings and Cost'!$K5</f>
        <v>7.968066723611068E-3</v>
      </c>
      <c r="I72" s="541">
        <f>I67*'Savings and Cost'!$K5</f>
        <v>-1.7502100276148121E-2</v>
      </c>
      <c r="J72" s="545">
        <f>J67*'Savings and Cost'!$K5</f>
        <v>-1.9130302510414292E-2</v>
      </c>
      <c r="K72" s="545">
        <f>K67*'Savings and Cost'!$K5</f>
        <v>-1.1533907810335307E-2</v>
      </c>
    </row>
    <row r="73" spans="1:29">
      <c r="A73" s="310"/>
      <c r="B73" s="254"/>
      <c r="C73" s="254"/>
      <c r="D73" s="312">
        <f t="shared" ref="D73:J73" si="30">SUM(D70:D72)</f>
        <v>0.23942609120708414</v>
      </c>
      <c r="E73" s="312">
        <f t="shared" si="30"/>
        <v>5.8537669392974703</v>
      </c>
      <c r="F73" s="312">
        <f t="shared" si="30"/>
        <v>0.50182576477783858</v>
      </c>
      <c r="G73" s="313">
        <f t="shared" si="30"/>
        <v>0.40448881056586911</v>
      </c>
      <c r="H73" s="313">
        <f t="shared" si="30"/>
        <v>4.1826753785845563E-2</v>
      </c>
      <c r="I73" s="313">
        <f t="shared" si="30"/>
        <v>-9.1873733538949412E-2</v>
      </c>
      <c r="J73" s="313">
        <f t="shared" si="30"/>
        <v>-0.10042065167210025</v>
      </c>
      <c r="K73" s="313">
        <f t="shared" ref="K73" si="31">SUM(K70:K72)</f>
        <v>-6.0544914959362414E-2</v>
      </c>
    </row>
    <row r="74" spans="1:29">
      <c r="A74" s="301" t="s">
        <v>1169</v>
      </c>
      <c r="B74" s="254">
        <v>2008</v>
      </c>
      <c r="C74" s="254">
        <f>B74+1</f>
        <v>2009</v>
      </c>
      <c r="D74" s="254">
        <f t="shared" ref="D74:O74" si="32">C74+1</f>
        <v>2010</v>
      </c>
      <c r="E74" s="254">
        <f t="shared" si="32"/>
        <v>2011</v>
      </c>
      <c r="F74" s="254">
        <f t="shared" si="32"/>
        <v>2012</v>
      </c>
      <c r="G74" s="254">
        <f t="shared" si="32"/>
        <v>2013</v>
      </c>
      <c r="H74" s="254">
        <f t="shared" si="32"/>
        <v>2014</v>
      </c>
      <c r="I74" s="254">
        <f t="shared" si="32"/>
        <v>2015</v>
      </c>
      <c r="J74" s="254">
        <f t="shared" si="32"/>
        <v>2016</v>
      </c>
      <c r="K74" s="254">
        <f t="shared" si="32"/>
        <v>2017</v>
      </c>
      <c r="L74" s="254">
        <f t="shared" si="32"/>
        <v>2018</v>
      </c>
      <c r="M74" s="254">
        <f t="shared" si="32"/>
        <v>2019</v>
      </c>
      <c r="N74" s="254">
        <f t="shared" si="32"/>
        <v>2020</v>
      </c>
      <c r="O74" s="254">
        <f t="shared" si="32"/>
        <v>2021</v>
      </c>
      <c r="P74" s="254">
        <f t="shared" ref="P74:AC74" si="33">O74+1</f>
        <v>2022</v>
      </c>
      <c r="Q74" s="254">
        <f t="shared" si="33"/>
        <v>2023</v>
      </c>
      <c r="R74" s="254">
        <f t="shared" si="33"/>
        <v>2024</v>
      </c>
      <c r="S74" s="254">
        <f t="shared" si="33"/>
        <v>2025</v>
      </c>
      <c r="T74" s="254">
        <f t="shared" si="33"/>
        <v>2026</v>
      </c>
      <c r="U74" s="254">
        <f t="shared" si="33"/>
        <v>2027</v>
      </c>
      <c r="V74" s="254">
        <f t="shared" si="33"/>
        <v>2028</v>
      </c>
      <c r="W74" s="254">
        <f t="shared" si="33"/>
        <v>2029</v>
      </c>
      <c r="X74" s="254">
        <f t="shared" si="33"/>
        <v>2030</v>
      </c>
      <c r="Y74" s="254">
        <f t="shared" si="33"/>
        <v>2031</v>
      </c>
      <c r="Z74" s="254">
        <f t="shared" si="33"/>
        <v>2032</v>
      </c>
      <c r="AA74" s="254">
        <f t="shared" si="33"/>
        <v>2033</v>
      </c>
      <c r="AB74" s="254">
        <f t="shared" si="33"/>
        <v>2034</v>
      </c>
      <c r="AC74" s="254">
        <f t="shared" si="33"/>
        <v>2035</v>
      </c>
    </row>
    <row r="75" spans="1:29">
      <c r="B75" s="254">
        <f>'[7]Pop Forecast (Base Case)'!AB$10</f>
        <v>12261.453230000001</v>
      </c>
      <c r="C75" s="254">
        <f>'[7]Pop Forecast (Base Case)'!AC$10</f>
        <v>12442.00815</v>
      </c>
      <c r="D75" s="254">
        <f>'[7]Pop Forecast (Base Case)'!AD$10</f>
        <v>12604.661620000001</v>
      </c>
      <c r="E75" s="254">
        <f>'[7]Pop Forecast (Base Case)'!AE$10</f>
        <v>12731.74632</v>
      </c>
      <c r="F75" s="254">
        <f>'[7]Pop Forecast (Base Case)'!AF$10</f>
        <v>12856.81595</v>
      </c>
      <c r="G75" s="254">
        <f>'[7]Pop Forecast (Base Case)'!AG$10</f>
        <v>12980.202989999998</v>
      </c>
      <c r="H75" s="254">
        <f>'[7]Pop Forecast (Base Case)'!AH$10</f>
        <v>13108.750639999998</v>
      </c>
      <c r="I75" s="254">
        <f>'[7]Pop Forecast (Base Case)'!AI$10</f>
        <v>13242.678320000001</v>
      </c>
      <c r="J75" s="254">
        <f>'[7]Pop Forecast (Base Case)'!AJ$10</f>
        <v>13381.124030000001</v>
      </c>
      <c r="K75" s="254">
        <f>'[7]Pop Forecast (Base Case)'!AK$10</f>
        <v>13520.68111</v>
      </c>
      <c r="L75" s="254">
        <f>'[7]Pop Forecast (Base Case)'!AL$10</f>
        <v>13661.840299999998</v>
      </c>
      <c r="M75" s="254">
        <f>'[7]Pop Forecast (Base Case)'!AM$10</f>
        <v>13803.691440000001</v>
      </c>
      <c r="N75" s="254">
        <f>'[7]Pop Forecast (Base Case)'!AN$10</f>
        <v>13944.276469999999</v>
      </c>
      <c r="O75" s="254">
        <f>'[7]Pop Forecast (Base Case)'!AO$10</f>
        <v>14082.801340000002</v>
      </c>
      <c r="P75" s="254">
        <f>'[7]Pop Forecast (Base Case)'!AP$10</f>
        <v>14218.715590000002</v>
      </c>
      <c r="Q75" s="254">
        <f>'[7]Pop Forecast (Base Case)'!AQ$10</f>
        <v>14351.918940000001</v>
      </c>
      <c r="R75" s="254">
        <f>'[7]Pop Forecast (Base Case)'!AR$10</f>
        <v>14482.437540000003</v>
      </c>
      <c r="S75" s="254">
        <f>'[7]Pop Forecast (Base Case)'!AS$10</f>
        <v>14610.4211</v>
      </c>
      <c r="T75" s="254">
        <f>'[7]Pop Forecast (Base Case)'!AT$10</f>
        <v>14736.24631</v>
      </c>
      <c r="U75" s="254">
        <f>'[7]Pop Forecast (Base Case)'!AU$10</f>
        <v>14860.320880000001</v>
      </c>
      <c r="V75" s="254">
        <f>'[7]Pop Forecast (Base Case)'!AV$10</f>
        <v>14983.078860000001</v>
      </c>
      <c r="W75" s="254">
        <f>'[7]Pop Forecast (Base Case)'!AW$10</f>
        <v>15104.70127</v>
      </c>
      <c r="X75" s="254">
        <f>'[7]Pop Forecast (Base Case)'!AX$10</f>
        <v>15225.195700000002</v>
      </c>
      <c r="Y75" s="254">
        <f>'[7]Pop Forecast (Base Case)'!AY$10</f>
        <v>15344.62486</v>
      </c>
      <c r="Z75" s="254">
        <f>'[7]Pop Forecast (Base Case)'!AZ$10</f>
        <v>15463.089019999998</v>
      </c>
      <c r="AA75" s="254">
        <f>'[7]Pop Forecast (Base Case)'!BA$10</f>
        <v>15580.68845</v>
      </c>
      <c r="AB75" s="254">
        <f>'[7]Pop Forecast (Base Case)'!BB$10</f>
        <v>15697.50913</v>
      </c>
      <c r="AC75" s="254">
        <f>'[7]Pop Forecast (Base Case)'!BC$10</f>
        <v>15813.626329999999</v>
      </c>
    </row>
    <row r="77" spans="1:29">
      <c r="A77" s="294" t="s">
        <v>877</v>
      </c>
      <c r="D77" s="312"/>
      <c r="E77" s="312"/>
      <c r="F77" s="312"/>
      <c r="G77" s="313"/>
      <c r="H77" s="313"/>
      <c r="I77" s="313"/>
      <c r="J77" s="313"/>
    </row>
    <row r="78" spans="1:29">
      <c r="A78" s="294" t="s">
        <v>878</v>
      </c>
      <c r="D78" s="312"/>
      <c r="E78" s="312"/>
      <c r="F78" s="312"/>
      <c r="G78" s="313"/>
      <c r="H78" s="313"/>
      <c r="I78" s="313"/>
      <c r="J78" s="313"/>
    </row>
    <row r="79" spans="1:29">
      <c r="A79" s="294" t="s">
        <v>879</v>
      </c>
      <c r="D79" s="312"/>
      <c r="E79" s="312"/>
      <c r="F79" s="312" t="s">
        <v>1159</v>
      </c>
      <c r="G79" s="313"/>
      <c r="H79" s="313"/>
      <c r="I79" s="313"/>
      <c r="J79" s="313"/>
    </row>
    <row r="80" spans="1:29">
      <c r="A80" s="314" t="s">
        <v>880</v>
      </c>
      <c r="B80" s="314" t="s">
        <v>881</v>
      </c>
      <c r="C80" s="314" t="s">
        <v>882</v>
      </c>
      <c r="D80" s="314" t="s">
        <v>883</v>
      </c>
      <c r="E80" s="312"/>
      <c r="F80" s="312"/>
      <c r="G80" s="313"/>
      <c r="H80" s="313"/>
      <c r="I80" s="313"/>
      <c r="J80" s="313"/>
    </row>
    <row r="81" spans="1:10">
      <c r="A81" s="315">
        <f>'[13]WWPivot Results'!B2</f>
        <v>2000000</v>
      </c>
      <c r="B81" s="315">
        <f>'[13]WWPivot Results'!C2</f>
        <v>1346000</v>
      </c>
      <c r="C81" s="315">
        <f>'[13]WWPivot Results'!D2</f>
        <v>502224.69999999995</v>
      </c>
      <c r="D81" s="316">
        <f>'[13]WWPivot Results'!E2</f>
        <v>2.6800752730799582</v>
      </c>
      <c r="E81" s="312"/>
      <c r="F81" s="317">
        <v>2000000</v>
      </c>
      <c r="G81" s="318">
        <v>2.6800752730799582</v>
      </c>
      <c r="H81" s="313"/>
      <c r="I81" s="313"/>
      <c r="J81" s="313"/>
    </row>
    <row r="82" spans="1:10">
      <c r="A82" s="315">
        <f>'[13]WWPivot Results'!B3</f>
        <v>2256000</v>
      </c>
      <c r="B82" s="315">
        <f>'[13]WWPivot Results'!C3</f>
        <v>0</v>
      </c>
      <c r="C82" s="315">
        <f>'[13]WWPivot Results'!D3</f>
        <v>2496219</v>
      </c>
      <c r="D82" s="316">
        <f>'[13]WWPivot Results'!E3</f>
        <v>0</v>
      </c>
      <c r="E82" s="312"/>
      <c r="F82" s="317">
        <v>4380000</v>
      </c>
      <c r="G82" s="318">
        <v>1.4031392703245791</v>
      </c>
      <c r="H82" s="313"/>
      <c r="I82" s="313"/>
      <c r="J82" s="313"/>
    </row>
    <row r="83" spans="1:10">
      <c r="A83" s="315">
        <f>'[13]WWPivot Results'!B4</f>
        <v>4380000</v>
      </c>
      <c r="B83" s="315">
        <f>'[13]WWPivot Results'!C4</f>
        <v>2006151</v>
      </c>
      <c r="C83" s="315">
        <f>'[13]WWPivot Results'!D4</f>
        <v>1429759</v>
      </c>
      <c r="D83" s="316">
        <f>'[13]WWPivot Results'!E4</f>
        <v>1.4031392703245791</v>
      </c>
      <c r="E83" s="312"/>
      <c r="F83" s="317">
        <v>4884730</v>
      </c>
      <c r="G83" s="318">
        <v>0.34059296779502585</v>
      </c>
      <c r="H83" s="313"/>
      <c r="I83" s="313"/>
      <c r="J83" s="313"/>
    </row>
    <row r="84" spans="1:10">
      <c r="A84" s="315">
        <f>'[13]WWPivot Results'!B5</f>
        <v>4884730</v>
      </c>
      <c r="B84" s="315">
        <f>'[13]WWPivot Results'!C5</f>
        <v>42631</v>
      </c>
      <c r="C84" s="315">
        <f>'[13]WWPivot Results'!D5</f>
        <v>125167</v>
      </c>
      <c r="D84" s="316">
        <f>'[13]WWPivot Results'!E5</f>
        <v>0.34059296779502585</v>
      </c>
      <c r="E84" s="312"/>
      <c r="F84" s="317">
        <v>6500000</v>
      </c>
      <c r="G84" s="318">
        <v>0.39966169896002945</v>
      </c>
      <c r="H84" s="313"/>
      <c r="I84" s="313"/>
      <c r="J84" s="313"/>
    </row>
    <row r="85" spans="1:10">
      <c r="A85" s="315">
        <f>'[13]WWPivot Results'!B6</f>
        <v>6500000</v>
      </c>
      <c r="B85" s="315">
        <f>'[13]WWPivot Results'!C6</f>
        <v>366700</v>
      </c>
      <c r="C85" s="315">
        <f>'[13]WWPivot Results'!D6</f>
        <v>917526</v>
      </c>
      <c r="D85" s="316">
        <f>'[13]WWPivot Results'!E6</f>
        <v>0.39966169896002945</v>
      </c>
      <c r="E85" s="312"/>
      <c r="F85" s="317">
        <v>18396000</v>
      </c>
      <c r="G85" s="318">
        <v>0.35971075277054287</v>
      </c>
      <c r="H85" s="313"/>
      <c r="I85" s="313"/>
      <c r="J85" s="313"/>
    </row>
    <row r="86" spans="1:10">
      <c r="A86" s="315">
        <f>'[13]WWPivot Results'!B7</f>
        <v>18396000</v>
      </c>
      <c r="B86" s="315">
        <f>'[13]WWPivot Results'!C7</f>
        <v>507131.73</v>
      </c>
      <c r="C86" s="315">
        <f>'[13]WWPivot Results'!D7</f>
        <v>1409832</v>
      </c>
      <c r="D86" s="316">
        <f>'[13]WWPivot Results'!E7</f>
        <v>0.35971075277054287</v>
      </c>
      <c r="E86" s="312"/>
      <c r="F86" s="317">
        <v>21900000</v>
      </c>
      <c r="G86" s="318">
        <v>0.29209699953963647</v>
      </c>
      <c r="H86" s="313"/>
      <c r="I86" s="313"/>
      <c r="J86" s="313"/>
    </row>
    <row r="87" spans="1:10">
      <c r="A87" s="315">
        <f>'[13]WWPivot Results'!B8</f>
        <v>21900000</v>
      </c>
      <c r="B87" s="315">
        <f>'[13]WWPivot Results'!C8</f>
        <v>836895</v>
      </c>
      <c r="C87" s="315">
        <f>'[13]WWPivot Results'!D8</f>
        <v>2865127</v>
      </c>
      <c r="D87" s="316">
        <f>'[13]WWPivot Results'!E8</f>
        <v>0.29209699953963647</v>
      </c>
      <c r="E87" s="312"/>
      <c r="H87" s="313"/>
      <c r="I87" s="313"/>
      <c r="J87" s="313"/>
    </row>
    <row r="88" spans="1:10">
      <c r="A88" s="315">
        <f>'[13]WWPivot Results'!B9</f>
        <v>26280000</v>
      </c>
      <c r="B88" s="315">
        <f>'[13]WWPivot Results'!C9</f>
        <v>0</v>
      </c>
      <c r="C88" s="315">
        <f>'[13]WWPivot Results'!D9</f>
        <v>132224</v>
      </c>
      <c r="D88" s="316">
        <f>'[13]WWPivot Results'!E9</f>
        <v>0</v>
      </c>
      <c r="E88" s="312"/>
      <c r="F88" s="319"/>
      <c r="G88" s="313"/>
      <c r="H88" s="313"/>
      <c r="I88" s="313"/>
      <c r="J88" s="313"/>
    </row>
    <row r="89" spans="1:10">
      <c r="A89" s="315">
        <f>'[13]WWPivot Results'!B10</f>
        <v>51684000</v>
      </c>
      <c r="B89" s="315">
        <f>'[13]WWPivot Results'!C10</f>
        <v>0</v>
      </c>
      <c r="C89" s="315">
        <f>'[13]WWPivot Results'!D10</f>
        <v>580353</v>
      </c>
      <c r="D89" s="316">
        <f>'[13]WWPivot Results'!E10</f>
        <v>0</v>
      </c>
      <c r="E89" s="312"/>
      <c r="G89" s="241" t="s">
        <v>884</v>
      </c>
      <c r="H89" s="313"/>
      <c r="I89" s="313"/>
      <c r="J89" s="313"/>
    </row>
    <row r="90" spans="1:10">
      <c r="A90" s="315">
        <f>'[13]WWPivot Results'!B11</f>
        <v>0</v>
      </c>
      <c r="B90" s="315">
        <f>'[13]WWPivot Results'!C11</f>
        <v>113009.28106382978</v>
      </c>
      <c r="C90" s="315">
        <f>'[13]WWPivot Results'!D11</f>
        <v>27896414.453376003</v>
      </c>
      <c r="D90" s="316"/>
      <c r="E90" s="312"/>
      <c r="F90" s="312" t="s">
        <v>1162</v>
      </c>
      <c r="G90" s="313"/>
      <c r="H90" s="313"/>
      <c r="I90" s="313"/>
      <c r="J90" s="313"/>
    </row>
    <row r="91" spans="1:10">
      <c r="A91" s="320"/>
      <c r="B91" s="321"/>
      <c r="C91" s="315">
        <f>'[13]WWPivot Results'!D12</f>
        <v>38636871.459381446</v>
      </c>
      <c r="D91" s="322"/>
      <c r="F91" s="247">
        <f>'Savings and Cost'!L3</f>
        <v>277614.00804207718</v>
      </c>
      <c r="G91" s="251">
        <f>F91*(-0.00000007)+1.5904</f>
        <v>1.5709670194370546</v>
      </c>
    </row>
    <row r="92" spans="1:10">
      <c r="A92" s="320"/>
      <c r="B92" s="323">
        <f>SUM(B81:B87)</f>
        <v>5105508.7300000004</v>
      </c>
      <c r="C92" s="319">
        <f>C81+C83+C84+C85+C86+C87</f>
        <v>7249635.7000000002</v>
      </c>
      <c r="D92" s="324">
        <f>B92/C92</f>
        <v>0.70424348771069978</v>
      </c>
      <c r="F92" s="247">
        <f>'Savings and Cost'!L4</f>
        <v>1766210.3760877533</v>
      </c>
      <c r="G92" s="251">
        <f>F92*(-0.00000007)+1.5904</f>
        <v>1.4667652736738572</v>
      </c>
    </row>
    <row r="93" spans="1:10">
      <c r="A93" s="320"/>
      <c r="B93" s="321"/>
      <c r="C93" s="319"/>
      <c r="D93" s="322"/>
      <c r="F93" s="247">
        <f>'Savings and Cost'!L5</f>
        <v>17228754.895012189</v>
      </c>
      <c r="G93" s="251">
        <f>F93*(-0.00000007)+1.5904</f>
        <v>0.38438715734914664</v>
      </c>
    </row>
    <row r="94" spans="1:10">
      <c r="A94" s="325" t="s">
        <v>885</v>
      </c>
      <c r="B94" s="326">
        <f>[13]Wasewater!$P$139</f>
        <v>0.41007545922891386</v>
      </c>
      <c r="C94" s="319"/>
      <c r="D94" s="322"/>
    </row>
    <row r="95" spans="1:10">
      <c r="A95" s="320"/>
      <c r="B95" s="321"/>
      <c r="C95" s="319"/>
      <c r="D95" s="322"/>
      <c r="G95" s="95" t="s">
        <v>1209</v>
      </c>
    </row>
    <row r="96" spans="1:10">
      <c r="A96" s="320"/>
      <c r="B96" s="321"/>
      <c r="C96" s="319"/>
      <c r="D96" s="322"/>
      <c r="F96" s="247">
        <f>F91</f>
        <v>277614.00804207718</v>
      </c>
      <c r="G96" s="251">
        <f>(202389)*F96^-0.807</f>
        <v>8.1908639790506985</v>
      </c>
    </row>
    <row r="97" spans="1:16">
      <c r="A97" s="320"/>
      <c r="B97" s="321"/>
      <c r="C97" s="319"/>
      <c r="D97" s="322"/>
      <c r="F97" s="247">
        <f t="shared" ref="F97:F98" si="34">F92</f>
        <v>1766210.3760877533</v>
      </c>
      <c r="G97" s="251">
        <f t="shared" ref="G97:G98" si="35">(202389)*F97^-0.807</f>
        <v>1.8400247389166242</v>
      </c>
    </row>
    <row r="98" spans="1:16">
      <c r="A98" s="320"/>
      <c r="B98" s="321"/>
      <c r="C98" s="319"/>
      <c r="D98" s="322"/>
      <c r="F98" s="247">
        <f t="shared" si="34"/>
        <v>17228754.895012189</v>
      </c>
      <c r="G98" s="251">
        <f t="shared" si="35"/>
        <v>0.29277231938310261</v>
      </c>
    </row>
    <row r="100" spans="1:16">
      <c r="A100" s="327" t="s">
        <v>886</v>
      </c>
      <c r="B100" s="327"/>
      <c r="C100" s="327"/>
      <c r="D100" s="328" t="s">
        <v>887</v>
      </c>
      <c r="E100" s="329"/>
    </row>
    <row r="101" spans="1:16" s="331" customFormat="1" ht="27">
      <c r="A101" s="330" t="s">
        <v>888</v>
      </c>
      <c r="B101" s="330" t="s">
        <v>889</v>
      </c>
      <c r="C101" s="330" t="s">
        <v>890</v>
      </c>
      <c r="D101" s="330" t="s">
        <v>891</v>
      </c>
      <c r="E101" s="330" t="s">
        <v>892</v>
      </c>
      <c r="F101" s="330" t="s">
        <v>893</v>
      </c>
    </row>
    <row r="102" spans="1:16">
      <c r="A102" s="328" t="s">
        <v>894</v>
      </c>
      <c r="B102" s="328" t="s">
        <v>895</v>
      </c>
      <c r="C102" s="328" t="s">
        <v>896</v>
      </c>
      <c r="D102" s="328" t="s">
        <v>897</v>
      </c>
      <c r="E102" s="328" t="s">
        <v>895</v>
      </c>
      <c r="F102" s="332">
        <f>D102*365/1000000</f>
        <v>1.6862999999999999</v>
      </c>
    </row>
    <row r="103" spans="1:16">
      <c r="A103" s="328" t="s">
        <v>898</v>
      </c>
      <c r="B103" s="328" t="s">
        <v>899</v>
      </c>
      <c r="C103" s="328" t="s">
        <v>900</v>
      </c>
      <c r="D103" s="328" t="s">
        <v>901</v>
      </c>
      <c r="E103" s="328" t="s">
        <v>902</v>
      </c>
      <c r="F103" s="332">
        <f>D103*365/1000000</f>
        <v>0.57669999999999999</v>
      </c>
    </row>
    <row r="104" spans="1:16">
      <c r="A104" s="328" t="s">
        <v>903</v>
      </c>
      <c r="B104" s="328" t="s">
        <v>904</v>
      </c>
      <c r="C104" s="328" t="s">
        <v>905</v>
      </c>
      <c r="D104" s="328" t="s">
        <v>906</v>
      </c>
      <c r="E104" s="328" t="s">
        <v>902</v>
      </c>
      <c r="F104" s="332">
        <f>D104*365/1000000</f>
        <v>0.6351</v>
      </c>
    </row>
    <row r="105" spans="1:16">
      <c r="A105" s="328" t="s">
        <v>907</v>
      </c>
      <c r="B105" s="328" t="s">
        <v>908</v>
      </c>
      <c r="C105" s="328" t="s">
        <v>909</v>
      </c>
      <c r="D105" s="328" t="s">
        <v>910</v>
      </c>
      <c r="E105" s="328" t="s">
        <v>911</v>
      </c>
      <c r="F105" s="332">
        <f>D105*365/1000000</f>
        <v>0.62050000000000005</v>
      </c>
    </row>
    <row r="106" spans="1:16">
      <c r="A106" s="328" t="s">
        <v>912</v>
      </c>
      <c r="B106" s="328" t="s">
        <v>913</v>
      </c>
      <c r="C106" s="328" t="s">
        <v>914</v>
      </c>
      <c r="D106" s="328" t="s">
        <v>915</v>
      </c>
      <c r="E106" s="328" t="s">
        <v>916</v>
      </c>
      <c r="F106" s="332">
        <f>D106*365/1000000</f>
        <v>0.40150000000000002</v>
      </c>
    </row>
    <row r="107" spans="1:16">
      <c r="A107" s="328" t="s">
        <v>917</v>
      </c>
      <c r="B107" s="329"/>
      <c r="C107" s="329"/>
      <c r="D107" s="329"/>
      <c r="E107" s="329"/>
      <c r="F107" s="247"/>
    </row>
    <row r="108" spans="1:16">
      <c r="I108" s="242">
        <f>I111/8760000</f>
        <v>7.1749639269406389</v>
      </c>
    </row>
    <row r="109" spans="1:16" ht="15.75" thickBot="1"/>
    <row r="110" spans="1:16" s="254" customFormat="1" ht="45">
      <c r="A110" s="333" t="s">
        <v>918</v>
      </c>
      <c r="B110" s="334" t="s">
        <v>919</v>
      </c>
      <c r="C110" s="334" t="s">
        <v>920</v>
      </c>
      <c r="D110" s="334" t="s">
        <v>921</v>
      </c>
      <c r="E110" s="334" t="s">
        <v>922</v>
      </c>
      <c r="F110" s="334" t="s">
        <v>923</v>
      </c>
      <c r="G110" s="334" t="s">
        <v>924</v>
      </c>
      <c r="H110" s="334" t="s">
        <v>925</v>
      </c>
      <c r="I110" s="334" t="s">
        <v>926</v>
      </c>
      <c r="J110" s="334" t="s">
        <v>927</v>
      </c>
      <c r="K110" s="334" t="s">
        <v>928</v>
      </c>
      <c r="L110" s="334" t="s">
        <v>929</v>
      </c>
      <c r="M110" s="334" t="s">
        <v>930</v>
      </c>
      <c r="N110" s="334" t="s">
        <v>931</v>
      </c>
      <c r="O110" s="335" t="s">
        <v>932</v>
      </c>
      <c r="P110" s="336" t="s">
        <v>933</v>
      </c>
    </row>
    <row r="111" spans="1:16" s="254" customFormat="1">
      <c r="A111" s="337" t="s">
        <v>934</v>
      </c>
      <c r="B111" s="329" t="s">
        <v>238</v>
      </c>
      <c r="C111" s="329" t="s">
        <v>935</v>
      </c>
      <c r="D111" s="329" t="s">
        <v>936</v>
      </c>
      <c r="E111" s="329">
        <v>144</v>
      </c>
      <c r="F111" s="338">
        <v>29200</v>
      </c>
      <c r="G111" s="329">
        <f>F111/365</f>
        <v>80</v>
      </c>
      <c r="H111" s="329"/>
      <c r="I111" s="339">
        <v>62852684</v>
      </c>
      <c r="J111" s="340">
        <f>I111/1000000/G111</f>
        <v>0.78565855000000007</v>
      </c>
      <c r="K111" s="341">
        <f>I111/F111/1000</f>
        <v>2.1524891780821918</v>
      </c>
      <c r="L111" s="338">
        <f>I111-59854365</f>
        <v>2998319</v>
      </c>
      <c r="M111" s="329" t="s">
        <v>937</v>
      </c>
      <c r="N111" s="342">
        <f>G111/E111</f>
        <v>0.55555555555555558</v>
      </c>
      <c r="O111" s="343"/>
    </row>
    <row r="112" spans="1:16" s="254" customFormat="1">
      <c r="A112" s="337" t="s">
        <v>938</v>
      </c>
      <c r="B112" s="329" t="s">
        <v>245</v>
      </c>
      <c r="C112" s="329" t="s">
        <v>939</v>
      </c>
      <c r="D112" s="329" t="s">
        <v>940</v>
      </c>
      <c r="E112" s="329"/>
      <c r="F112" s="338">
        <f t="shared" ref="F112:F120" si="36">G112*365</f>
        <v>657</v>
      </c>
      <c r="G112" s="329">
        <v>1.8</v>
      </c>
      <c r="H112" s="329">
        <v>0.64800000000000002</v>
      </c>
      <c r="I112" s="338">
        <f t="shared" ref="I112:I120" si="37">K112*F112*1000</f>
        <v>704961</v>
      </c>
      <c r="J112" s="338"/>
      <c r="K112" s="341">
        <v>1.073</v>
      </c>
      <c r="L112" s="341"/>
      <c r="M112" s="329"/>
      <c r="N112" s="329"/>
      <c r="O112" s="343"/>
    </row>
    <row r="113" spans="1:17" s="254" customFormat="1">
      <c r="A113" s="337" t="s">
        <v>938</v>
      </c>
      <c r="B113" s="329" t="s">
        <v>245</v>
      </c>
      <c r="C113" s="329" t="s">
        <v>941</v>
      </c>
      <c r="D113" s="329" t="s">
        <v>942</v>
      </c>
      <c r="E113" s="329"/>
      <c r="F113" s="338">
        <f t="shared" si="36"/>
        <v>3686.5</v>
      </c>
      <c r="G113" s="329">
        <v>10.1</v>
      </c>
      <c r="H113" s="329">
        <v>0.50800000000000001</v>
      </c>
      <c r="I113" s="338">
        <f t="shared" si="37"/>
        <v>5474452.5</v>
      </c>
      <c r="J113" s="338"/>
      <c r="K113" s="341">
        <v>1.4850000000000001</v>
      </c>
      <c r="L113" s="341"/>
      <c r="M113" s="329"/>
      <c r="N113" s="329"/>
      <c r="O113" s="343"/>
    </row>
    <row r="114" spans="1:17" s="254" customFormat="1">
      <c r="A114" s="337" t="s">
        <v>938</v>
      </c>
      <c r="B114" s="329" t="s">
        <v>245</v>
      </c>
      <c r="C114" s="329" t="s">
        <v>163</v>
      </c>
      <c r="D114" s="329" t="s">
        <v>943</v>
      </c>
      <c r="E114" s="329"/>
      <c r="F114" s="338">
        <f t="shared" si="36"/>
        <v>876</v>
      </c>
      <c r="G114" s="329">
        <v>2.4</v>
      </c>
      <c r="H114" s="329">
        <v>2.4279999999999999</v>
      </c>
      <c r="I114" s="338">
        <f t="shared" si="37"/>
        <v>3748404</v>
      </c>
      <c r="J114" s="338"/>
      <c r="K114" s="341">
        <v>4.2789999999999999</v>
      </c>
      <c r="L114" s="341"/>
      <c r="M114" s="329"/>
      <c r="N114" s="329"/>
      <c r="O114" s="343"/>
    </row>
    <row r="115" spans="1:17" s="254" customFormat="1">
      <c r="A115" s="337" t="s">
        <v>938</v>
      </c>
      <c r="B115" s="329" t="s">
        <v>245</v>
      </c>
      <c r="C115" s="329" t="s">
        <v>164</v>
      </c>
      <c r="D115" s="329" t="s">
        <v>943</v>
      </c>
      <c r="E115" s="329"/>
      <c r="F115" s="338">
        <f t="shared" si="36"/>
        <v>4197.5</v>
      </c>
      <c r="G115" s="329">
        <v>11.5</v>
      </c>
      <c r="H115" s="329">
        <v>0.81100000000000005</v>
      </c>
      <c r="I115" s="338">
        <f t="shared" si="37"/>
        <v>7093775</v>
      </c>
      <c r="J115" s="338"/>
      <c r="K115" s="341">
        <v>1.69</v>
      </c>
      <c r="L115" s="341"/>
      <c r="M115" s="329"/>
      <c r="N115" s="329"/>
      <c r="O115" s="343"/>
    </row>
    <row r="116" spans="1:17" s="254" customFormat="1">
      <c r="A116" s="337" t="s">
        <v>938</v>
      </c>
      <c r="B116" s="329" t="s">
        <v>245</v>
      </c>
      <c r="C116" s="329" t="s">
        <v>165</v>
      </c>
      <c r="D116" s="329" t="s">
        <v>943</v>
      </c>
      <c r="E116" s="329"/>
      <c r="F116" s="338">
        <f t="shared" si="36"/>
        <v>620.5</v>
      </c>
      <c r="G116" s="329">
        <v>1.7</v>
      </c>
      <c r="H116" s="329">
        <v>1.4650000000000001</v>
      </c>
      <c r="I116" s="338">
        <f t="shared" si="37"/>
        <v>1566142</v>
      </c>
      <c r="J116" s="338"/>
      <c r="K116" s="341">
        <v>2.524</v>
      </c>
      <c r="L116" s="341"/>
      <c r="M116" s="329"/>
      <c r="N116" s="329"/>
      <c r="O116" s="343"/>
    </row>
    <row r="117" spans="1:17" s="254" customFormat="1">
      <c r="A117" s="337" t="s">
        <v>938</v>
      </c>
      <c r="B117" s="329" t="s">
        <v>245</v>
      </c>
      <c r="C117" s="329" t="s">
        <v>166</v>
      </c>
      <c r="D117" s="329" t="s">
        <v>944</v>
      </c>
      <c r="E117" s="329"/>
      <c r="F117" s="338">
        <f t="shared" si="36"/>
        <v>7080.9999999999991</v>
      </c>
      <c r="G117" s="329">
        <v>19.399999999999999</v>
      </c>
      <c r="H117" s="329">
        <v>1.2470000000000001</v>
      </c>
      <c r="I117" s="338">
        <f t="shared" si="37"/>
        <v>32785029.999999993</v>
      </c>
      <c r="J117" s="338"/>
      <c r="K117" s="341">
        <v>4.63</v>
      </c>
      <c r="L117" s="341"/>
      <c r="M117" s="329"/>
      <c r="N117" s="329"/>
      <c r="O117" s="343"/>
    </row>
    <row r="118" spans="1:17" s="254" customFormat="1">
      <c r="A118" s="337" t="s">
        <v>938</v>
      </c>
      <c r="B118" s="329" t="s">
        <v>245</v>
      </c>
      <c r="C118" s="329" t="s">
        <v>945</v>
      </c>
      <c r="D118" s="329" t="s">
        <v>946</v>
      </c>
      <c r="E118" s="329"/>
      <c r="F118" s="338">
        <f t="shared" si="36"/>
        <v>2007.5</v>
      </c>
      <c r="G118" s="329">
        <v>5.5</v>
      </c>
      <c r="H118" s="329">
        <v>2.2200000000000002</v>
      </c>
      <c r="I118" s="338">
        <f t="shared" si="37"/>
        <v>8076172.5</v>
      </c>
      <c r="J118" s="338"/>
      <c r="K118" s="341">
        <v>4.0229999999999997</v>
      </c>
      <c r="L118" s="341"/>
      <c r="M118" s="329"/>
      <c r="N118" s="329"/>
      <c r="O118" s="343"/>
    </row>
    <row r="119" spans="1:17" s="254" customFormat="1">
      <c r="A119" s="337" t="s">
        <v>938</v>
      </c>
      <c r="B119" s="329" t="s">
        <v>245</v>
      </c>
      <c r="C119" s="329" t="s">
        <v>168</v>
      </c>
      <c r="D119" s="329" t="s">
        <v>946</v>
      </c>
      <c r="E119" s="329"/>
      <c r="F119" s="338">
        <f t="shared" si="36"/>
        <v>7227</v>
      </c>
      <c r="G119" s="329">
        <v>19.8</v>
      </c>
      <c r="H119" s="329">
        <v>0.72599999999999998</v>
      </c>
      <c r="I119" s="338">
        <f t="shared" si="37"/>
        <v>16520921.999999998</v>
      </c>
      <c r="J119" s="338"/>
      <c r="K119" s="341">
        <v>2.286</v>
      </c>
      <c r="L119" s="341"/>
      <c r="M119" s="329"/>
      <c r="N119" s="329"/>
      <c r="O119" s="343"/>
    </row>
    <row r="120" spans="1:17" s="254" customFormat="1">
      <c r="A120" s="337" t="s">
        <v>938</v>
      </c>
      <c r="B120" s="329" t="s">
        <v>245</v>
      </c>
      <c r="C120" s="329" t="s">
        <v>947</v>
      </c>
      <c r="D120" s="329" t="s">
        <v>946</v>
      </c>
      <c r="E120" s="329"/>
      <c r="F120" s="338">
        <f t="shared" si="36"/>
        <v>22995</v>
      </c>
      <c r="G120" s="329">
        <v>63</v>
      </c>
      <c r="H120" s="329">
        <v>0.755</v>
      </c>
      <c r="I120" s="338">
        <f t="shared" si="37"/>
        <v>32422949.999999996</v>
      </c>
      <c r="J120" s="338"/>
      <c r="K120" s="341">
        <v>1.41</v>
      </c>
      <c r="L120" s="341"/>
      <c r="M120" s="329"/>
      <c r="N120" s="329"/>
      <c r="O120" s="343"/>
    </row>
    <row r="121" spans="1:17" s="254" customFormat="1">
      <c r="A121" s="337" t="s">
        <v>948</v>
      </c>
      <c r="B121" s="329" t="s">
        <v>238</v>
      </c>
      <c r="C121" s="329" t="s">
        <v>949</v>
      </c>
      <c r="D121" s="329" t="s">
        <v>936</v>
      </c>
      <c r="E121" s="329" t="s">
        <v>950</v>
      </c>
      <c r="F121" s="329">
        <v>13140</v>
      </c>
      <c r="G121" s="329">
        <f>F121/365</f>
        <v>36</v>
      </c>
      <c r="H121" s="329"/>
      <c r="I121" s="338">
        <f>5600875+L121</f>
        <v>12115839</v>
      </c>
      <c r="J121" s="344">
        <f>I121/1000000/G121</f>
        <v>0.33655108333333333</v>
      </c>
      <c r="K121" s="344">
        <f>I121/F121/1000</f>
        <v>0.92205776255707761</v>
      </c>
      <c r="L121" s="345">
        <v>6514964</v>
      </c>
      <c r="M121" s="329" t="s">
        <v>951</v>
      </c>
      <c r="N121" s="342">
        <f>G121/62</f>
        <v>0.58064516129032262</v>
      </c>
      <c r="O121" s="343"/>
    </row>
    <row r="122" spans="1:17" s="254" customFormat="1">
      <c r="A122" s="337" t="s">
        <v>952</v>
      </c>
      <c r="B122" s="329" t="s">
        <v>238</v>
      </c>
      <c r="C122" s="329" t="s">
        <v>953</v>
      </c>
      <c r="D122" s="329" t="s">
        <v>954</v>
      </c>
      <c r="E122" s="254">
        <v>120</v>
      </c>
      <c r="F122" s="329">
        <v>27000</v>
      </c>
      <c r="G122" s="346">
        <f>F122/365</f>
        <v>73.972602739726028</v>
      </c>
      <c r="H122" s="329"/>
      <c r="I122" s="338">
        <f>29000000+L122</f>
        <v>34956800</v>
      </c>
      <c r="J122" s="341">
        <f>I122/G122/1000000</f>
        <v>0.47256414814814812</v>
      </c>
      <c r="K122" s="344">
        <f>I122/F122/1000</f>
        <v>1.2946962962962965</v>
      </c>
      <c r="L122" s="338">
        <f>850*0.8*8760</f>
        <v>5956800</v>
      </c>
      <c r="M122" s="329" t="s">
        <v>955</v>
      </c>
      <c r="N122" s="342"/>
      <c r="O122" s="343"/>
    </row>
    <row r="123" spans="1:17" s="254" customFormat="1">
      <c r="A123" s="337" t="s">
        <v>956</v>
      </c>
      <c r="B123" s="329" t="s">
        <v>238</v>
      </c>
      <c r="C123" s="329" t="s">
        <v>957</v>
      </c>
      <c r="D123" s="329" t="s">
        <v>958</v>
      </c>
      <c r="E123" s="329">
        <v>44</v>
      </c>
      <c r="F123" s="338">
        <f>G123*365</f>
        <v>13585.3</v>
      </c>
      <c r="G123" s="329">
        <v>37.22</v>
      </c>
      <c r="H123" s="329"/>
      <c r="I123" s="338">
        <f>994612/0.0572</f>
        <v>17388321.678321678</v>
      </c>
      <c r="J123" s="344">
        <f>I123/1000000/G123</f>
        <v>0.46717683176576241</v>
      </c>
      <c r="K123" s="344">
        <f>I123/F123/1000</f>
        <v>1.2799365253856505</v>
      </c>
      <c r="L123" s="344">
        <v>0</v>
      </c>
      <c r="M123" s="329" t="s">
        <v>959</v>
      </c>
      <c r="N123" s="342">
        <f>G123/E123</f>
        <v>0.84590909090909083</v>
      </c>
      <c r="O123" s="347"/>
      <c r="P123" s="263"/>
      <c r="Q123" s="348"/>
    </row>
    <row r="124" spans="1:17" s="254" customFormat="1">
      <c r="A124" s="337" t="s">
        <v>960</v>
      </c>
      <c r="B124" s="329" t="s">
        <v>238</v>
      </c>
      <c r="C124" s="329" t="s">
        <v>961</v>
      </c>
      <c r="D124" s="329"/>
      <c r="E124" s="329">
        <v>40</v>
      </c>
      <c r="F124" s="329">
        <f>G124*365</f>
        <v>5840</v>
      </c>
      <c r="G124" s="329">
        <v>16</v>
      </c>
      <c r="H124" s="329"/>
      <c r="I124" s="339">
        <f>443772/0.065+L124</f>
        <v>8404061.538461538</v>
      </c>
      <c r="J124" s="344">
        <f>I124/1000000/G124</f>
        <v>0.52525384615384618</v>
      </c>
      <c r="K124" s="344">
        <f>I124/F124/1000</f>
        <v>1.4390516332982086</v>
      </c>
      <c r="L124" s="345">
        <f>200*365*24*0.9</f>
        <v>1576800</v>
      </c>
      <c r="M124" s="329" t="s">
        <v>962</v>
      </c>
      <c r="N124" s="342">
        <f>G124/E124</f>
        <v>0.4</v>
      </c>
      <c r="O124" s="343"/>
    </row>
    <row r="125" spans="1:17" s="254" customFormat="1">
      <c r="A125" s="337" t="s">
        <v>963</v>
      </c>
      <c r="B125" s="329" t="s">
        <v>238</v>
      </c>
      <c r="C125" s="329" t="s">
        <v>964</v>
      </c>
      <c r="D125" s="329" t="s">
        <v>965</v>
      </c>
      <c r="E125" s="329">
        <v>28</v>
      </c>
      <c r="F125" s="329">
        <v>3811.98</v>
      </c>
      <c r="G125" s="349">
        <f>F125/365</f>
        <v>10.443780821917809</v>
      </c>
      <c r="H125" s="329"/>
      <c r="I125" s="338">
        <f>3993400+L125</f>
        <v>4065136</v>
      </c>
      <c r="J125" s="344">
        <f>I125/1000000/G125</f>
        <v>0.38923988058699149</v>
      </c>
      <c r="K125" s="344">
        <f>I125/F125/1000</f>
        <v>1.0664106317451825</v>
      </c>
      <c r="L125" s="345">
        <f>0.5*30.5*24*(55*2+43*2)</f>
        <v>71736</v>
      </c>
      <c r="M125" s="329" t="s">
        <v>966</v>
      </c>
      <c r="N125" s="342">
        <f>G125/E125</f>
        <v>0.37299217221135034</v>
      </c>
      <c r="O125" s="343"/>
      <c r="P125" s="254">
        <v>0</v>
      </c>
      <c r="Q125" s="350">
        <v>0</v>
      </c>
    </row>
    <row r="126" spans="1:17" s="254" customFormat="1">
      <c r="A126" s="337" t="s">
        <v>967</v>
      </c>
      <c r="B126" s="329" t="s">
        <v>238</v>
      </c>
      <c r="C126" s="329" t="s">
        <v>968</v>
      </c>
      <c r="D126" s="329"/>
      <c r="E126" s="329">
        <v>21</v>
      </c>
      <c r="F126" s="329"/>
      <c r="G126" s="329"/>
      <c r="H126" s="329"/>
      <c r="I126" s="329" t="s">
        <v>969</v>
      </c>
      <c r="J126" s="329"/>
      <c r="K126" s="329"/>
      <c r="L126" s="329"/>
      <c r="M126" s="329"/>
      <c r="N126" s="329"/>
      <c r="O126" s="343"/>
    </row>
    <row r="127" spans="1:17" s="254" customFormat="1">
      <c r="A127" s="337" t="s">
        <v>970</v>
      </c>
      <c r="B127" s="329" t="s">
        <v>238</v>
      </c>
      <c r="C127" s="329" t="s">
        <v>971</v>
      </c>
      <c r="D127" s="329"/>
      <c r="E127" s="329">
        <v>22</v>
      </c>
      <c r="F127" s="329"/>
      <c r="G127" s="329">
        <v>13</v>
      </c>
      <c r="H127" s="329"/>
      <c r="I127" s="329"/>
      <c r="J127" s="329"/>
      <c r="K127" s="329"/>
      <c r="L127" s="329"/>
      <c r="M127" s="329"/>
      <c r="N127" s="329"/>
      <c r="O127" s="343"/>
    </row>
    <row r="128" spans="1:17" s="254" customFormat="1">
      <c r="A128" s="337" t="s">
        <v>972</v>
      </c>
      <c r="B128" s="329" t="s">
        <v>238</v>
      </c>
      <c r="C128" s="329" t="s">
        <v>973</v>
      </c>
      <c r="D128" s="329"/>
      <c r="E128" s="329" t="s">
        <v>974</v>
      </c>
      <c r="F128" s="329">
        <f>G128*365</f>
        <v>13742.25</v>
      </c>
      <c r="G128" s="329">
        <v>37.65</v>
      </c>
      <c r="H128" s="329"/>
      <c r="I128" s="338">
        <f>13100000+L128</f>
        <v>17890000</v>
      </c>
      <c r="J128" s="344">
        <f>I128/1000000/G128</f>
        <v>0.47516600265604253</v>
      </c>
      <c r="K128" s="344">
        <f>I128/F128/1000</f>
        <v>1.3018246648110754</v>
      </c>
      <c r="L128" s="345">
        <v>4790000</v>
      </c>
      <c r="M128" s="329" t="s">
        <v>975</v>
      </c>
      <c r="N128" s="342">
        <f>G128/70</f>
        <v>0.53785714285714281</v>
      </c>
      <c r="O128" s="343" t="s">
        <v>976</v>
      </c>
    </row>
    <row r="129" spans="1:31" s="254" customFormat="1">
      <c r="A129" s="337" t="s">
        <v>977</v>
      </c>
      <c r="B129" s="329" t="s">
        <v>238</v>
      </c>
      <c r="C129" s="329" t="s">
        <v>978</v>
      </c>
      <c r="D129" s="329"/>
      <c r="E129" s="329"/>
      <c r="F129" s="329"/>
      <c r="G129" s="329"/>
      <c r="H129" s="329"/>
      <c r="I129" s="329"/>
      <c r="J129" s="329"/>
      <c r="K129" s="329"/>
      <c r="L129" s="329"/>
      <c r="M129" s="329"/>
      <c r="N129" s="329"/>
      <c r="O129" s="343"/>
    </row>
    <row r="130" spans="1:31" s="254" customFormat="1">
      <c r="A130" s="337" t="s">
        <v>979</v>
      </c>
      <c r="B130" s="329" t="s">
        <v>238</v>
      </c>
      <c r="C130" s="329" t="s">
        <v>980</v>
      </c>
      <c r="D130" s="329" t="s">
        <v>954</v>
      </c>
      <c r="E130" s="329">
        <v>215</v>
      </c>
      <c r="F130" s="338">
        <f>G130*365</f>
        <v>48545</v>
      </c>
      <c r="G130" s="329">
        <v>133</v>
      </c>
      <c r="H130" s="329"/>
      <c r="I130" s="338">
        <v>51897786</v>
      </c>
      <c r="J130" s="344">
        <f>I130/1000000/G130</f>
        <v>0.39020891729323309</v>
      </c>
      <c r="K130" s="344">
        <f>I130/F130/1000</f>
        <v>1.0690655268307756</v>
      </c>
      <c r="L130" s="344">
        <v>0</v>
      </c>
      <c r="M130" s="329" t="s">
        <v>981</v>
      </c>
      <c r="N130" s="342">
        <f>G130/E130</f>
        <v>0.61860465116279073</v>
      </c>
      <c r="O130" s="343"/>
    </row>
    <row r="131" spans="1:31" s="254" customFormat="1" ht="15.75" thickBot="1">
      <c r="A131" s="351" t="s">
        <v>982</v>
      </c>
      <c r="B131" s="352" t="s">
        <v>238</v>
      </c>
      <c r="C131" s="352" t="s">
        <v>983</v>
      </c>
      <c r="D131" s="352" t="s">
        <v>954</v>
      </c>
      <c r="E131" s="352">
        <v>15</v>
      </c>
      <c r="F131" s="353">
        <f>I131/K131/1000</f>
        <v>4485.5714285714294</v>
      </c>
      <c r="G131" s="353">
        <f>F131/365</f>
        <v>12.289236790606656</v>
      </c>
      <c r="H131" s="352"/>
      <c r="I131" s="353">
        <f>3100800+L131</f>
        <v>6279800</v>
      </c>
      <c r="J131" s="352"/>
      <c r="K131" s="352">
        <v>1.4</v>
      </c>
      <c r="L131" s="353">
        <v>3179000</v>
      </c>
      <c r="M131" s="352" t="s">
        <v>238</v>
      </c>
      <c r="N131" s="354">
        <f>G131/E131</f>
        <v>0.81928245270711042</v>
      </c>
      <c r="O131" s="355"/>
      <c r="P131" s="356">
        <v>540740</v>
      </c>
      <c r="Q131" s="357">
        <f>P131/I131</f>
        <v>8.6107837829230233E-2</v>
      </c>
    </row>
    <row r="132" spans="1:31" s="254" customFormat="1"/>
    <row r="133" spans="1:31" s="254" customFormat="1"/>
    <row r="134" spans="1:31" s="254" customFormat="1" ht="15.75">
      <c r="A134" s="358" t="s">
        <v>984</v>
      </c>
      <c r="Z134" s="720" t="s">
        <v>985</v>
      </c>
      <c r="AA134" s="720"/>
      <c r="AB134" s="720"/>
    </row>
    <row r="135" spans="1:31" s="362" customFormat="1" ht="60.75" thickBot="1">
      <c r="A135" s="359" t="s">
        <v>986</v>
      </c>
      <c r="B135" s="360" t="s">
        <v>987</v>
      </c>
      <c r="C135" s="360" t="s">
        <v>988</v>
      </c>
      <c r="D135" s="360" t="s">
        <v>989</v>
      </c>
      <c r="E135" s="360" t="s">
        <v>990</v>
      </c>
      <c r="F135" s="360" t="s">
        <v>893</v>
      </c>
      <c r="G135" s="360" t="s">
        <v>991</v>
      </c>
      <c r="H135" s="360" t="s">
        <v>992</v>
      </c>
      <c r="I135" s="360" t="s">
        <v>993</v>
      </c>
      <c r="J135" s="360" t="s">
        <v>994</v>
      </c>
      <c r="K135" s="360" t="s">
        <v>995</v>
      </c>
      <c r="L135" s="360" t="s">
        <v>996</v>
      </c>
      <c r="M135" s="360" t="s">
        <v>997</v>
      </c>
      <c r="N135" s="360" t="s">
        <v>998</v>
      </c>
      <c r="O135" s="360" t="s">
        <v>999</v>
      </c>
      <c r="P135" s="360" t="s">
        <v>1000</v>
      </c>
      <c r="Q135" s="360" t="s">
        <v>1001</v>
      </c>
      <c r="R135" s="360" t="s">
        <v>1002</v>
      </c>
      <c r="S135" s="360"/>
      <c r="T135" s="361"/>
      <c r="Z135" s="363" t="s">
        <v>1003</v>
      </c>
      <c r="AA135" s="363" t="s">
        <v>995</v>
      </c>
      <c r="AB135" s="363" t="s">
        <v>1004</v>
      </c>
      <c r="AC135" s="362" t="s">
        <v>1005</v>
      </c>
    </row>
    <row r="136" spans="1:31" s="254" customFormat="1">
      <c r="A136" s="364" t="s">
        <v>1006</v>
      </c>
      <c r="B136" s="365">
        <v>0.4</v>
      </c>
      <c r="C136" s="366">
        <v>110</v>
      </c>
      <c r="D136" s="366">
        <v>580400</v>
      </c>
      <c r="E136" s="367">
        <f t="shared" ref="E136:E146" si="38">C136/365</f>
        <v>0.30136986301369861</v>
      </c>
      <c r="F136" s="367">
        <f t="shared" ref="F136:F147" si="39">D136/1000000/E136</f>
        <v>1.9258727272727274</v>
      </c>
      <c r="G136" s="709">
        <f>SUM(D136:D138)/1000000/SUM(E136:E138)</f>
        <v>1.8709339897698209</v>
      </c>
      <c r="H136" s="368">
        <v>38700</v>
      </c>
      <c r="I136" s="368">
        <v>31885</v>
      </c>
      <c r="J136" s="368">
        <v>9000</v>
      </c>
      <c r="K136" s="366">
        <v>152900</v>
      </c>
      <c r="L136" s="369">
        <v>2980</v>
      </c>
      <c r="M136" s="370">
        <f t="shared" ref="M136:M146" si="40">(D136-K136)/1000000/E136</f>
        <v>1.4185227272727272</v>
      </c>
      <c r="N136" s="709">
        <f>(SUM(D136:D138)-SUM(K136:K138))/SUM(E136:E138)/1000000</f>
        <v>1.2847869309462916</v>
      </c>
      <c r="O136" s="712">
        <f>(G136-N136)/G136</f>
        <v>0.3132911487142539</v>
      </c>
      <c r="P136" s="371">
        <f>H136/K136</f>
        <v>0.25310660562459125</v>
      </c>
      <c r="Q136" s="715">
        <f>SUM(H136:H138)/SUM(K136:K138)</f>
        <v>1.0984233158146202</v>
      </c>
      <c r="R136" s="715">
        <f>SUM(L136:L138)/SUM(K136:K138)</f>
        <v>9.7117375378244941E-2</v>
      </c>
      <c r="S136" s="372"/>
      <c r="T136" s="373"/>
      <c r="Z136" s="374">
        <f>38700/2+31885</f>
        <v>51235</v>
      </c>
      <c r="AA136" s="375">
        <v>152900</v>
      </c>
      <c r="AB136" s="376">
        <v>2980</v>
      </c>
      <c r="AC136" s="377">
        <f>Z136/AA136</f>
        <v>0.33508829300196208</v>
      </c>
      <c r="AD136" s="706">
        <f>SUM(Z136:Z138)/SUM(AA136:AA138)</f>
        <v>0.25800179815688917</v>
      </c>
      <c r="AE136" s="378">
        <f t="shared" ref="AE136:AE146" si="41">AA136/D136</f>
        <v>0.26343900758097866</v>
      </c>
    </row>
    <row r="137" spans="1:31" s="254" customFormat="1">
      <c r="A137" s="379" t="s">
        <v>1007</v>
      </c>
      <c r="B137" s="310">
        <v>0.5</v>
      </c>
      <c r="C137" s="380">
        <v>176</v>
      </c>
      <c r="D137" s="380">
        <v>376830</v>
      </c>
      <c r="E137" s="381">
        <f t="shared" si="38"/>
        <v>0.48219178082191783</v>
      </c>
      <c r="F137" s="381">
        <f t="shared" si="39"/>
        <v>0.78149403409090901</v>
      </c>
      <c r="G137" s="710"/>
      <c r="H137" s="373">
        <v>200000</v>
      </c>
      <c r="I137" s="373">
        <v>28100</v>
      </c>
      <c r="J137" s="373">
        <v>9000</v>
      </c>
      <c r="K137" s="380">
        <f>30000+17000</f>
        <v>47000</v>
      </c>
      <c r="L137" s="382">
        <v>58000</v>
      </c>
      <c r="M137" s="383">
        <f t="shared" si="40"/>
        <v>0.68402244318181815</v>
      </c>
      <c r="N137" s="710"/>
      <c r="O137" s="713"/>
      <c r="P137" s="371">
        <f>H137/K137</f>
        <v>4.2553191489361701</v>
      </c>
      <c r="Q137" s="716"/>
      <c r="R137" s="716"/>
      <c r="S137" s="372"/>
      <c r="T137" s="373"/>
      <c r="Z137" s="384">
        <f>28100/2</f>
        <v>14050</v>
      </c>
      <c r="AA137" s="385">
        <v>17000</v>
      </c>
      <c r="AB137" s="386">
        <v>0</v>
      </c>
      <c r="AC137" s="387">
        <f t="shared" ref="AC137:AC146" si="42">Z137/AA137</f>
        <v>0.82647058823529407</v>
      </c>
      <c r="AD137" s="707"/>
      <c r="AE137" s="378">
        <f t="shared" si="41"/>
        <v>4.5113181010004513E-2</v>
      </c>
    </row>
    <row r="138" spans="1:31" s="254" customFormat="1" ht="15.75" thickBot="1">
      <c r="A138" s="388" t="s">
        <v>1008</v>
      </c>
      <c r="B138" s="389">
        <v>0.5</v>
      </c>
      <c r="C138" s="390">
        <v>105</v>
      </c>
      <c r="D138" s="390">
        <v>1046976</v>
      </c>
      <c r="E138" s="391">
        <f t="shared" si="38"/>
        <v>0.28767123287671231</v>
      </c>
      <c r="F138" s="391">
        <f t="shared" si="39"/>
        <v>3.6394880000000001</v>
      </c>
      <c r="G138" s="711"/>
      <c r="H138" s="392">
        <v>451000</v>
      </c>
      <c r="I138" s="392">
        <v>33500</v>
      </c>
      <c r="J138" s="392">
        <v>19640</v>
      </c>
      <c r="K138" s="390">
        <f>153000+170000+105000</f>
        <v>428000</v>
      </c>
      <c r="L138" s="393">
        <v>0</v>
      </c>
      <c r="M138" s="394">
        <f t="shared" si="40"/>
        <v>2.1516784761904764</v>
      </c>
      <c r="N138" s="711"/>
      <c r="O138" s="714"/>
      <c r="P138" s="371">
        <f>H138/K138</f>
        <v>1.0537383177570094</v>
      </c>
      <c r="Q138" s="717"/>
      <c r="R138" s="717"/>
      <c r="S138" s="372"/>
      <c r="T138" s="373"/>
      <c r="V138" s="395" t="s">
        <v>1009</v>
      </c>
      <c r="Z138" s="396">
        <f>30000/2+33500+1000</f>
        <v>49500</v>
      </c>
      <c r="AA138" s="397">
        <f>170000+105000</f>
        <v>275000</v>
      </c>
      <c r="AB138" s="398">
        <v>0</v>
      </c>
      <c r="AC138" s="399">
        <f t="shared" si="42"/>
        <v>0.18</v>
      </c>
      <c r="AD138" s="708"/>
      <c r="AE138" s="378">
        <f t="shared" si="41"/>
        <v>0.26266122623632249</v>
      </c>
    </row>
    <row r="139" spans="1:31" s="254" customFormat="1">
      <c r="A139" s="364" t="s">
        <v>1010</v>
      </c>
      <c r="B139" s="365">
        <v>2</v>
      </c>
      <c r="C139" s="366">
        <v>776</v>
      </c>
      <c r="D139" s="366">
        <v>1570569</v>
      </c>
      <c r="E139" s="400">
        <f t="shared" si="38"/>
        <v>2.1260273972602741</v>
      </c>
      <c r="F139" s="367">
        <f t="shared" si="39"/>
        <v>0.73873413015463918</v>
      </c>
      <c r="G139" s="709">
        <f>SUM(D139:D143)/1000000/SUM(E139:E143)</f>
        <v>0.59009643353331231</v>
      </c>
      <c r="H139" s="368">
        <f>62000+278000+87400+6600+28100</f>
        <v>462100</v>
      </c>
      <c r="I139" s="368">
        <v>87500</v>
      </c>
      <c r="J139" s="368">
        <v>20570</v>
      </c>
      <c r="K139" s="366">
        <f>217248+67890+72240+41400+63530</f>
        <v>462308</v>
      </c>
      <c r="L139" s="369">
        <v>0</v>
      </c>
      <c r="M139" s="370">
        <f t="shared" si="40"/>
        <v>0.5212825579896907</v>
      </c>
      <c r="N139" s="709">
        <f>(SUM(D139:D143)-SUM(K139:K143))/1000000/SUM(E139:E143)</f>
        <v>0.44673781417745495</v>
      </c>
      <c r="O139" s="712">
        <f>(G139-N139)/G139</f>
        <v>0.24294100287553158</v>
      </c>
      <c r="P139" s="371">
        <f>H139/K139</f>
        <v>0.99955008349412078</v>
      </c>
      <c r="Q139" s="700">
        <f>SUM(H139,H142:H143)/SUM(K139,K142:K143)</f>
        <v>0.4892369149699442</v>
      </c>
      <c r="R139" s="700">
        <f>SUM(L139,L142:L143)/SUM(K139,K142:K143)</f>
        <v>9.6944978084906139E-2</v>
      </c>
      <c r="S139" s="401"/>
      <c r="T139" s="373"/>
      <c r="V139" s="402" t="s">
        <v>1011</v>
      </c>
      <c r="W139" s="266">
        <f>H147/K147</f>
        <v>0.52239843725026502</v>
      </c>
      <c r="X139" s="254" t="s">
        <v>1012</v>
      </c>
      <c r="Z139" s="374">
        <f>87500/2+62000+6600+87400+28100</f>
        <v>227850</v>
      </c>
      <c r="AA139" s="375">
        <f>217248+72240+41400+63530</f>
        <v>394418</v>
      </c>
      <c r="AB139" s="376">
        <v>0</v>
      </c>
      <c r="AC139" s="377">
        <f t="shared" si="42"/>
        <v>0.57768661673655863</v>
      </c>
      <c r="AD139" s="703">
        <f>SUM(Z139:Z143)/SUM(AA139:AA143)</f>
        <v>0.42080407218857002</v>
      </c>
      <c r="AE139" s="378">
        <f t="shared" si="41"/>
        <v>0.25113064118800255</v>
      </c>
    </row>
    <row r="140" spans="1:31" s="254" customFormat="1">
      <c r="A140" s="379" t="s">
        <v>1013</v>
      </c>
      <c r="B140" s="310">
        <v>2.1</v>
      </c>
      <c r="C140" s="380">
        <v>998</v>
      </c>
      <c r="D140" s="380">
        <v>2168600</v>
      </c>
      <c r="E140" s="403">
        <f t="shared" si="38"/>
        <v>2.7342465753424658</v>
      </c>
      <c r="F140" s="381">
        <f t="shared" si="39"/>
        <v>0.79312525050100202</v>
      </c>
      <c r="G140" s="710"/>
      <c r="H140" s="373">
        <f>33000+250000+34000+12190</f>
        <v>329190</v>
      </c>
      <c r="I140" s="373">
        <v>57500</v>
      </c>
      <c r="J140" s="373">
        <v>20570</v>
      </c>
      <c r="K140" s="380">
        <f>67890+65700+744600+36000</f>
        <v>914190</v>
      </c>
      <c r="L140" s="382">
        <f>-55000</f>
        <v>-55000</v>
      </c>
      <c r="M140" s="383">
        <f t="shared" si="40"/>
        <v>0.45877720440881764</v>
      </c>
      <c r="N140" s="710"/>
      <c r="O140" s="713"/>
      <c r="P140" s="371">
        <f>H140/K140</f>
        <v>0.36008925934433761</v>
      </c>
      <c r="Q140" s="701"/>
      <c r="R140" s="701"/>
      <c r="S140" s="401"/>
      <c r="T140" s="373"/>
      <c r="V140" s="402" t="s">
        <v>1014</v>
      </c>
      <c r="W140" s="404">
        <f>SUM(I147:J147)/H147</f>
        <v>0.22064046556781097</v>
      </c>
      <c r="Z140" s="384">
        <f>57500/2+33000+12190</f>
        <v>73940</v>
      </c>
      <c r="AA140" s="385">
        <f>67890+36000</f>
        <v>103890</v>
      </c>
      <c r="AB140" s="386">
        <v>0</v>
      </c>
      <c r="AC140" s="387">
        <f t="shared" si="42"/>
        <v>0.7117143132159014</v>
      </c>
      <c r="AD140" s="704"/>
      <c r="AE140" s="378">
        <f t="shared" si="41"/>
        <v>4.7906483445540902E-2</v>
      </c>
    </row>
    <row r="141" spans="1:31" s="254" customFormat="1">
      <c r="A141" s="379" t="s">
        <v>1015</v>
      </c>
      <c r="B141" s="310">
        <v>3.5</v>
      </c>
      <c r="C141" s="380">
        <v>803</v>
      </c>
      <c r="D141" s="380">
        <v>894120</v>
      </c>
      <c r="E141" s="403">
        <f t="shared" si="38"/>
        <v>2.2000000000000002</v>
      </c>
      <c r="F141" s="381">
        <f t="shared" si="39"/>
        <v>0.40641818181818179</v>
      </c>
      <c r="G141" s="710"/>
      <c r="H141" s="373">
        <v>0</v>
      </c>
      <c r="I141" s="373">
        <v>25500</v>
      </c>
      <c r="J141" s="373">
        <v>4500</v>
      </c>
      <c r="K141" s="380">
        <v>0</v>
      </c>
      <c r="L141" s="382">
        <v>0</v>
      </c>
      <c r="M141" s="383">
        <f t="shared" si="40"/>
        <v>0.40641818181818179</v>
      </c>
      <c r="N141" s="710"/>
      <c r="O141" s="713"/>
      <c r="P141" s="371">
        <v>0</v>
      </c>
      <c r="Q141" s="701"/>
      <c r="R141" s="701"/>
      <c r="S141" s="401"/>
      <c r="T141" s="373"/>
      <c r="V141" s="402" t="s">
        <v>1016</v>
      </c>
      <c r="W141" s="405">
        <f>L147/K147</f>
        <v>2.1382199430248616E-2</v>
      </c>
      <c r="X141" s="254" t="s">
        <v>1012</v>
      </c>
      <c r="Z141" s="384">
        <f>25500/2</f>
        <v>12750</v>
      </c>
      <c r="AA141" s="385">
        <v>0</v>
      </c>
      <c r="AB141" s="386">
        <v>0</v>
      </c>
      <c r="AC141" s="387" t="e">
        <f t="shared" si="42"/>
        <v>#DIV/0!</v>
      </c>
      <c r="AD141" s="704"/>
      <c r="AE141" s="378">
        <f t="shared" si="41"/>
        <v>0</v>
      </c>
    </row>
    <row r="142" spans="1:31" s="254" customFormat="1">
      <c r="A142" s="379" t="s">
        <v>1017</v>
      </c>
      <c r="B142" s="310">
        <v>4.9000000000000004</v>
      </c>
      <c r="C142" s="380">
        <v>1755</v>
      </c>
      <c r="D142" s="380">
        <v>1677573</v>
      </c>
      <c r="E142" s="403">
        <f t="shared" si="38"/>
        <v>4.8082191780821919</v>
      </c>
      <c r="F142" s="381">
        <f t="shared" si="39"/>
        <v>0.34889694871794869</v>
      </c>
      <c r="G142" s="710"/>
      <c r="H142" s="373">
        <f>83000+31100+4250</f>
        <v>118350</v>
      </c>
      <c r="I142" s="373">
        <v>59550</v>
      </c>
      <c r="J142" s="373">
        <v>5057</v>
      </c>
      <c r="K142" s="380">
        <f>236700+102650+17550</f>
        <v>356900</v>
      </c>
      <c r="L142" s="382">
        <v>0</v>
      </c>
      <c r="M142" s="383">
        <f t="shared" si="40"/>
        <v>0.2746698831908832</v>
      </c>
      <c r="N142" s="710"/>
      <c r="O142" s="713"/>
      <c r="P142" s="371">
        <f>H142/K142</f>
        <v>0.33160549173437937</v>
      </c>
      <c r="Q142" s="701"/>
      <c r="R142" s="701"/>
      <c r="S142" s="401"/>
      <c r="T142" s="373"/>
      <c r="Z142" s="384">
        <f>59550/2+83000+31100+4250</f>
        <v>148125</v>
      </c>
      <c r="AA142" s="385">
        <f>236700+102650+17550</f>
        <v>356900</v>
      </c>
      <c r="AB142" s="386">
        <v>0</v>
      </c>
      <c r="AC142" s="387">
        <f t="shared" si="42"/>
        <v>0.41503222191089939</v>
      </c>
      <c r="AD142" s="704"/>
      <c r="AE142" s="378">
        <f t="shared" si="41"/>
        <v>0.21274782081018234</v>
      </c>
    </row>
    <row r="143" spans="1:31" s="254" customFormat="1" ht="15.75" thickBot="1">
      <c r="A143" s="388" t="s">
        <v>1018</v>
      </c>
      <c r="B143" s="389">
        <v>7.5</v>
      </c>
      <c r="C143" s="390">
        <v>2002</v>
      </c>
      <c r="D143" s="390">
        <v>3929332</v>
      </c>
      <c r="E143" s="406">
        <f t="shared" si="38"/>
        <v>5.484931506849315</v>
      </c>
      <c r="F143" s="391">
        <f t="shared" si="39"/>
        <v>0.71638670329670329</v>
      </c>
      <c r="G143" s="711"/>
      <c r="H143" s="392">
        <f>24000+32000+101700+10500+20700+500</f>
        <v>189400</v>
      </c>
      <c r="I143" s="392">
        <v>64050</v>
      </c>
      <c r="J143" s="392">
        <v>20750</v>
      </c>
      <c r="K143" s="390">
        <f>48900+90225+40790+491510+10040+72900</f>
        <v>754365</v>
      </c>
      <c r="L143" s="393">
        <f>34700+113750+4100</f>
        <v>152550</v>
      </c>
      <c r="M143" s="394">
        <f t="shared" si="40"/>
        <v>0.5788526248751249</v>
      </c>
      <c r="N143" s="711"/>
      <c r="O143" s="714"/>
      <c r="P143" s="371">
        <f>H143/K143</f>
        <v>0.2510720937477216</v>
      </c>
      <c r="Q143" s="702"/>
      <c r="R143" s="702"/>
      <c r="S143" s="401"/>
      <c r="T143" s="373"/>
      <c r="V143" s="395" t="s">
        <v>1019</v>
      </c>
      <c r="Z143" s="396">
        <f>64050/2+24000+32000+101700+20700</f>
        <v>210425</v>
      </c>
      <c r="AA143" s="397">
        <f>48900+90225+40790+491510+72900</f>
        <v>744325</v>
      </c>
      <c r="AB143" s="398">
        <f>34700+113750</f>
        <v>148450</v>
      </c>
      <c r="AC143" s="399">
        <f t="shared" si="42"/>
        <v>0.28270580727504785</v>
      </c>
      <c r="AD143" s="705"/>
      <c r="AE143" s="378">
        <f t="shared" si="41"/>
        <v>0.18942787221848395</v>
      </c>
    </row>
    <row r="144" spans="1:31" s="254" customFormat="1">
      <c r="A144" s="364" t="s">
        <v>1020</v>
      </c>
      <c r="B144" s="365">
        <v>10</v>
      </c>
      <c r="C144" s="366">
        <v>3535</v>
      </c>
      <c r="D144" s="366">
        <v>1582800</v>
      </c>
      <c r="E144" s="400">
        <f t="shared" si="38"/>
        <v>9.6849315068493151</v>
      </c>
      <c r="F144" s="367">
        <f t="shared" si="39"/>
        <v>0.16342913719943422</v>
      </c>
      <c r="G144" s="709">
        <f>SUM(D144:D146)/1000000/SUM(E144:E146)</f>
        <v>0.37038260861363442</v>
      </c>
      <c r="H144" s="368">
        <f>3000+525000+75000</f>
        <v>603000</v>
      </c>
      <c r="I144" s="368">
        <v>72100</v>
      </c>
      <c r="J144" s="368">
        <v>24430</v>
      </c>
      <c r="K144" s="366">
        <f>13000+65000+490000+260000</f>
        <v>828000</v>
      </c>
      <c r="L144" s="369">
        <v>0</v>
      </c>
      <c r="M144" s="370">
        <f t="shared" si="40"/>
        <v>7.7935502121640743E-2</v>
      </c>
      <c r="N144" s="709">
        <f>(SUM(D144:D146)-SUM(K144:K146))/1000000/SUM(E144:E146)</f>
        <v>0.32484952331891925</v>
      </c>
      <c r="O144" s="712">
        <f>(G144-N144)/G144</f>
        <v>0.1229352681140953</v>
      </c>
      <c r="P144" s="371">
        <f>H144/K144</f>
        <v>0.72826086956521741</v>
      </c>
      <c r="Q144" s="700">
        <f>SUM(H144:H146)/SUM(K144:K146)</f>
        <v>0.48491455520690258</v>
      </c>
      <c r="R144" s="700">
        <f>SUM(L144:L146)/SUM(K144:K146)</f>
        <v>0</v>
      </c>
      <c r="S144" s="401"/>
      <c r="T144" s="373"/>
      <c r="V144" s="402" t="s">
        <v>1011</v>
      </c>
      <c r="W144" s="266">
        <f>H148/K148</f>
        <v>0.54522662660053867</v>
      </c>
      <c r="X144" s="254" t="s">
        <v>1012</v>
      </c>
      <c r="Z144" s="374">
        <f>72100/2+3000+75000</f>
        <v>114050</v>
      </c>
      <c r="AA144" s="375">
        <f>13000+490000+260000</f>
        <v>763000</v>
      </c>
      <c r="AB144" s="376">
        <v>0</v>
      </c>
      <c r="AC144" s="377">
        <f t="shared" si="42"/>
        <v>0.14947575360419396</v>
      </c>
      <c r="AD144" s="703">
        <f>SUM(Z144:Z146)/SUM(AA144:AA146)</f>
        <v>0.10473263486715104</v>
      </c>
      <c r="AE144" s="378">
        <f t="shared" si="41"/>
        <v>0.48205711397523376</v>
      </c>
    </row>
    <row r="145" spans="1:31" s="254" customFormat="1">
      <c r="A145" s="379" t="s">
        <v>1021</v>
      </c>
      <c r="B145" s="310">
        <v>21</v>
      </c>
      <c r="C145" s="380">
        <v>4222</v>
      </c>
      <c r="D145" s="380">
        <v>10938375</v>
      </c>
      <c r="E145" s="407">
        <f t="shared" si="38"/>
        <v>11.567123287671233</v>
      </c>
      <c r="F145" s="381">
        <f t="shared" si="39"/>
        <v>0.94564350426338228</v>
      </c>
      <c r="G145" s="710"/>
      <c r="H145" s="373">
        <f>46460</f>
        <v>46460</v>
      </c>
      <c r="I145" s="373">
        <v>87500</v>
      </c>
      <c r="J145" s="373">
        <v>29120</v>
      </c>
      <c r="K145" s="380">
        <v>95920</v>
      </c>
      <c r="L145" s="382">
        <v>0</v>
      </c>
      <c r="M145" s="383">
        <f t="shared" si="40"/>
        <v>0.93735103623874938</v>
      </c>
      <c r="N145" s="710"/>
      <c r="O145" s="713"/>
      <c r="P145" s="371">
        <f>H145/K145</f>
        <v>0.48436196830692241</v>
      </c>
      <c r="Q145" s="701"/>
      <c r="R145" s="701"/>
      <c r="S145" s="401"/>
      <c r="T145" s="373"/>
      <c r="V145" s="402" t="s">
        <v>1014</v>
      </c>
      <c r="W145" s="404">
        <f>SUM(I148:J148)/H148</f>
        <v>0.21910619002068324</v>
      </c>
      <c r="Z145" s="384">
        <f>87500/2+46460</f>
        <v>90210</v>
      </c>
      <c r="AA145" s="385">
        <v>95920</v>
      </c>
      <c r="AB145" s="386">
        <v>0</v>
      </c>
      <c r="AC145" s="387">
        <f t="shared" si="42"/>
        <v>0.94047122602168476</v>
      </c>
      <c r="AD145" s="704"/>
      <c r="AE145" s="378">
        <f t="shared" si="41"/>
        <v>8.7691270412652705E-3</v>
      </c>
    </row>
    <row r="146" spans="1:31" s="254" customFormat="1" ht="15.75" thickBot="1">
      <c r="A146" s="408" t="s">
        <v>1022</v>
      </c>
      <c r="B146" s="409">
        <v>80</v>
      </c>
      <c r="C146" s="410">
        <v>26700</v>
      </c>
      <c r="D146" s="410">
        <v>22443958</v>
      </c>
      <c r="E146" s="411">
        <f t="shared" si="38"/>
        <v>73.150684931506845</v>
      </c>
      <c r="F146" s="412">
        <f t="shared" si="39"/>
        <v>0.30681815243445693</v>
      </c>
      <c r="G146" s="711"/>
      <c r="H146" s="392">
        <f>22995+10400+22000+8800+8800+9100+6825+1250000+96000</f>
        <v>1434920</v>
      </c>
      <c r="I146" s="392">
        <v>115625</v>
      </c>
      <c r="J146" s="392">
        <v>29120</v>
      </c>
      <c r="K146" s="390">
        <f>30077+15768+31798+18658+13227+20000+20000+2300000+665000+260000</f>
        <v>3374528</v>
      </c>
      <c r="L146" s="393">
        <f>0</f>
        <v>0</v>
      </c>
      <c r="M146" s="394">
        <f t="shared" si="40"/>
        <v>0.2606869644194757</v>
      </c>
      <c r="N146" s="711"/>
      <c r="O146" s="714"/>
      <c r="P146" s="371">
        <f>H146/K146</f>
        <v>0.42522094941870386</v>
      </c>
      <c r="Q146" s="702"/>
      <c r="R146" s="702"/>
      <c r="S146" s="401"/>
      <c r="T146" s="373"/>
      <c r="V146" s="402" t="s">
        <v>1016</v>
      </c>
      <c r="W146" s="405">
        <f>L148/K148</f>
        <v>3.285116849881714E-2</v>
      </c>
      <c r="X146" s="254" t="s">
        <v>1012</v>
      </c>
      <c r="Z146" s="396">
        <f>115625/2+96000</f>
        <v>153812.5</v>
      </c>
      <c r="AA146" s="397">
        <f>2300000+260000</f>
        <v>2560000</v>
      </c>
      <c r="AB146" s="398">
        <v>0</v>
      </c>
      <c r="AC146" s="399">
        <f t="shared" si="42"/>
        <v>6.0083007812499999E-2</v>
      </c>
      <c r="AD146" s="705"/>
      <c r="AE146" s="378">
        <f t="shared" si="41"/>
        <v>0.11406187803416848</v>
      </c>
    </row>
    <row r="147" spans="1:31" s="254" customFormat="1">
      <c r="A147" s="310" t="s">
        <v>677</v>
      </c>
      <c r="B147" s="413">
        <f>SUM(B136:B146)</f>
        <v>132.4</v>
      </c>
      <c r="C147" s="263">
        <f>SUM(C136:C146)</f>
        <v>41182</v>
      </c>
      <c r="D147" s="263">
        <f>SUM(D136:D146)</f>
        <v>47209533</v>
      </c>
      <c r="E147" s="413">
        <f>SUM(E136:E146)</f>
        <v>112.82739726027397</v>
      </c>
      <c r="F147" s="414">
        <f t="shared" si="39"/>
        <v>0.41842260077218202</v>
      </c>
      <c r="H147" s="415">
        <f>SUM(H136:H146)</f>
        <v>3873120</v>
      </c>
      <c r="I147" s="415">
        <f>SUM(I136:I146)</f>
        <v>662810</v>
      </c>
      <c r="J147" s="415">
        <f>SUM(J136:J146)</f>
        <v>191757</v>
      </c>
      <c r="K147" s="380">
        <f>SUM(K136:K146)</f>
        <v>7414111</v>
      </c>
      <c r="L147" s="415">
        <f>SUM(L136:L146)</f>
        <v>158530</v>
      </c>
      <c r="M147" s="415"/>
      <c r="N147" s="415"/>
      <c r="O147" s="415"/>
      <c r="P147" s="415"/>
      <c r="AB147" s="416">
        <f>SUM(AB136:AB140,AB142:AB146)/SUM(AA136:AA140,AA142:AA146)</f>
        <v>2.7717410901327445E-2</v>
      </c>
    </row>
    <row r="148" spans="1:31" s="254" customFormat="1">
      <c r="A148" s="310"/>
      <c r="G148" s="402" t="s">
        <v>1023</v>
      </c>
      <c r="H148" s="415">
        <f>H147-H140</f>
        <v>3543930</v>
      </c>
      <c r="I148" s="415">
        <f>I147-I140</f>
        <v>605310</v>
      </c>
      <c r="J148" s="415">
        <f>J147-J140</f>
        <v>171187</v>
      </c>
      <c r="K148" s="380">
        <f>K147-K140</f>
        <v>6499921</v>
      </c>
      <c r="L148" s="415">
        <f>L147-L140</f>
        <v>213530</v>
      </c>
      <c r="M148" s="415"/>
      <c r="N148" s="415"/>
      <c r="O148" s="415"/>
      <c r="P148" s="415"/>
      <c r="AB148" s="417">
        <v>1.107352410306802</v>
      </c>
      <c r="AC148" s="254" t="s">
        <v>1024</v>
      </c>
    </row>
    <row r="149" spans="1:31" s="254" customFormat="1">
      <c r="A149" s="254" t="s">
        <v>1025</v>
      </c>
      <c r="AB149" s="418">
        <f>AB147*AB148</f>
        <v>3.0692941769048975E-2</v>
      </c>
    </row>
    <row r="150" spans="1:31" s="254" customFormat="1">
      <c r="A150" s="329"/>
      <c r="B150" s="329" t="s">
        <v>1026</v>
      </c>
      <c r="C150" s="329" t="s">
        <v>1027</v>
      </c>
    </row>
    <row r="151" spans="1:31" s="254" customFormat="1">
      <c r="A151" s="329" t="s">
        <v>1028</v>
      </c>
      <c r="B151" s="329">
        <v>16200</v>
      </c>
      <c r="C151" s="329"/>
    </row>
    <row r="152" spans="1:31" s="254" customFormat="1">
      <c r="A152" s="329" t="s">
        <v>1029</v>
      </c>
      <c r="B152" s="329">
        <v>3200</v>
      </c>
      <c r="C152" s="419">
        <v>0.92</v>
      </c>
    </row>
    <row r="153" spans="1:31" s="254" customFormat="1">
      <c r="A153" s="329" t="s">
        <v>1030</v>
      </c>
      <c r="B153" s="329">
        <v>2000</v>
      </c>
      <c r="C153" s="419">
        <v>0.86</v>
      </c>
    </row>
    <row r="154" spans="1:31" s="254" customFormat="1">
      <c r="A154" s="329" t="s">
        <v>1031</v>
      </c>
      <c r="B154" s="329">
        <v>60000</v>
      </c>
      <c r="C154" s="329"/>
    </row>
    <row r="155" spans="1:31" s="254" customFormat="1"/>
    <row r="156" spans="1:31" s="254" customFormat="1"/>
    <row r="157" spans="1:31" s="300" customFormat="1" ht="26.25">
      <c r="A157" s="300" t="s">
        <v>1032</v>
      </c>
    </row>
    <row r="158" spans="1:31" s="254" customFormat="1"/>
    <row r="159" spans="1:31" s="254" customFormat="1">
      <c r="A159" s="329" t="s">
        <v>1033</v>
      </c>
      <c r="B159" s="329" t="s">
        <v>995</v>
      </c>
      <c r="C159" s="329" t="s">
        <v>1034</v>
      </c>
      <c r="D159" s="329" t="s">
        <v>1035</v>
      </c>
    </row>
    <row r="160" spans="1:31" s="254" customFormat="1">
      <c r="A160" s="329" t="s">
        <v>1036</v>
      </c>
      <c r="B160" s="339">
        <v>9377714</v>
      </c>
      <c r="C160" s="329">
        <v>13</v>
      </c>
      <c r="D160" s="338">
        <f>B160/C160</f>
        <v>721362.61538461538</v>
      </c>
    </row>
    <row r="161" spans="1:5" s="254" customFormat="1"/>
    <row r="162" spans="1:5" s="254" customFormat="1">
      <c r="A162" s="329" t="s">
        <v>1037</v>
      </c>
      <c r="B162" s="329"/>
      <c r="C162" s="329"/>
    </row>
    <row r="163" spans="1:5" s="254" customFormat="1">
      <c r="A163" s="329" t="s">
        <v>1038</v>
      </c>
      <c r="B163" s="329">
        <v>42</v>
      </c>
      <c r="C163" s="329"/>
    </row>
    <row r="164" spans="1:5" s="254" customFormat="1">
      <c r="A164" s="329" t="s">
        <v>1039</v>
      </c>
      <c r="B164" s="329">
        <v>23</v>
      </c>
      <c r="C164" s="329"/>
    </row>
    <row r="165" spans="1:5" s="254" customFormat="1">
      <c r="A165" s="329" t="s">
        <v>1040</v>
      </c>
      <c r="B165" s="339">
        <v>13754000</v>
      </c>
      <c r="C165" s="329" t="s">
        <v>1041</v>
      </c>
    </row>
    <row r="166" spans="1:5" s="254" customFormat="1">
      <c r="A166" s="329" t="s">
        <v>1042</v>
      </c>
      <c r="B166" s="339">
        <v>59000</v>
      </c>
      <c r="C166" s="329" t="s">
        <v>1041</v>
      </c>
    </row>
    <row r="167" spans="1:5" s="254" customFormat="1">
      <c r="A167" s="329" t="s">
        <v>1043</v>
      </c>
      <c r="B167" s="339">
        <f>B165/B164</f>
        <v>598000</v>
      </c>
      <c r="C167" s="329" t="s">
        <v>1041</v>
      </c>
    </row>
    <row r="168" spans="1:5" s="254" customFormat="1">
      <c r="A168" s="329" t="s">
        <v>1044</v>
      </c>
      <c r="B168" s="339">
        <v>1481000</v>
      </c>
      <c r="C168" s="329" t="s">
        <v>1041</v>
      </c>
    </row>
    <row r="169" spans="1:5" s="254" customFormat="1">
      <c r="A169" s="329" t="s">
        <v>1045</v>
      </c>
      <c r="B169" s="339">
        <v>13571190</v>
      </c>
      <c r="C169" s="329" t="s">
        <v>1041</v>
      </c>
      <c r="D169" s="414">
        <f>B169/8760000</f>
        <v>1.549222602739726</v>
      </c>
      <c r="E169" s="254" t="s">
        <v>1046</v>
      </c>
    </row>
    <row r="170" spans="1:5" s="254" customFormat="1">
      <c r="A170" s="329" t="s">
        <v>1047</v>
      </c>
      <c r="B170" s="339">
        <f>B169/B164</f>
        <v>590051.73913043481</v>
      </c>
      <c r="C170" s="329" t="s">
        <v>1041</v>
      </c>
    </row>
    <row r="171" spans="1:5" s="254" customFormat="1">
      <c r="A171" s="329" t="s">
        <v>1048</v>
      </c>
      <c r="B171" s="420">
        <v>71000</v>
      </c>
      <c r="C171" s="310"/>
    </row>
    <row r="172" spans="1:5" s="254" customFormat="1">
      <c r="A172" s="329" t="s">
        <v>1049</v>
      </c>
      <c r="B172" s="420">
        <v>433605</v>
      </c>
      <c r="C172" s="310"/>
    </row>
    <row r="173" spans="1:5" s="254" customFormat="1">
      <c r="A173" s="329" t="s">
        <v>1050</v>
      </c>
      <c r="B173" s="420">
        <v>882260</v>
      </c>
      <c r="C173" s="310"/>
    </row>
    <row r="174" spans="1:5" s="254" customFormat="1">
      <c r="A174" s="329" t="s">
        <v>1051</v>
      </c>
      <c r="B174" s="420">
        <v>9972904</v>
      </c>
    </row>
    <row r="175" spans="1:5" s="254" customFormat="1">
      <c r="A175" s="310"/>
      <c r="B175" s="421">
        <f>B174/B169</f>
        <v>0.73485847593320852</v>
      </c>
      <c r="C175" s="310" t="s">
        <v>1012</v>
      </c>
    </row>
    <row r="176" spans="1:5" s="254" customFormat="1">
      <c r="A176" s="310"/>
      <c r="B176" s="422"/>
      <c r="C176" s="310"/>
    </row>
    <row r="177" spans="1:256" s="254" customFormat="1"/>
    <row r="178" spans="1:256" s="254" customFormat="1" ht="26.25">
      <c r="A178" s="300" t="s">
        <v>1052</v>
      </c>
      <c r="B178" s="300"/>
      <c r="C178" s="300"/>
      <c r="D178" s="300"/>
      <c r="E178" s="300"/>
      <c r="F178" s="300"/>
      <c r="G178" s="300"/>
      <c r="H178" s="300"/>
      <c r="I178" s="300"/>
      <c r="J178" s="300"/>
      <c r="K178" s="300"/>
      <c r="L178" s="300"/>
      <c r="M178" s="300"/>
      <c r="N178" s="300"/>
      <c r="O178" s="300"/>
      <c r="P178" s="300"/>
      <c r="Q178" s="300"/>
      <c r="R178" s="300"/>
      <c r="S178" s="300"/>
      <c r="T178" s="300"/>
      <c r="U178" s="300"/>
      <c r="V178" s="300"/>
      <c r="W178" s="300"/>
      <c r="X178" s="300"/>
      <c r="Y178" s="300"/>
      <c r="Z178" s="300"/>
      <c r="AA178" s="300"/>
      <c r="AB178" s="300"/>
      <c r="AC178" s="300"/>
      <c r="AD178" s="300"/>
      <c r="AE178" s="300"/>
      <c r="AF178" s="300"/>
      <c r="AG178" s="300"/>
      <c r="AH178" s="300"/>
      <c r="AI178" s="300"/>
      <c r="AJ178" s="300"/>
      <c r="AK178" s="300"/>
      <c r="AL178" s="300"/>
      <c r="AM178" s="300"/>
      <c r="AN178" s="300"/>
      <c r="AO178" s="300"/>
      <c r="AP178" s="300"/>
      <c r="AQ178" s="300"/>
      <c r="AR178" s="300"/>
      <c r="AS178" s="300"/>
      <c r="AT178" s="300"/>
      <c r="AU178" s="300"/>
      <c r="AV178" s="300"/>
      <c r="AW178" s="300"/>
      <c r="AX178" s="300"/>
      <c r="AY178" s="300"/>
      <c r="AZ178" s="300"/>
      <c r="BA178" s="300"/>
      <c r="BB178" s="300"/>
      <c r="BC178" s="300"/>
      <c r="BD178" s="300"/>
      <c r="BE178" s="300"/>
      <c r="BF178" s="300"/>
      <c r="BG178" s="300"/>
      <c r="BH178" s="300"/>
      <c r="BI178" s="300"/>
      <c r="BJ178" s="300"/>
      <c r="BK178" s="300"/>
      <c r="BL178" s="300"/>
      <c r="BM178" s="300"/>
      <c r="BN178" s="300"/>
      <c r="BO178" s="300"/>
      <c r="BP178" s="300"/>
      <c r="BQ178" s="300"/>
      <c r="BR178" s="300"/>
      <c r="BS178" s="300"/>
      <c r="BT178" s="300"/>
      <c r="BU178" s="300"/>
      <c r="BV178" s="300"/>
      <c r="BW178" s="300"/>
      <c r="BX178" s="300"/>
      <c r="BY178" s="300"/>
      <c r="BZ178" s="300"/>
      <c r="CA178" s="300"/>
      <c r="CB178" s="300"/>
      <c r="CC178" s="300"/>
      <c r="CD178" s="300"/>
      <c r="CE178" s="300"/>
      <c r="CF178" s="300"/>
      <c r="CG178" s="300"/>
      <c r="CH178" s="300"/>
      <c r="CI178" s="300"/>
      <c r="CJ178" s="300"/>
      <c r="CK178" s="300"/>
      <c r="CL178" s="300"/>
      <c r="CM178" s="300"/>
      <c r="CN178" s="300"/>
      <c r="CO178" s="300"/>
      <c r="CP178" s="300"/>
      <c r="CQ178" s="300"/>
      <c r="CR178" s="300"/>
      <c r="CS178" s="300"/>
      <c r="CT178" s="300"/>
      <c r="CU178" s="300"/>
      <c r="CV178" s="300"/>
      <c r="CW178" s="300"/>
      <c r="CX178" s="300"/>
      <c r="CY178" s="300"/>
      <c r="CZ178" s="300"/>
      <c r="DA178" s="300"/>
      <c r="DB178" s="300"/>
      <c r="DC178" s="300"/>
      <c r="DD178" s="300"/>
      <c r="DE178" s="300"/>
      <c r="DF178" s="300"/>
      <c r="DG178" s="300"/>
      <c r="DH178" s="300"/>
      <c r="DI178" s="300"/>
      <c r="DJ178" s="300"/>
      <c r="DK178" s="300"/>
      <c r="DL178" s="300"/>
      <c r="DM178" s="300"/>
      <c r="DN178" s="300"/>
      <c r="DO178" s="300"/>
      <c r="DP178" s="300"/>
      <c r="DQ178" s="300"/>
      <c r="DR178" s="300"/>
      <c r="DS178" s="300"/>
      <c r="DT178" s="300"/>
      <c r="DU178" s="300"/>
      <c r="DV178" s="300"/>
      <c r="DW178" s="300"/>
      <c r="DX178" s="300"/>
      <c r="DY178" s="300"/>
      <c r="DZ178" s="300"/>
      <c r="EA178" s="300"/>
      <c r="EB178" s="300"/>
      <c r="EC178" s="300"/>
      <c r="ED178" s="300"/>
      <c r="EE178" s="300"/>
      <c r="EF178" s="300"/>
      <c r="EG178" s="300"/>
      <c r="EH178" s="300"/>
      <c r="EI178" s="300"/>
      <c r="EJ178" s="300"/>
      <c r="EK178" s="300"/>
      <c r="EL178" s="300"/>
      <c r="EM178" s="300"/>
      <c r="EN178" s="300"/>
      <c r="EO178" s="300"/>
      <c r="EP178" s="300"/>
      <c r="EQ178" s="300"/>
      <c r="ER178" s="300"/>
      <c r="ES178" s="300"/>
      <c r="ET178" s="300"/>
      <c r="EU178" s="300"/>
      <c r="EV178" s="300"/>
      <c r="EW178" s="300"/>
      <c r="EX178" s="300"/>
      <c r="EY178" s="300"/>
      <c r="EZ178" s="300"/>
      <c r="FA178" s="300"/>
      <c r="FB178" s="300"/>
      <c r="FC178" s="300"/>
      <c r="FD178" s="300"/>
      <c r="FE178" s="300"/>
      <c r="FF178" s="300"/>
      <c r="FG178" s="300"/>
      <c r="FH178" s="300"/>
      <c r="FI178" s="300"/>
      <c r="FJ178" s="300"/>
      <c r="FK178" s="300"/>
      <c r="FL178" s="300"/>
      <c r="FM178" s="300"/>
      <c r="FN178" s="300"/>
      <c r="FO178" s="300"/>
      <c r="FP178" s="300"/>
      <c r="FQ178" s="300"/>
      <c r="FR178" s="300"/>
      <c r="FS178" s="300"/>
      <c r="FT178" s="300"/>
      <c r="FU178" s="300"/>
      <c r="FV178" s="300"/>
      <c r="FW178" s="300"/>
      <c r="FX178" s="300"/>
      <c r="FY178" s="300"/>
      <c r="FZ178" s="300"/>
      <c r="GA178" s="300"/>
      <c r="GB178" s="300"/>
      <c r="GC178" s="300"/>
      <c r="GD178" s="300"/>
      <c r="GE178" s="300"/>
      <c r="GF178" s="300"/>
      <c r="GG178" s="300"/>
      <c r="GH178" s="300"/>
      <c r="GI178" s="300"/>
      <c r="GJ178" s="300"/>
      <c r="GK178" s="300"/>
      <c r="GL178" s="300"/>
      <c r="GM178" s="300"/>
      <c r="GN178" s="300"/>
      <c r="GO178" s="300"/>
      <c r="GP178" s="300"/>
      <c r="GQ178" s="300"/>
      <c r="GR178" s="300"/>
      <c r="GS178" s="300"/>
      <c r="GT178" s="300"/>
      <c r="GU178" s="300"/>
      <c r="GV178" s="300"/>
      <c r="GW178" s="300"/>
      <c r="GX178" s="300"/>
      <c r="GY178" s="300"/>
      <c r="GZ178" s="300"/>
      <c r="HA178" s="300"/>
      <c r="HB178" s="300"/>
      <c r="HC178" s="300"/>
      <c r="HD178" s="300"/>
      <c r="HE178" s="300"/>
      <c r="HF178" s="300"/>
      <c r="HG178" s="300"/>
      <c r="HH178" s="300"/>
      <c r="HI178" s="300"/>
      <c r="HJ178" s="300"/>
      <c r="HK178" s="300"/>
      <c r="HL178" s="300"/>
      <c r="HM178" s="300"/>
      <c r="HN178" s="300"/>
      <c r="HO178" s="300"/>
      <c r="HP178" s="300"/>
      <c r="HQ178" s="300"/>
      <c r="HR178" s="300"/>
      <c r="HS178" s="300"/>
      <c r="HT178" s="300"/>
      <c r="HU178" s="300"/>
      <c r="HV178" s="300"/>
      <c r="HW178" s="300"/>
      <c r="HX178" s="300"/>
      <c r="HY178" s="300"/>
      <c r="HZ178" s="300"/>
      <c r="IA178" s="300"/>
      <c r="IB178" s="300"/>
      <c r="IC178" s="300"/>
      <c r="ID178" s="300"/>
      <c r="IE178" s="300"/>
      <c r="IF178" s="300"/>
      <c r="IG178" s="300"/>
      <c r="IH178" s="300"/>
      <c r="II178" s="300"/>
      <c r="IJ178" s="300"/>
      <c r="IK178" s="300"/>
      <c r="IL178" s="300"/>
      <c r="IM178" s="300"/>
      <c r="IN178" s="300"/>
      <c r="IO178" s="300"/>
      <c r="IP178" s="300"/>
      <c r="IQ178" s="300"/>
      <c r="IR178" s="300"/>
      <c r="IS178" s="300"/>
      <c r="IT178" s="300"/>
      <c r="IU178" s="300"/>
      <c r="IV178" s="300"/>
    </row>
    <row r="179" spans="1:256" s="254" customFormat="1"/>
    <row r="180" spans="1:256" s="254" customFormat="1">
      <c r="A180" s="329" t="s">
        <v>1053</v>
      </c>
      <c r="B180" s="423" t="s">
        <v>1054</v>
      </c>
      <c r="C180" s="423" t="s">
        <v>1055</v>
      </c>
      <c r="D180" s="329" t="s">
        <v>1056</v>
      </c>
    </row>
    <row r="181" spans="1:256" s="254" customFormat="1">
      <c r="A181" s="329" t="s">
        <v>1057</v>
      </c>
      <c r="B181" s="329">
        <f>920000-375000</f>
        <v>545000</v>
      </c>
      <c r="C181" s="420">
        <v>341000</v>
      </c>
      <c r="D181" s="424">
        <f>C181/B181</f>
        <v>0.62568807339449539</v>
      </c>
    </row>
    <row r="182" spans="1:256" s="254" customFormat="1"/>
    <row r="183" spans="1:256" s="254" customFormat="1"/>
    <row r="184" spans="1:256" s="254" customFormat="1"/>
    <row r="185" spans="1:256" s="254" customFormat="1"/>
    <row r="186" spans="1:256" s="254" customFormat="1"/>
    <row r="187" spans="1:256" s="254" customFormat="1">
      <c r="A187" s="425" t="s">
        <v>1058</v>
      </c>
    </row>
    <row r="188" spans="1:256" s="254" customFormat="1"/>
    <row r="189" spans="1:256" s="254" customFormat="1" ht="15.75" thickBot="1">
      <c r="A189" s="426" t="s">
        <v>1059</v>
      </c>
      <c r="B189" s="427"/>
      <c r="C189" s="427"/>
      <c r="D189" s="427"/>
      <c r="E189" s="427"/>
    </row>
    <row r="190" spans="1:256" s="254" customFormat="1" ht="30.75" thickBot="1">
      <c r="A190" s="428"/>
      <c r="B190" s="429" t="s">
        <v>1060</v>
      </c>
      <c r="C190" s="429" t="s">
        <v>1061</v>
      </c>
      <c r="D190" s="429" t="s">
        <v>1062</v>
      </c>
      <c r="E190" s="429" t="s">
        <v>1063</v>
      </c>
      <c r="F190" s="362" t="s">
        <v>1064</v>
      </c>
      <c r="G190" s="254" t="s">
        <v>1065</v>
      </c>
    </row>
    <row r="191" spans="1:256" s="254" customFormat="1" ht="15.75" thickBot="1">
      <c r="A191" s="430" t="s">
        <v>1066</v>
      </c>
      <c r="B191" s="431">
        <v>9</v>
      </c>
      <c r="C191" s="431">
        <v>4.3099999999999996</v>
      </c>
      <c r="D191" s="432">
        <v>4446690</v>
      </c>
      <c r="E191" s="432">
        <v>1031710</v>
      </c>
      <c r="F191" s="433">
        <f>C191/B191</f>
        <v>0.47888888888888886</v>
      </c>
      <c r="G191" s="434">
        <f>D191/B191</f>
        <v>494076.66666666669</v>
      </c>
      <c r="I191" s="435">
        <v>97930.677661231675</v>
      </c>
      <c r="J191" s="434">
        <v>282561.59585786192</v>
      </c>
    </row>
    <row r="192" spans="1:256" s="254" customFormat="1" ht="15.75" thickBot="1">
      <c r="A192" s="430" t="s">
        <v>1067</v>
      </c>
      <c r="B192" s="431">
        <v>23</v>
      </c>
      <c r="C192" s="431">
        <v>70.31</v>
      </c>
      <c r="D192" s="432">
        <v>16346400</v>
      </c>
      <c r="E192" s="432">
        <v>232490</v>
      </c>
      <c r="F192" s="433">
        <f>C192/B192</f>
        <v>3.0569565217391306</v>
      </c>
      <c r="G192" s="434">
        <f>D192/B192</f>
        <v>710713.04347826086</v>
      </c>
      <c r="I192" s="435">
        <v>776353.09475840186</v>
      </c>
      <c r="J192" s="434">
        <v>224231.84779483223</v>
      </c>
    </row>
    <row r="193" spans="1:10" s="254" customFormat="1" ht="15.75" thickBot="1">
      <c r="A193" s="430" t="s">
        <v>1068</v>
      </c>
      <c r="B193" s="431">
        <v>1</v>
      </c>
      <c r="C193" s="431">
        <v>41</v>
      </c>
      <c r="D193" s="432">
        <v>2740000</v>
      </c>
      <c r="E193" s="432">
        <v>66830</v>
      </c>
      <c r="F193" s="433">
        <f>C193/B193</f>
        <v>41</v>
      </c>
      <c r="G193" s="434">
        <f>D193/B193</f>
        <v>2740000</v>
      </c>
      <c r="I193" s="435">
        <v>1430561.7737900116</v>
      </c>
      <c r="J193" s="434">
        <v>43484.818185924669</v>
      </c>
    </row>
    <row r="194" spans="1:10" s="254" customFormat="1" ht="15.75" thickBot="1">
      <c r="A194" s="436" t="s">
        <v>677</v>
      </c>
      <c r="B194" s="437">
        <v>33</v>
      </c>
      <c r="C194" s="437">
        <v>115.62</v>
      </c>
      <c r="D194" s="438">
        <v>23533090</v>
      </c>
      <c r="E194" s="438">
        <v>203540</v>
      </c>
      <c r="J194" s="434">
        <v>287456.23962295183</v>
      </c>
    </row>
    <row r="195" spans="1:10" s="254" customFormat="1">
      <c r="A195" s="426" t="s">
        <v>1069</v>
      </c>
      <c r="B195" s="427"/>
      <c r="C195" s="427"/>
      <c r="D195" s="427"/>
      <c r="E195" s="427"/>
      <c r="J195" s="434">
        <v>197709.20868302509</v>
      </c>
    </row>
    <row r="196" spans="1:10" s="254" customFormat="1"/>
    <row r="197" spans="1:10" s="254" customFormat="1" ht="15.75" thickBot="1">
      <c r="A197" s="439" t="s">
        <v>1070</v>
      </c>
      <c r="B197" s="427"/>
      <c r="C197" s="427"/>
      <c r="D197" s="427"/>
    </row>
    <row r="198" spans="1:10" s="254" customFormat="1" ht="27" thickBot="1">
      <c r="A198" s="428"/>
      <c r="B198" s="429" t="s">
        <v>1060</v>
      </c>
      <c r="C198" s="429" t="s">
        <v>1071</v>
      </c>
      <c r="D198" s="429" t="s">
        <v>1063</v>
      </c>
    </row>
    <row r="199" spans="1:10" s="254" customFormat="1" ht="15.75" thickBot="1">
      <c r="A199" s="430" t="s">
        <v>954</v>
      </c>
      <c r="B199" s="431">
        <v>19</v>
      </c>
      <c r="C199" s="431">
        <v>2.29</v>
      </c>
      <c r="D199" s="432">
        <v>264170</v>
      </c>
      <c r="E199" s="414"/>
    </row>
    <row r="200" spans="1:10" s="254" customFormat="1" ht="15.75" thickBot="1">
      <c r="A200" s="430" t="s">
        <v>1072</v>
      </c>
      <c r="B200" s="431">
        <v>12</v>
      </c>
      <c r="C200" s="431">
        <v>2.35</v>
      </c>
      <c r="D200" s="432">
        <v>301030</v>
      </c>
      <c r="E200" s="414"/>
    </row>
    <row r="201" spans="1:10" ht="15.75" thickBot="1">
      <c r="A201" s="440" t="s">
        <v>1073</v>
      </c>
      <c r="B201" s="441">
        <v>1</v>
      </c>
      <c r="C201" s="441">
        <v>3</v>
      </c>
      <c r="D201" s="442">
        <v>279050</v>
      </c>
      <c r="E201" s="443"/>
    </row>
    <row r="202" spans="1:10" ht="15.75" thickBot="1">
      <c r="A202" s="444" t="s">
        <v>1074</v>
      </c>
      <c r="B202" s="445" t="s">
        <v>1075</v>
      </c>
      <c r="C202" s="445" t="s">
        <v>1076</v>
      </c>
      <c r="D202" s="445" t="s">
        <v>1077</v>
      </c>
      <c r="E202" s="443"/>
    </row>
    <row r="204" spans="1:10" ht="15.75" thickBot="1">
      <c r="A204" s="446" t="s">
        <v>1078</v>
      </c>
      <c r="B204" s="240"/>
      <c r="C204" s="240"/>
      <c r="D204" s="240"/>
    </row>
    <row r="205" spans="1:10" ht="15.75" thickBot="1">
      <c r="A205" s="447"/>
      <c r="B205" s="448" t="s">
        <v>1060</v>
      </c>
      <c r="C205" s="448" t="s">
        <v>1061</v>
      </c>
      <c r="D205" s="448" t="s">
        <v>1063</v>
      </c>
    </row>
    <row r="206" spans="1:10" ht="15.75" thickBot="1">
      <c r="A206" s="440" t="s">
        <v>1079</v>
      </c>
      <c r="B206" s="441">
        <v>3</v>
      </c>
      <c r="C206" s="441">
        <v>2.5299999999999998</v>
      </c>
      <c r="D206" s="442">
        <v>203650</v>
      </c>
    </row>
    <row r="207" spans="1:10" ht="15.75" thickBot="1">
      <c r="A207" s="440" t="s">
        <v>1080</v>
      </c>
      <c r="B207" s="441">
        <v>5</v>
      </c>
      <c r="C207" s="441">
        <v>1.1000000000000001</v>
      </c>
      <c r="D207" s="442">
        <v>467860</v>
      </c>
    </row>
    <row r="208" spans="1:10" ht="15.75" thickBot="1">
      <c r="A208" s="440" t="s">
        <v>1081</v>
      </c>
      <c r="B208" s="441">
        <v>19</v>
      </c>
      <c r="C208" s="441">
        <v>2.02</v>
      </c>
      <c r="D208" s="442">
        <v>290341</v>
      </c>
    </row>
    <row r="209" spans="1:8" ht="15.75" thickBot="1">
      <c r="A209" s="440" t="s">
        <v>1082</v>
      </c>
      <c r="B209" s="441">
        <v>5</v>
      </c>
      <c r="C209" s="441">
        <v>4.62</v>
      </c>
      <c r="D209" s="442">
        <v>238920</v>
      </c>
    </row>
    <row r="210" spans="1:8" ht="15.75" thickBot="1">
      <c r="A210" s="444" t="s">
        <v>1074</v>
      </c>
      <c r="B210" s="445" t="s">
        <v>1075</v>
      </c>
      <c r="C210" s="445" t="s">
        <v>1076</v>
      </c>
      <c r="D210" s="445" t="s">
        <v>1077</v>
      </c>
    </row>
    <row r="212" spans="1:8" ht="15.75" thickBot="1">
      <c r="A212" s="446" t="s">
        <v>1083</v>
      </c>
      <c r="B212" s="240"/>
      <c r="C212" s="240"/>
    </row>
    <row r="213" spans="1:8" ht="27" thickBot="1">
      <c r="A213" s="449"/>
      <c r="B213" s="448" t="s">
        <v>1060</v>
      </c>
      <c r="C213" s="448" t="s">
        <v>1062</v>
      </c>
    </row>
    <row r="214" spans="1:8" ht="15.75" thickBot="1">
      <c r="A214" s="440" t="s">
        <v>1084</v>
      </c>
      <c r="B214" s="441">
        <v>28</v>
      </c>
      <c r="C214" s="442">
        <v>12007120</v>
      </c>
    </row>
    <row r="215" spans="1:8" ht="15.75" thickBot="1">
      <c r="A215" s="440" t="s">
        <v>1085</v>
      </c>
      <c r="B215" s="441">
        <v>5</v>
      </c>
      <c r="C215" s="442">
        <v>1746000</v>
      </c>
    </row>
    <row r="216" spans="1:8" ht="15.75" thickBot="1">
      <c r="A216" s="440" t="s">
        <v>1086</v>
      </c>
      <c r="B216" s="441">
        <v>1</v>
      </c>
      <c r="C216" s="442">
        <v>301400</v>
      </c>
    </row>
    <row r="217" spans="1:8" ht="15.75" thickBot="1">
      <c r="A217" s="440" t="s">
        <v>330</v>
      </c>
      <c r="B217" s="441">
        <v>1</v>
      </c>
      <c r="C217" s="442">
        <v>872370</v>
      </c>
    </row>
    <row r="218" spans="1:8" ht="15.75" thickBot="1">
      <c r="A218" s="440" t="s">
        <v>93</v>
      </c>
      <c r="B218" s="441">
        <v>1</v>
      </c>
      <c r="C218" s="442">
        <v>824000</v>
      </c>
    </row>
    <row r="219" spans="1:8" ht="15.75" thickBot="1">
      <c r="A219" s="444" t="s">
        <v>677</v>
      </c>
      <c r="B219" s="445">
        <v>36</v>
      </c>
      <c r="C219" s="450">
        <v>15750890</v>
      </c>
    </row>
    <row r="222" spans="1:8" ht="15.75" thickBot="1">
      <c r="A222" s="446" t="s">
        <v>1087</v>
      </c>
      <c r="B222" s="240"/>
      <c r="C222" s="240"/>
      <c r="D222" s="240"/>
      <c r="E222" s="240"/>
    </row>
    <row r="223" spans="1:8" ht="27" thickBot="1">
      <c r="A223" s="451"/>
      <c r="B223" s="448" t="s">
        <v>1060</v>
      </c>
      <c r="C223" s="448" t="s">
        <v>1061</v>
      </c>
      <c r="D223" s="448" t="s">
        <v>1062</v>
      </c>
      <c r="E223" s="448" t="s">
        <v>1063</v>
      </c>
      <c r="F223" s="242" t="s">
        <v>1088</v>
      </c>
      <c r="G223" s="242" t="s">
        <v>1089</v>
      </c>
      <c r="H223" s="242" t="s">
        <v>1090</v>
      </c>
    </row>
    <row r="224" spans="1:8" ht="15.75" thickBot="1">
      <c r="A224" s="440" t="s">
        <v>1091</v>
      </c>
      <c r="B224" s="441">
        <v>2</v>
      </c>
      <c r="C224" s="441">
        <v>3.9</v>
      </c>
      <c r="D224" s="452">
        <v>2497660</v>
      </c>
      <c r="E224" s="442">
        <v>640430</v>
      </c>
      <c r="F224" s="248">
        <f>C224/B224</f>
        <v>1.95</v>
      </c>
      <c r="G224" s="242">
        <f>LOG(D224)</f>
        <v>6.397533318676353</v>
      </c>
      <c r="H224" s="242">
        <f>LOG(F224)</f>
        <v>0.29003461136251801</v>
      </c>
    </row>
    <row r="225" spans="1:8" ht="15.75" thickBot="1">
      <c r="A225" s="440">
        <v>2000</v>
      </c>
      <c r="B225" s="441">
        <v>4</v>
      </c>
      <c r="C225" s="441">
        <v>4.49</v>
      </c>
      <c r="D225" s="452">
        <v>2515260</v>
      </c>
      <c r="E225" s="442">
        <v>560190</v>
      </c>
      <c r="F225" s="248">
        <f t="shared" ref="F225:F231" si="43">C225/B225</f>
        <v>1.1225000000000001</v>
      </c>
      <c r="G225" s="242">
        <f t="shared" ref="G225:G231" si="44">LOG(D225)</f>
        <v>6.4005828843140362</v>
      </c>
      <c r="H225" s="242">
        <f t="shared" ref="H225:H231" si="45">LOG(F225)</f>
        <v>5.0186349675360807E-2</v>
      </c>
    </row>
    <row r="226" spans="1:8" ht="15.75" thickBot="1">
      <c r="A226" s="440">
        <v>2001</v>
      </c>
      <c r="B226" s="441">
        <v>4</v>
      </c>
      <c r="C226" s="441">
        <v>14.65</v>
      </c>
      <c r="D226" s="452">
        <v>2201470</v>
      </c>
      <c r="E226" s="442">
        <v>150270</v>
      </c>
      <c r="F226" s="248">
        <f t="shared" si="43"/>
        <v>3.6625000000000001</v>
      </c>
      <c r="G226" s="242">
        <f t="shared" si="44"/>
        <v>6.3427127715928506</v>
      </c>
      <c r="H226" s="242">
        <f t="shared" si="45"/>
        <v>0.56377763336216591</v>
      </c>
    </row>
    <row r="227" spans="1:8" ht="15.75" thickBot="1">
      <c r="A227" s="440">
        <v>2002</v>
      </c>
      <c r="B227" s="441">
        <v>5</v>
      </c>
      <c r="C227" s="441">
        <v>14.65</v>
      </c>
      <c r="D227" s="452">
        <v>1920250</v>
      </c>
      <c r="E227" s="442">
        <v>131080</v>
      </c>
      <c r="F227" s="248">
        <f t="shared" si="43"/>
        <v>2.93</v>
      </c>
      <c r="G227" s="242">
        <f t="shared" si="44"/>
        <v>6.2833577737829733</v>
      </c>
      <c r="H227" s="242">
        <f t="shared" si="45"/>
        <v>0.4668676203541095</v>
      </c>
    </row>
    <row r="228" spans="1:8" ht="15.75" thickBot="1">
      <c r="A228" s="440">
        <v>2003</v>
      </c>
      <c r="B228" s="441">
        <v>2</v>
      </c>
      <c r="C228" s="441">
        <v>42.18</v>
      </c>
      <c r="D228" s="452">
        <v>4261830</v>
      </c>
      <c r="E228" s="442">
        <v>101040</v>
      </c>
      <c r="F228" s="248">
        <f t="shared" si="43"/>
        <v>21.09</v>
      </c>
      <c r="G228" s="242">
        <f t="shared" si="44"/>
        <v>6.6295961221650419</v>
      </c>
      <c r="H228" s="242">
        <f t="shared" si="45"/>
        <v>1.3240765797394864</v>
      </c>
    </row>
    <row r="229" spans="1:8" ht="15.75" thickBot="1">
      <c r="A229" s="440">
        <v>2004</v>
      </c>
      <c r="B229" s="441">
        <v>2</v>
      </c>
      <c r="C229" s="441">
        <v>3.3</v>
      </c>
      <c r="D229" s="452">
        <v>1211740</v>
      </c>
      <c r="E229" s="442">
        <v>367190</v>
      </c>
      <c r="F229" s="248">
        <f t="shared" si="43"/>
        <v>1.65</v>
      </c>
      <c r="G229" s="242">
        <f t="shared" si="44"/>
        <v>6.0834094443529239</v>
      </c>
      <c r="H229" s="242">
        <f t="shared" si="45"/>
        <v>0.21748394421390627</v>
      </c>
    </row>
    <row r="230" spans="1:8" ht="15.75" thickBot="1">
      <c r="A230" s="440">
        <v>2005</v>
      </c>
      <c r="B230" s="441">
        <v>7</v>
      </c>
      <c r="C230" s="441">
        <v>21.8</v>
      </c>
      <c r="D230" s="452">
        <v>4143430</v>
      </c>
      <c r="E230" s="442">
        <v>190070</v>
      </c>
      <c r="F230" s="248">
        <f t="shared" si="43"/>
        <v>3.1142857142857143</v>
      </c>
      <c r="G230" s="242">
        <f t="shared" si="44"/>
        <v>6.6173600061770568</v>
      </c>
      <c r="H230" s="242">
        <f t="shared" si="45"/>
        <v>0.49335845359034802</v>
      </c>
    </row>
    <row r="231" spans="1:8" ht="15.75" thickBot="1">
      <c r="A231" s="440">
        <v>2006</v>
      </c>
      <c r="B231" s="441">
        <v>7</v>
      </c>
      <c r="C231" s="441">
        <v>10.64</v>
      </c>
      <c r="D231" s="452">
        <v>4781460</v>
      </c>
      <c r="E231" s="442">
        <v>449390</v>
      </c>
      <c r="F231" s="248">
        <f t="shared" si="43"/>
        <v>1.52</v>
      </c>
      <c r="G231" s="242">
        <f t="shared" si="44"/>
        <v>6.6795605269736971</v>
      </c>
      <c r="H231" s="242">
        <f t="shared" si="45"/>
        <v>0.18184358794477254</v>
      </c>
    </row>
    <row r="232" spans="1:8" ht="15.75" thickBot="1">
      <c r="A232" s="444" t="s">
        <v>677</v>
      </c>
      <c r="B232" s="445">
        <v>33</v>
      </c>
      <c r="C232" s="445">
        <v>115.62</v>
      </c>
      <c r="D232" s="453">
        <v>23533090</v>
      </c>
      <c r="E232" s="450">
        <v>203540</v>
      </c>
    </row>
    <row r="253" spans="1:6">
      <c r="A253" s="242" t="s">
        <v>1177</v>
      </c>
      <c r="B253" s="242" t="s">
        <v>1179</v>
      </c>
      <c r="C253" s="242" t="s">
        <v>1183</v>
      </c>
      <c r="E253" s="242">
        <v>3.41</v>
      </c>
      <c r="F253" s="242" t="s">
        <v>1184</v>
      </c>
    </row>
    <row r="254" spans="1:6">
      <c r="A254" s="242" t="s">
        <v>1178</v>
      </c>
      <c r="B254" s="242" t="s">
        <v>1180</v>
      </c>
      <c r="C254" s="242" t="s">
        <v>1181</v>
      </c>
      <c r="D254" s="242" t="s">
        <v>1182</v>
      </c>
      <c r="E254" s="242">
        <v>365</v>
      </c>
      <c r="F254" s="242" t="s">
        <v>1185</v>
      </c>
    </row>
    <row r="255" spans="1:6">
      <c r="A255" s="242" t="s">
        <v>1186</v>
      </c>
      <c r="B255" s="242">
        <v>6374</v>
      </c>
      <c r="C255" s="242">
        <v>11750</v>
      </c>
      <c r="D255" s="242">
        <v>18900</v>
      </c>
    </row>
    <row r="256" spans="1:6">
      <c r="A256" s="242" t="s">
        <v>1187</v>
      </c>
      <c r="B256" s="515">
        <f>B255/$E$253</f>
        <v>1869.2082111436948</v>
      </c>
      <c r="C256" s="515">
        <f t="shared" ref="C256:D256" si="46">C255/$E$253</f>
        <v>3445.74780058651</v>
      </c>
      <c r="D256" s="515">
        <f t="shared" si="46"/>
        <v>5542.5219941348969</v>
      </c>
    </row>
    <row r="257" spans="1:8">
      <c r="A257" s="242" t="s">
        <v>1188</v>
      </c>
      <c r="B257" s="584">
        <f>B256*$E$254</f>
        <v>682260.99706744857</v>
      </c>
      <c r="C257" s="584">
        <f t="shared" ref="C257:D257" si="47">C256*$E$254</f>
        <v>1257697.9472140761</v>
      </c>
      <c r="D257" s="584">
        <f t="shared" si="47"/>
        <v>2023020.5278592373</v>
      </c>
    </row>
    <row r="258" spans="1:8">
      <c r="A258" s="242" t="s">
        <v>1189</v>
      </c>
      <c r="B258" s="251">
        <f>B257/1000000</f>
        <v>0.68226099706744858</v>
      </c>
      <c r="C258" s="251">
        <f t="shared" ref="C258:D258" si="48">C257/1000000</f>
        <v>1.2576979472140761</v>
      </c>
      <c r="D258" s="251">
        <f t="shared" si="48"/>
        <v>2.0230205278592375</v>
      </c>
    </row>
    <row r="259" spans="1:8">
      <c r="F259" s="242" t="s">
        <v>927</v>
      </c>
    </row>
    <row r="260" spans="1:8">
      <c r="A260" s="242" t="s">
        <v>1190</v>
      </c>
      <c r="F260" s="242" t="s">
        <v>1180</v>
      </c>
      <c r="G260" s="242" t="s">
        <v>1181</v>
      </c>
      <c r="H260" s="242" t="s">
        <v>1182</v>
      </c>
    </row>
    <row r="261" spans="1:8">
      <c r="A261" s="242" t="s">
        <v>1191</v>
      </c>
      <c r="B261" s="242">
        <v>14153</v>
      </c>
      <c r="C261" s="242">
        <v>15800</v>
      </c>
      <c r="D261" s="242">
        <v>19968</v>
      </c>
      <c r="F261" s="507">
        <f>B261/$E$253*$E$254/1000000</f>
        <v>1.5149105571847508</v>
      </c>
      <c r="G261" s="507">
        <f t="shared" ref="G261:H261" si="49">C261/$E$253*$E$254/1000000</f>
        <v>1.6912023460410557</v>
      </c>
      <c r="H261" s="507">
        <f t="shared" si="49"/>
        <v>2.1373372434017592</v>
      </c>
    </row>
    <row r="262" spans="1:8">
      <c r="A262" s="242" t="s">
        <v>1192</v>
      </c>
      <c r="B262" s="242">
        <v>6113</v>
      </c>
      <c r="C262" s="242">
        <v>7094</v>
      </c>
      <c r="D262" s="242">
        <v>10522</v>
      </c>
      <c r="F262" s="507">
        <f t="shared" ref="F262:F264" si="50">B262/$E$253*$E$254/1000000</f>
        <v>0.65432404692082102</v>
      </c>
      <c r="G262" s="507">
        <f t="shared" ref="G262:G264" si="51">C262/$E$253*$E$254/1000000</f>
        <v>0.75932844574780067</v>
      </c>
      <c r="H262" s="507">
        <f t="shared" ref="H262:H264" si="52">D262/$E$253*$E$254/1000000</f>
        <v>1.1262551319648093</v>
      </c>
    </row>
    <row r="263" spans="1:8">
      <c r="A263" s="242" t="s">
        <v>1193</v>
      </c>
      <c r="B263" s="242">
        <v>5267</v>
      </c>
      <c r="C263" s="242">
        <v>9469</v>
      </c>
      <c r="D263" s="242">
        <v>12674</v>
      </c>
      <c r="F263" s="507">
        <f t="shared" si="50"/>
        <v>0.56376979472140754</v>
      </c>
      <c r="G263" s="507">
        <f t="shared" si="51"/>
        <v>1.0135439882697945</v>
      </c>
      <c r="H263" s="507">
        <f t="shared" si="52"/>
        <v>1.3566011730205276</v>
      </c>
    </row>
    <row r="264" spans="1:8">
      <c r="A264" s="585" t="s">
        <v>1194</v>
      </c>
      <c r="B264" s="242">
        <v>6062</v>
      </c>
      <c r="C264" s="242">
        <v>7785</v>
      </c>
      <c r="D264" s="242">
        <v>11362</v>
      </c>
      <c r="F264" s="507">
        <f t="shared" si="50"/>
        <v>0.6488651026392962</v>
      </c>
      <c r="G264" s="507">
        <f t="shared" si="51"/>
        <v>0.83329178885630495</v>
      </c>
      <c r="H264" s="507">
        <f t="shared" si="52"/>
        <v>1.21616715542522</v>
      </c>
    </row>
    <row r="267" spans="1:8">
      <c r="A267" s="242" t="s">
        <v>1190</v>
      </c>
      <c r="B267" s="242" t="s">
        <v>1195</v>
      </c>
    </row>
    <row r="268" spans="1:8">
      <c r="A268" s="242" t="s">
        <v>1191</v>
      </c>
      <c r="B268" s="251">
        <f>G261</f>
        <v>1.6912023460410557</v>
      </c>
    </row>
    <row r="269" spans="1:8">
      <c r="A269" s="242" t="s">
        <v>1192</v>
      </c>
      <c r="B269" s="251">
        <f t="shared" ref="B269:B271" si="53">G262</f>
        <v>0.75932844574780067</v>
      </c>
      <c r="C269" s="251">
        <f>AVERAGE(B268:B269)</f>
        <v>1.2252653958944282</v>
      </c>
    </row>
    <row r="270" spans="1:8">
      <c r="A270" s="242" t="s">
        <v>1193</v>
      </c>
      <c r="B270" s="251">
        <f t="shared" si="53"/>
        <v>1.0135439882697945</v>
      </c>
    </row>
    <row r="271" spans="1:8">
      <c r="A271" s="585" t="s">
        <v>1194</v>
      </c>
      <c r="B271" s="251">
        <f t="shared" si="53"/>
        <v>0.83329178885630495</v>
      </c>
    </row>
    <row r="272" spans="1:8">
      <c r="B272" s="242" t="s">
        <v>1200</v>
      </c>
      <c r="C272" s="242" t="s">
        <v>1199</v>
      </c>
      <c r="D272" s="242" t="s">
        <v>1201</v>
      </c>
      <c r="E272" s="242" t="s">
        <v>1203</v>
      </c>
      <c r="F272" s="242" t="s">
        <v>1204</v>
      </c>
    </row>
    <row r="273" spans="1:6">
      <c r="A273" s="242" t="s">
        <v>1196</v>
      </c>
      <c r="B273" s="565">
        <v>119.16816146959873</v>
      </c>
      <c r="C273" s="242">
        <v>151</v>
      </c>
      <c r="D273" s="515">
        <f>B273/C273*100000</f>
        <v>78919.312231522345</v>
      </c>
      <c r="E273" s="586">
        <f>'Savings and Cost'!G3</f>
        <v>2.1148698331940725</v>
      </c>
      <c r="F273" s="251">
        <f>C269</f>
        <v>1.2252653958944282</v>
      </c>
    </row>
    <row r="274" spans="1:6">
      <c r="A274" s="242" t="s">
        <v>1197</v>
      </c>
      <c r="B274" s="565">
        <v>430.07863132913184</v>
      </c>
      <c r="C274" s="242">
        <v>151</v>
      </c>
      <c r="D274" s="515">
        <f t="shared" ref="D274:D275" si="54">B274/C274*100000</f>
        <v>284820.28564843169</v>
      </c>
      <c r="E274" s="586">
        <f>'Savings and Cost'!G4</f>
        <v>0.86509305004896886</v>
      </c>
      <c r="F274" s="251">
        <f>B270</f>
        <v>1.0135439882697945</v>
      </c>
    </row>
    <row r="275" spans="1:6">
      <c r="A275" s="242" t="s">
        <v>1198</v>
      </c>
      <c r="B275" s="565">
        <v>1015.4853551808756</v>
      </c>
      <c r="C275" s="242">
        <v>151</v>
      </c>
      <c r="D275" s="515">
        <f t="shared" si="54"/>
        <v>672506.85773567925</v>
      </c>
      <c r="E275" s="586">
        <f>'Savings and Cost'!G5</f>
        <v>0.59014857162061585</v>
      </c>
      <c r="F275" s="251">
        <f>B271</f>
        <v>0.83329178885630495</v>
      </c>
    </row>
    <row r="276" spans="1:6">
      <c r="E276" s="586">
        <f>AVERAGE(E273:E275)</f>
        <v>1.1900371516212191</v>
      </c>
      <c r="F276" s="586">
        <f>AVERAGE(F273:F275)</f>
        <v>1.0240337243401758</v>
      </c>
    </row>
  </sheetData>
  <mergeCells count="29">
    <mergeCell ref="Z134:AB134"/>
    <mergeCell ref="B55:B57"/>
    <mergeCell ref="B38:B40"/>
    <mergeCell ref="B41:C43"/>
    <mergeCell ref="B44:B46"/>
    <mergeCell ref="B47:B49"/>
    <mergeCell ref="B50:B52"/>
    <mergeCell ref="N144:N146"/>
    <mergeCell ref="O144:O146"/>
    <mergeCell ref="B58:B60"/>
    <mergeCell ref="B61:B63"/>
    <mergeCell ref="B65:B67"/>
    <mergeCell ref="B70:B72"/>
    <mergeCell ref="Q144:Q146"/>
    <mergeCell ref="R144:R146"/>
    <mergeCell ref="AD144:AD146"/>
    <mergeCell ref="AD136:AD138"/>
    <mergeCell ref="G139:G143"/>
    <mergeCell ref="N139:N143"/>
    <mergeCell ref="O139:O143"/>
    <mergeCell ref="Q139:Q143"/>
    <mergeCell ref="R139:R143"/>
    <mergeCell ref="AD139:AD143"/>
    <mergeCell ref="G136:G138"/>
    <mergeCell ref="N136:N138"/>
    <mergeCell ref="O136:O138"/>
    <mergeCell ref="Q136:Q138"/>
    <mergeCell ref="R136:R138"/>
    <mergeCell ref="G144:G146"/>
  </mergeCells>
  <hyperlinks>
    <hyperlink ref="A189" location="_ftn1" display="_ftn1"/>
    <hyperlink ref="A195" location="_ftnref1" display="_ftnref1"/>
  </hyperlinks>
  <pageMargins left="0.7" right="0.7" top="0.75" bottom="0.75" header="0.3" footer="0.3"/>
  <pageSetup orientation="portrait" r:id="rId1"/>
  <drawing r:id="rId2"/>
  <legacyDrawing r:id="rId3"/>
</worksheet>
</file>

<file path=xl/worksheets/sheet12.xml><?xml version="1.0" encoding="utf-8"?>
<worksheet xmlns="http://schemas.openxmlformats.org/spreadsheetml/2006/main" xmlns:r="http://schemas.openxmlformats.org/officeDocument/2006/relationships">
  <sheetPr codeName="Sheet16"/>
  <dimension ref="A1:J32"/>
  <sheetViews>
    <sheetView workbookViewId="0">
      <selection activeCell="A37" sqref="A37"/>
    </sheetView>
  </sheetViews>
  <sheetFormatPr defaultRowHeight="12.75"/>
  <cols>
    <col min="1" max="1" width="19.42578125" style="240" customWidth="1"/>
    <col min="2" max="2" width="19.85546875" style="240" customWidth="1"/>
    <col min="3" max="3" width="17" style="240" bestFit="1" customWidth="1"/>
    <col min="4" max="4" width="16.85546875" style="240" bestFit="1" customWidth="1"/>
    <col min="5" max="5" width="30.5703125" style="240" bestFit="1" customWidth="1"/>
    <col min="6" max="6" width="13.85546875" style="240" bestFit="1" customWidth="1"/>
    <col min="7" max="7" width="19.85546875" style="240" bestFit="1" customWidth="1"/>
    <col min="8" max="8" width="20.42578125" style="240" bestFit="1" customWidth="1"/>
    <col min="9" max="9" width="18.85546875" style="240" bestFit="1" customWidth="1"/>
    <col min="10" max="10" width="19.5703125" style="240" bestFit="1" customWidth="1"/>
    <col min="11" max="256" width="9.140625" style="240"/>
    <col min="257" max="257" width="11.42578125" style="240" bestFit="1" customWidth="1"/>
    <col min="258" max="258" width="19.85546875" style="240" customWidth="1"/>
    <col min="259" max="259" width="17" style="240" bestFit="1" customWidth="1"/>
    <col min="260" max="260" width="16.85546875" style="240" bestFit="1" customWidth="1"/>
    <col min="261" max="261" width="30.5703125" style="240" bestFit="1" customWidth="1"/>
    <col min="262" max="262" width="13.85546875" style="240" bestFit="1" customWidth="1"/>
    <col min="263" max="263" width="19.85546875" style="240" bestFit="1" customWidth="1"/>
    <col min="264" max="264" width="20.42578125" style="240" bestFit="1" customWidth="1"/>
    <col min="265" max="265" width="18.85546875" style="240" bestFit="1" customWidth="1"/>
    <col min="266" max="266" width="19.5703125" style="240" bestFit="1" customWidth="1"/>
    <col min="267" max="512" width="9.140625" style="240"/>
    <col min="513" max="513" width="11.42578125" style="240" bestFit="1" customWidth="1"/>
    <col min="514" max="514" width="19.85546875" style="240" customWidth="1"/>
    <col min="515" max="515" width="17" style="240" bestFit="1" customWidth="1"/>
    <col min="516" max="516" width="16.85546875" style="240" bestFit="1" customWidth="1"/>
    <col min="517" max="517" width="30.5703125" style="240" bestFit="1" customWidth="1"/>
    <col min="518" max="518" width="13.85546875" style="240" bestFit="1" customWidth="1"/>
    <col min="519" max="519" width="19.85546875" style="240" bestFit="1" customWidth="1"/>
    <col min="520" max="520" width="20.42578125" style="240" bestFit="1" customWidth="1"/>
    <col min="521" max="521" width="18.85546875" style="240" bestFit="1" customWidth="1"/>
    <col min="522" max="522" width="19.5703125" style="240" bestFit="1" customWidth="1"/>
    <col min="523" max="768" width="9.140625" style="240"/>
    <col min="769" max="769" width="11.42578125" style="240" bestFit="1" customWidth="1"/>
    <col min="770" max="770" width="19.85546875" style="240" customWidth="1"/>
    <col min="771" max="771" width="17" style="240" bestFit="1" customWidth="1"/>
    <col min="772" max="772" width="16.85546875" style="240" bestFit="1" customWidth="1"/>
    <col min="773" max="773" width="30.5703125" style="240" bestFit="1" customWidth="1"/>
    <col min="774" max="774" width="13.85546875" style="240" bestFit="1" customWidth="1"/>
    <col min="775" max="775" width="19.85546875" style="240" bestFit="1" customWidth="1"/>
    <col min="776" max="776" width="20.42578125" style="240" bestFit="1" customWidth="1"/>
    <col min="777" max="777" width="18.85546875" style="240" bestFit="1" customWidth="1"/>
    <col min="778" max="778" width="19.5703125" style="240" bestFit="1" customWidth="1"/>
    <col min="779" max="1024" width="9.140625" style="240"/>
    <col min="1025" max="1025" width="11.42578125" style="240" bestFit="1" customWidth="1"/>
    <col min="1026" max="1026" width="19.85546875" style="240" customWidth="1"/>
    <col min="1027" max="1027" width="17" style="240" bestFit="1" customWidth="1"/>
    <col min="1028" max="1028" width="16.85546875" style="240" bestFit="1" customWidth="1"/>
    <col min="1029" max="1029" width="30.5703125" style="240" bestFit="1" customWidth="1"/>
    <col min="1030" max="1030" width="13.85546875" style="240" bestFit="1" customWidth="1"/>
    <col min="1031" max="1031" width="19.85546875" style="240" bestFit="1" customWidth="1"/>
    <col min="1032" max="1032" width="20.42578125" style="240" bestFit="1" customWidth="1"/>
    <col min="1033" max="1033" width="18.85546875" style="240" bestFit="1" customWidth="1"/>
    <col min="1034" max="1034" width="19.5703125" style="240" bestFit="1" customWidth="1"/>
    <col min="1035" max="1280" width="9.140625" style="240"/>
    <col min="1281" max="1281" width="11.42578125" style="240" bestFit="1" customWidth="1"/>
    <col min="1282" max="1282" width="19.85546875" style="240" customWidth="1"/>
    <col min="1283" max="1283" width="17" style="240" bestFit="1" customWidth="1"/>
    <col min="1284" max="1284" width="16.85546875" style="240" bestFit="1" customWidth="1"/>
    <col min="1285" max="1285" width="30.5703125" style="240" bestFit="1" customWidth="1"/>
    <col min="1286" max="1286" width="13.85546875" style="240" bestFit="1" customWidth="1"/>
    <col min="1287" max="1287" width="19.85546875" style="240" bestFit="1" customWidth="1"/>
    <col min="1288" max="1288" width="20.42578125" style="240" bestFit="1" customWidth="1"/>
    <col min="1289" max="1289" width="18.85546875" style="240" bestFit="1" customWidth="1"/>
    <col min="1290" max="1290" width="19.5703125" style="240" bestFit="1" customWidth="1"/>
    <col min="1291" max="1536" width="9.140625" style="240"/>
    <col min="1537" max="1537" width="11.42578125" style="240" bestFit="1" customWidth="1"/>
    <col min="1538" max="1538" width="19.85546875" style="240" customWidth="1"/>
    <col min="1539" max="1539" width="17" style="240" bestFit="1" customWidth="1"/>
    <col min="1540" max="1540" width="16.85546875" style="240" bestFit="1" customWidth="1"/>
    <col min="1541" max="1541" width="30.5703125" style="240" bestFit="1" customWidth="1"/>
    <col min="1542" max="1542" width="13.85546875" style="240" bestFit="1" customWidth="1"/>
    <col min="1543" max="1543" width="19.85546875" style="240" bestFit="1" customWidth="1"/>
    <col min="1544" max="1544" width="20.42578125" style="240" bestFit="1" customWidth="1"/>
    <col min="1545" max="1545" width="18.85546875" style="240" bestFit="1" customWidth="1"/>
    <col min="1546" max="1546" width="19.5703125" style="240" bestFit="1" customWidth="1"/>
    <col min="1547" max="1792" width="9.140625" style="240"/>
    <col min="1793" max="1793" width="11.42578125" style="240" bestFit="1" customWidth="1"/>
    <col min="1794" max="1794" width="19.85546875" style="240" customWidth="1"/>
    <col min="1795" max="1795" width="17" style="240" bestFit="1" customWidth="1"/>
    <col min="1796" max="1796" width="16.85546875" style="240" bestFit="1" customWidth="1"/>
    <col min="1797" max="1797" width="30.5703125" style="240" bestFit="1" customWidth="1"/>
    <col min="1798" max="1798" width="13.85546875" style="240" bestFit="1" customWidth="1"/>
    <col min="1799" max="1799" width="19.85546875" style="240" bestFit="1" customWidth="1"/>
    <col min="1800" max="1800" width="20.42578125" style="240" bestFit="1" customWidth="1"/>
    <col min="1801" max="1801" width="18.85546875" style="240" bestFit="1" customWidth="1"/>
    <col min="1802" max="1802" width="19.5703125" style="240" bestFit="1" customWidth="1"/>
    <col min="1803" max="2048" width="9.140625" style="240"/>
    <col min="2049" max="2049" width="11.42578125" style="240" bestFit="1" customWidth="1"/>
    <col min="2050" max="2050" width="19.85546875" style="240" customWidth="1"/>
    <col min="2051" max="2051" width="17" style="240" bestFit="1" customWidth="1"/>
    <col min="2052" max="2052" width="16.85546875" style="240" bestFit="1" customWidth="1"/>
    <col min="2053" max="2053" width="30.5703125" style="240" bestFit="1" customWidth="1"/>
    <col min="2054" max="2054" width="13.85546875" style="240" bestFit="1" customWidth="1"/>
    <col min="2055" max="2055" width="19.85546875" style="240" bestFit="1" customWidth="1"/>
    <col min="2056" max="2056" width="20.42578125" style="240" bestFit="1" customWidth="1"/>
    <col min="2057" max="2057" width="18.85546875" style="240" bestFit="1" customWidth="1"/>
    <col min="2058" max="2058" width="19.5703125" style="240" bestFit="1" customWidth="1"/>
    <col min="2059" max="2304" width="9.140625" style="240"/>
    <col min="2305" max="2305" width="11.42578125" style="240" bestFit="1" customWidth="1"/>
    <col min="2306" max="2306" width="19.85546875" style="240" customWidth="1"/>
    <col min="2307" max="2307" width="17" style="240" bestFit="1" customWidth="1"/>
    <col min="2308" max="2308" width="16.85546875" style="240" bestFit="1" customWidth="1"/>
    <col min="2309" max="2309" width="30.5703125" style="240" bestFit="1" customWidth="1"/>
    <col min="2310" max="2310" width="13.85546875" style="240" bestFit="1" customWidth="1"/>
    <col min="2311" max="2311" width="19.85546875" style="240" bestFit="1" customWidth="1"/>
    <col min="2312" max="2312" width="20.42578125" style="240" bestFit="1" customWidth="1"/>
    <col min="2313" max="2313" width="18.85546875" style="240" bestFit="1" customWidth="1"/>
    <col min="2314" max="2314" width="19.5703125" style="240" bestFit="1" customWidth="1"/>
    <col min="2315" max="2560" width="9.140625" style="240"/>
    <col min="2561" max="2561" width="11.42578125" style="240" bestFit="1" customWidth="1"/>
    <col min="2562" max="2562" width="19.85546875" style="240" customWidth="1"/>
    <col min="2563" max="2563" width="17" style="240" bestFit="1" customWidth="1"/>
    <col min="2564" max="2564" width="16.85546875" style="240" bestFit="1" customWidth="1"/>
    <col min="2565" max="2565" width="30.5703125" style="240" bestFit="1" customWidth="1"/>
    <col min="2566" max="2566" width="13.85546875" style="240" bestFit="1" customWidth="1"/>
    <col min="2567" max="2567" width="19.85546875" style="240" bestFit="1" customWidth="1"/>
    <col min="2568" max="2568" width="20.42578125" style="240" bestFit="1" customWidth="1"/>
    <col min="2569" max="2569" width="18.85546875" style="240" bestFit="1" customWidth="1"/>
    <col min="2570" max="2570" width="19.5703125" style="240" bestFit="1" customWidth="1"/>
    <col min="2571" max="2816" width="9.140625" style="240"/>
    <col min="2817" max="2817" width="11.42578125" style="240" bestFit="1" customWidth="1"/>
    <col min="2818" max="2818" width="19.85546875" style="240" customWidth="1"/>
    <col min="2819" max="2819" width="17" style="240" bestFit="1" customWidth="1"/>
    <col min="2820" max="2820" width="16.85546875" style="240" bestFit="1" customWidth="1"/>
    <col min="2821" max="2821" width="30.5703125" style="240" bestFit="1" customWidth="1"/>
    <col min="2822" max="2822" width="13.85546875" style="240" bestFit="1" customWidth="1"/>
    <col min="2823" max="2823" width="19.85546875" style="240" bestFit="1" customWidth="1"/>
    <col min="2824" max="2824" width="20.42578125" style="240" bestFit="1" customWidth="1"/>
    <col min="2825" max="2825" width="18.85546875" style="240" bestFit="1" customWidth="1"/>
    <col min="2826" max="2826" width="19.5703125" style="240" bestFit="1" customWidth="1"/>
    <col min="2827" max="3072" width="9.140625" style="240"/>
    <col min="3073" max="3073" width="11.42578125" style="240" bestFit="1" customWidth="1"/>
    <col min="3074" max="3074" width="19.85546875" style="240" customWidth="1"/>
    <col min="3075" max="3075" width="17" style="240" bestFit="1" customWidth="1"/>
    <col min="3076" max="3076" width="16.85546875" style="240" bestFit="1" customWidth="1"/>
    <col min="3077" max="3077" width="30.5703125" style="240" bestFit="1" customWidth="1"/>
    <col min="3078" max="3078" width="13.85546875" style="240" bestFit="1" customWidth="1"/>
    <col min="3079" max="3079" width="19.85546875" style="240" bestFit="1" customWidth="1"/>
    <col min="3080" max="3080" width="20.42578125" style="240" bestFit="1" customWidth="1"/>
    <col min="3081" max="3081" width="18.85546875" style="240" bestFit="1" customWidth="1"/>
    <col min="3082" max="3082" width="19.5703125" style="240" bestFit="1" customWidth="1"/>
    <col min="3083" max="3328" width="9.140625" style="240"/>
    <col min="3329" max="3329" width="11.42578125" style="240" bestFit="1" customWidth="1"/>
    <col min="3330" max="3330" width="19.85546875" style="240" customWidth="1"/>
    <col min="3331" max="3331" width="17" style="240" bestFit="1" customWidth="1"/>
    <col min="3332" max="3332" width="16.85546875" style="240" bestFit="1" customWidth="1"/>
    <col min="3333" max="3333" width="30.5703125" style="240" bestFit="1" customWidth="1"/>
    <col min="3334" max="3334" width="13.85546875" style="240" bestFit="1" customWidth="1"/>
    <col min="3335" max="3335" width="19.85546875" style="240" bestFit="1" customWidth="1"/>
    <col min="3336" max="3336" width="20.42578125" style="240" bestFit="1" customWidth="1"/>
    <col min="3337" max="3337" width="18.85546875" style="240" bestFit="1" customWidth="1"/>
    <col min="3338" max="3338" width="19.5703125" style="240" bestFit="1" customWidth="1"/>
    <col min="3339" max="3584" width="9.140625" style="240"/>
    <col min="3585" max="3585" width="11.42578125" style="240" bestFit="1" customWidth="1"/>
    <col min="3586" max="3586" width="19.85546875" style="240" customWidth="1"/>
    <col min="3587" max="3587" width="17" style="240" bestFit="1" customWidth="1"/>
    <col min="3588" max="3588" width="16.85546875" style="240" bestFit="1" customWidth="1"/>
    <col min="3589" max="3589" width="30.5703125" style="240" bestFit="1" customWidth="1"/>
    <col min="3590" max="3590" width="13.85546875" style="240" bestFit="1" customWidth="1"/>
    <col min="3591" max="3591" width="19.85546875" style="240" bestFit="1" customWidth="1"/>
    <col min="3592" max="3592" width="20.42578125" style="240" bestFit="1" customWidth="1"/>
    <col min="3593" max="3593" width="18.85546875" style="240" bestFit="1" customWidth="1"/>
    <col min="3594" max="3594" width="19.5703125" style="240" bestFit="1" customWidth="1"/>
    <col min="3595" max="3840" width="9.140625" style="240"/>
    <col min="3841" max="3841" width="11.42578125" style="240" bestFit="1" customWidth="1"/>
    <col min="3842" max="3842" width="19.85546875" style="240" customWidth="1"/>
    <col min="3843" max="3843" width="17" style="240" bestFit="1" customWidth="1"/>
    <col min="3844" max="3844" width="16.85546875" style="240" bestFit="1" customWidth="1"/>
    <col min="3845" max="3845" width="30.5703125" style="240" bestFit="1" customWidth="1"/>
    <col min="3846" max="3846" width="13.85546875" style="240" bestFit="1" customWidth="1"/>
    <col min="3847" max="3847" width="19.85546875" style="240" bestFit="1" customWidth="1"/>
    <col min="3848" max="3848" width="20.42578125" style="240" bestFit="1" customWidth="1"/>
    <col min="3849" max="3849" width="18.85546875" style="240" bestFit="1" customWidth="1"/>
    <col min="3850" max="3850" width="19.5703125" style="240" bestFit="1" customWidth="1"/>
    <col min="3851" max="4096" width="9.140625" style="240"/>
    <col min="4097" max="4097" width="11.42578125" style="240" bestFit="1" customWidth="1"/>
    <col min="4098" max="4098" width="19.85546875" style="240" customWidth="1"/>
    <col min="4099" max="4099" width="17" style="240" bestFit="1" customWidth="1"/>
    <col min="4100" max="4100" width="16.85546875" style="240" bestFit="1" customWidth="1"/>
    <col min="4101" max="4101" width="30.5703125" style="240" bestFit="1" customWidth="1"/>
    <col min="4102" max="4102" width="13.85546875" style="240" bestFit="1" customWidth="1"/>
    <col min="4103" max="4103" width="19.85546875" style="240" bestFit="1" customWidth="1"/>
    <col min="4104" max="4104" width="20.42578125" style="240" bestFit="1" customWidth="1"/>
    <col min="4105" max="4105" width="18.85546875" style="240" bestFit="1" customWidth="1"/>
    <col min="4106" max="4106" width="19.5703125" style="240" bestFit="1" customWidth="1"/>
    <col min="4107" max="4352" width="9.140625" style="240"/>
    <col min="4353" max="4353" width="11.42578125" style="240" bestFit="1" customWidth="1"/>
    <col min="4354" max="4354" width="19.85546875" style="240" customWidth="1"/>
    <col min="4355" max="4355" width="17" style="240" bestFit="1" customWidth="1"/>
    <col min="4356" max="4356" width="16.85546875" style="240" bestFit="1" customWidth="1"/>
    <col min="4357" max="4357" width="30.5703125" style="240" bestFit="1" customWidth="1"/>
    <col min="4358" max="4358" width="13.85546875" style="240" bestFit="1" customWidth="1"/>
    <col min="4359" max="4359" width="19.85546875" style="240" bestFit="1" customWidth="1"/>
    <col min="4360" max="4360" width="20.42578125" style="240" bestFit="1" customWidth="1"/>
    <col min="4361" max="4361" width="18.85546875" style="240" bestFit="1" customWidth="1"/>
    <col min="4362" max="4362" width="19.5703125" style="240" bestFit="1" customWidth="1"/>
    <col min="4363" max="4608" width="9.140625" style="240"/>
    <col min="4609" max="4609" width="11.42578125" style="240" bestFit="1" customWidth="1"/>
    <col min="4610" max="4610" width="19.85546875" style="240" customWidth="1"/>
    <col min="4611" max="4611" width="17" style="240" bestFit="1" customWidth="1"/>
    <col min="4612" max="4612" width="16.85546875" style="240" bestFit="1" customWidth="1"/>
    <col min="4613" max="4613" width="30.5703125" style="240" bestFit="1" customWidth="1"/>
    <col min="4614" max="4614" width="13.85546875" style="240" bestFit="1" customWidth="1"/>
    <col min="4615" max="4615" width="19.85546875" style="240" bestFit="1" customWidth="1"/>
    <col min="4616" max="4616" width="20.42578125" style="240" bestFit="1" customWidth="1"/>
    <col min="4617" max="4617" width="18.85546875" style="240" bestFit="1" customWidth="1"/>
    <col min="4618" max="4618" width="19.5703125" style="240" bestFit="1" customWidth="1"/>
    <col min="4619" max="4864" width="9.140625" style="240"/>
    <col min="4865" max="4865" width="11.42578125" style="240" bestFit="1" customWidth="1"/>
    <col min="4866" max="4866" width="19.85546875" style="240" customWidth="1"/>
    <col min="4867" max="4867" width="17" style="240" bestFit="1" customWidth="1"/>
    <col min="4868" max="4868" width="16.85546875" style="240" bestFit="1" customWidth="1"/>
    <col min="4869" max="4869" width="30.5703125" style="240" bestFit="1" customWidth="1"/>
    <col min="4870" max="4870" width="13.85546875" style="240" bestFit="1" customWidth="1"/>
    <col min="4871" max="4871" width="19.85546875" style="240" bestFit="1" customWidth="1"/>
    <col min="4872" max="4872" width="20.42578125" style="240" bestFit="1" customWidth="1"/>
    <col min="4873" max="4873" width="18.85546875" style="240" bestFit="1" customWidth="1"/>
    <col min="4874" max="4874" width="19.5703125" style="240" bestFit="1" customWidth="1"/>
    <col min="4875" max="5120" width="9.140625" style="240"/>
    <col min="5121" max="5121" width="11.42578125" style="240" bestFit="1" customWidth="1"/>
    <col min="5122" max="5122" width="19.85546875" style="240" customWidth="1"/>
    <col min="5123" max="5123" width="17" style="240" bestFit="1" customWidth="1"/>
    <col min="5124" max="5124" width="16.85546875" style="240" bestFit="1" customWidth="1"/>
    <col min="5125" max="5125" width="30.5703125" style="240" bestFit="1" customWidth="1"/>
    <col min="5126" max="5126" width="13.85546875" style="240" bestFit="1" customWidth="1"/>
    <col min="5127" max="5127" width="19.85546875" style="240" bestFit="1" customWidth="1"/>
    <col min="5128" max="5128" width="20.42578125" style="240" bestFit="1" customWidth="1"/>
    <col min="5129" max="5129" width="18.85546875" style="240" bestFit="1" customWidth="1"/>
    <col min="5130" max="5130" width="19.5703125" style="240" bestFit="1" customWidth="1"/>
    <col min="5131" max="5376" width="9.140625" style="240"/>
    <col min="5377" max="5377" width="11.42578125" style="240" bestFit="1" customWidth="1"/>
    <col min="5378" max="5378" width="19.85546875" style="240" customWidth="1"/>
    <col min="5379" max="5379" width="17" style="240" bestFit="1" customWidth="1"/>
    <col min="5380" max="5380" width="16.85546875" style="240" bestFit="1" customWidth="1"/>
    <col min="5381" max="5381" width="30.5703125" style="240" bestFit="1" customWidth="1"/>
    <col min="5382" max="5382" width="13.85546875" style="240" bestFit="1" customWidth="1"/>
    <col min="5383" max="5383" width="19.85546875" style="240" bestFit="1" customWidth="1"/>
    <col min="5384" max="5384" width="20.42578125" style="240" bestFit="1" customWidth="1"/>
    <col min="5385" max="5385" width="18.85546875" style="240" bestFit="1" customWidth="1"/>
    <col min="5386" max="5386" width="19.5703125" style="240" bestFit="1" customWidth="1"/>
    <col min="5387" max="5632" width="9.140625" style="240"/>
    <col min="5633" max="5633" width="11.42578125" style="240" bestFit="1" customWidth="1"/>
    <col min="5634" max="5634" width="19.85546875" style="240" customWidth="1"/>
    <col min="5635" max="5635" width="17" style="240" bestFit="1" customWidth="1"/>
    <col min="5636" max="5636" width="16.85546875" style="240" bestFit="1" customWidth="1"/>
    <col min="5637" max="5637" width="30.5703125" style="240" bestFit="1" customWidth="1"/>
    <col min="5638" max="5638" width="13.85546875" style="240" bestFit="1" customWidth="1"/>
    <col min="5639" max="5639" width="19.85546875" style="240" bestFit="1" customWidth="1"/>
    <col min="5640" max="5640" width="20.42578125" style="240" bestFit="1" customWidth="1"/>
    <col min="5641" max="5641" width="18.85546875" style="240" bestFit="1" customWidth="1"/>
    <col min="5642" max="5642" width="19.5703125" style="240" bestFit="1" customWidth="1"/>
    <col min="5643" max="5888" width="9.140625" style="240"/>
    <col min="5889" max="5889" width="11.42578125" style="240" bestFit="1" customWidth="1"/>
    <col min="5890" max="5890" width="19.85546875" style="240" customWidth="1"/>
    <col min="5891" max="5891" width="17" style="240" bestFit="1" customWidth="1"/>
    <col min="5892" max="5892" width="16.85546875" style="240" bestFit="1" customWidth="1"/>
    <col min="5893" max="5893" width="30.5703125" style="240" bestFit="1" customWidth="1"/>
    <col min="5894" max="5894" width="13.85546875" style="240" bestFit="1" customWidth="1"/>
    <col min="5895" max="5895" width="19.85546875" style="240" bestFit="1" customWidth="1"/>
    <col min="5896" max="5896" width="20.42578125" style="240" bestFit="1" customWidth="1"/>
    <col min="5897" max="5897" width="18.85546875" style="240" bestFit="1" customWidth="1"/>
    <col min="5898" max="5898" width="19.5703125" style="240" bestFit="1" customWidth="1"/>
    <col min="5899" max="6144" width="9.140625" style="240"/>
    <col min="6145" max="6145" width="11.42578125" style="240" bestFit="1" customWidth="1"/>
    <col min="6146" max="6146" width="19.85546875" style="240" customWidth="1"/>
    <col min="6147" max="6147" width="17" style="240" bestFit="1" customWidth="1"/>
    <col min="6148" max="6148" width="16.85546875" style="240" bestFit="1" customWidth="1"/>
    <col min="6149" max="6149" width="30.5703125" style="240" bestFit="1" customWidth="1"/>
    <col min="6150" max="6150" width="13.85546875" style="240" bestFit="1" customWidth="1"/>
    <col min="6151" max="6151" width="19.85546875" style="240" bestFit="1" customWidth="1"/>
    <col min="6152" max="6152" width="20.42578125" style="240" bestFit="1" customWidth="1"/>
    <col min="6153" max="6153" width="18.85546875" style="240" bestFit="1" customWidth="1"/>
    <col min="6154" max="6154" width="19.5703125" style="240" bestFit="1" customWidth="1"/>
    <col min="6155" max="6400" width="9.140625" style="240"/>
    <col min="6401" max="6401" width="11.42578125" style="240" bestFit="1" customWidth="1"/>
    <col min="6402" max="6402" width="19.85546875" style="240" customWidth="1"/>
    <col min="6403" max="6403" width="17" style="240" bestFit="1" customWidth="1"/>
    <col min="6404" max="6404" width="16.85546875" style="240" bestFit="1" customWidth="1"/>
    <col min="6405" max="6405" width="30.5703125" style="240" bestFit="1" customWidth="1"/>
    <col min="6406" max="6406" width="13.85546875" style="240" bestFit="1" customWidth="1"/>
    <col min="6407" max="6407" width="19.85546875" style="240" bestFit="1" customWidth="1"/>
    <col min="6408" max="6408" width="20.42578125" style="240" bestFit="1" customWidth="1"/>
    <col min="6409" max="6409" width="18.85546875" style="240" bestFit="1" customWidth="1"/>
    <col min="6410" max="6410" width="19.5703125" style="240" bestFit="1" customWidth="1"/>
    <col min="6411" max="6656" width="9.140625" style="240"/>
    <col min="6657" max="6657" width="11.42578125" style="240" bestFit="1" customWidth="1"/>
    <col min="6658" max="6658" width="19.85546875" style="240" customWidth="1"/>
    <col min="6659" max="6659" width="17" style="240" bestFit="1" customWidth="1"/>
    <col min="6660" max="6660" width="16.85546875" style="240" bestFit="1" customWidth="1"/>
    <col min="6661" max="6661" width="30.5703125" style="240" bestFit="1" customWidth="1"/>
    <col min="6662" max="6662" width="13.85546875" style="240" bestFit="1" customWidth="1"/>
    <col min="6663" max="6663" width="19.85546875" style="240" bestFit="1" customWidth="1"/>
    <col min="6664" max="6664" width="20.42578125" style="240" bestFit="1" customWidth="1"/>
    <col min="6665" max="6665" width="18.85546875" style="240" bestFit="1" customWidth="1"/>
    <col min="6666" max="6666" width="19.5703125" style="240" bestFit="1" customWidth="1"/>
    <col min="6667" max="6912" width="9.140625" style="240"/>
    <col min="6913" max="6913" width="11.42578125" style="240" bestFit="1" customWidth="1"/>
    <col min="6914" max="6914" width="19.85546875" style="240" customWidth="1"/>
    <col min="6915" max="6915" width="17" style="240" bestFit="1" customWidth="1"/>
    <col min="6916" max="6916" width="16.85546875" style="240" bestFit="1" customWidth="1"/>
    <col min="6917" max="6917" width="30.5703125" style="240" bestFit="1" customWidth="1"/>
    <col min="6918" max="6918" width="13.85546875" style="240" bestFit="1" customWidth="1"/>
    <col min="6919" max="6919" width="19.85546875" style="240" bestFit="1" customWidth="1"/>
    <col min="6920" max="6920" width="20.42578125" style="240" bestFit="1" customWidth="1"/>
    <col min="6921" max="6921" width="18.85546875" style="240" bestFit="1" customWidth="1"/>
    <col min="6922" max="6922" width="19.5703125" style="240" bestFit="1" customWidth="1"/>
    <col min="6923" max="7168" width="9.140625" style="240"/>
    <col min="7169" max="7169" width="11.42578125" style="240" bestFit="1" customWidth="1"/>
    <col min="7170" max="7170" width="19.85546875" style="240" customWidth="1"/>
    <col min="7171" max="7171" width="17" style="240" bestFit="1" customWidth="1"/>
    <col min="7172" max="7172" width="16.85546875" style="240" bestFit="1" customWidth="1"/>
    <col min="7173" max="7173" width="30.5703125" style="240" bestFit="1" customWidth="1"/>
    <col min="7174" max="7174" width="13.85546875" style="240" bestFit="1" customWidth="1"/>
    <col min="7175" max="7175" width="19.85546875" style="240" bestFit="1" customWidth="1"/>
    <col min="7176" max="7176" width="20.42578125" style="240" bestFit="1" customWidth="1"/>
    <col min="7177" max="7177" width="18.85546875" style="240" bestFit="1" customWidth="1"/>
    <col min="7178" max="7178" width="19.5703125" style="240" bestFit="1" customWidth="1"/>
    <col min="7179" max="7424" width="9.140625" style="240"/>
    <col min="7425" max="7425" width="11.42578125" style="240" bestFit="1" customWidth="1"/>
    <col min="7426" max="7426" width="19.85546875" style="240" customWidth="1"/>
    <col min="7427" max="7427" width="17" style="240" bestFit="1" customWidth="1"/>
    <col min="7428" max="7428" width="16.85546875" style="240" bestFit="1" customWidth="1"/>
    <col min="7429" max="7429" width="30.5703125" style="240" bestFit="1" customWidth="1"/>
    <col min="7430" max="7430" width="13.85546875" style="240" bestFit="1" customWidth="1"/>
    <col min="7431" max="7431" width="19.85546875" style="240" bestFit="1" customWidth="1"/>
    <col min="7432" max="7432" width="20.42578125" style="240" bestFit="1" customWidth="1"/>
    <col min="7433" max="7433" width="18.85546875" style="240" bestFit="1" customWidth="1"/>
    <col min="7434" max="7434" width="19.5703125" style="240" bestFit="1" customWidth="1"/>
    <col min="7435" max="7680" width="9.140625" style="240"/>
    <col min="7681" max="7681" width="11.42578125" style="240" bestFit="1" customWidth="1"/>
    <col min="7682" max="7682" width="19.85546875" style="240" customWidth="1"/>
    <col min="7683" max="7683" width="17" style="240" bestFit="1" customWidth="1"/>
    <col min="7684" max="7684" width="16.85546875" style="240" bestFit="1" customWidth="1"/>
    <col min="7685" max="7685" width="30.5703125" style="240" bestFit="1" customWidth="1"/>
    <col min="7686" max="7686" width="13.85546875" style="240" bestFit="1" customWidth="1"/>
    <col min="7687" max="7687" width="19.85546875" style="240" bestFit="1" customWidth="1"/>
    <col min="7688" max="7688" width="20.42578125" style="240" bestFit="1" customWidth="1"/>
    <col min="7689" max="7689" width="18.85546875" style="240" bestFit="1" customWidth="1"/>
    <col min="7690" max="7690" width="19.5703125" style="240" bestFit="1" customWidth="1"/>
    <col min="7691" max="7936" width="9.140625" style="240"/>
    <col min="7937" max="7937" width="11.42578125" style="240" bestFit="1" customWidth="1"/>
    <col min="7938" max="7938" width="19.85546875" style="240" customWidth="1"/>
    <col min="7939" max="7939" width="17" style="240" bestFit="1" customWidth="1"/>
    <col min="7940" max="7940" width="16.85546875" style="240" bestFit="1" customWidth="1"/>
    <col min="7941" max="7941" width="30.5703125" style="240" bestFit="1" customWidth="1"/>
    <col min="7942" max="7942" width="13.85546875" style="240" bestFit="1" customWidth="1"/>
    <col min="7943" max="7943" width="19.85546875" style="240" bestFit="1" customWidth="1"/>
    <col min="7944" max="7944" width="20.42578125" style="240" bestFit="1" customWidth="1"/>
    <col min="7945" max="7945" width="18.85546875" style="240" bestFit="1" customWidth="1"/>
    <col min="7946" max="7946" width="19.5703125" style="240" bestFit="1" customWidth="1"/>
    <col min="7947" max="8192" width="9.140625" style="240"/>
    <col min="8193" max="8193" width="11.42578125" style="240" bestFit="1" customWidth="1"/>
    <col min="8194" max="8194" width="19.85546875" style="240" customWidth="1"/>
    <col min="8195" max="8195" width="17" style="240" bestFit="1" customWidth="1"/>
    <col min="8196" max="8196" width="16.85546875" style="240" bestFit="1" customWidth="1"/>
    <col min="8197" max="8197" width="30.5703125" style="240" bestFit="1" customWidth="1"/>
    <col min="8198" max="8198" width="13.85546875" style="240" bestFit="1" customWidth="1"/>
    <col min="8199" max="8199" width="19.85546875" style="240" bestFit="1" customWidth="1"/>
    <col min="8200" max="8200" width="20.42578125" style="240" bestFit="1" customWidth="1"/>
    <col min="8201" max="8201" width="18.85546875" style="240" bestFit="1" customWidth="1"/>
    <col min="8202" max="8202" width="19.5703125" style="240" bestFit="1" customWidth="1"/>
    <col min="8203" max="8448" width="9.140625" style="240"/>
    <col min="8449" max="8449" width="11.42578125" style="240" bestFit="1" customWidth="1"/>
    <col min="8450" max="8450" width="19.85546875" style="240" customWidth="1"/>
    <col min="8451" max="8451" width="17" style="240" bestFit="1" customWidth="1"/>
    <col min="8452" max="8452" width="16.85546875" style="240" bestFit="1" customWidth="1"/>
    <col min="8453" max="8453" width="30.5703125" style="240" bestFit="1" customWidth="1"/>
    <col min="8454" max="8454" width="13.85546875" style="240" bestFit="1" customWidth="1"/>
    <col min="8455" max="8455" width="19.85546875" style="240" bestFit="1" customWidth="1"/>
    <col min="8456" max="8456" width="20.42578125" style="240" bestFit="1" customWidth="1"/>
    <col min="8457" max="8457" width="18.85546875" style="240" bestFit="1" customWidth="1"/>
    <col min="8458" max="8458" width="19.5703125" style="240" bestFit="1" customWidth="1"/>
    <col min="8459" max="8704" width="9.140625" style="240"/>
    <col min="8705" max="8705" width="11.42578125" style="240" bestFit="1" customWidth="1"/>
    <col min="8706" max="8706" width="19.85546875" style="240" customWidth="1"/>
    <col min="8707" max="8707" width="17" style="240" bestFit="1" customWidth="1"/>
    <col min="8708" max="8708" width="16.85546875" style="240" bestFit="1" customWidth="1"/>
    <col min="8709" max="8709" width="30.5703125" style="240" bestFit="1" customWidth="1"/>
    <col min="8710" max="8710" width="13.85546875" style="240" bestFit="1" customWidth="1"/>
    <col min="8711" max="8711" width="19.85546875" style="240" bestFit="1" customWidth="1"/>
    <col min="8712" max="8712" width="20.42578125" style="240" bestFit="1" customWidth="1"/>
    <col min="8713" max="8713" width="18.85546875" style="240" bestFit="1" customWidth="1"/>
    <col min="8714" max="8714" width="19.5703125" style="240" bestFit="1" customWidth="1"/>
    <col min="8715" max="8960" width="9.140625" style="240"/>
    <col min="8961" max="8961" width="11.42578125" style="240" bestFit="1" customWidth="1"/>
    <col min="8962" max="8962" width="19.85546875" style="240" customWidth="1"/>
    <col min="8963" max="8963" width="17" style="240" bestFit="1" customWidth="1"/>
    <col min="8964" max="8964" width="16.85546875" style="240" bestFit="1" customWidth="1"/>
    <col min="8965" max="8965" width="30.5703125" style="240" bestFit="1" customWidth="1"/>
    <col min="8966" max="8966" width="13.85546875" style="240" bestFit="1" customWidth="1"/>
    <col min="8967" max="8967" width="19.85546875" style="240" bestFit="1" customWidth="1"/>
    <col min="8968" max="8968" width="20.42578125" style="240" bestFit="1" customWidth="1"/>
    <col min="8969" max="8969" width="18.85546875" style="240" bestFit="1" customWidth="1"/>
    <col min="8970" max="8970" width="19.5703125" style="240" bestFit="1" customWidth="1"/>
    <col min="8971" max="9216" width="9.140625" style="240"/>
    <col min="9217" max="9217" width="11.42578125" style="240" bestFit="1" customWidth="1"/>
    <col min="9218" max="9218" width="19.85546875" style="240" customWidth="1"/>
    <col min="9219" max="9219" width="17" style="240" bestFit="1" customWidth="1"/>
    <col min="9220" max="9220" width="16.85546875" style="240" bestFit="1" customWidth="1"/>
    <col min="9221" max="9221" width="30.5703125" style="240" bestFit="1" customWidth="1"/>
    <col min="9222" max="9222" width="13.85546875" style="240" bestFit="1" customWidth="1"/>
    <col min="9223" max="9223" width="19.85546875" style="240" bestFit="1" customWidth="1"/>
    <col min="9224" max="9224" width="20.42578125" style="240" bestFit="1" customWidth="1"/>
    <col min="9225" max="9225" width="18.85546875" style="240" bestFit="1" customWidth="1"/>
    <col min="9226" max="9226" width="19.5703125" style="240" bestFit="1" customWidth="1"/>
    <col min="9227" max="9472" width="9.140625" style="240"/>
    <col min="9473" max="9473" width="11.42578125" style="240" bestFit="1" customWidth="1"/>
    <col min="9474" max="9474" width="19.85546875" style="240" customWidth="1"/>
    <col min="9475" max="9475" width="17" style="240" bestFit="1" customWidth="1"/>
    <col min="9476" max="9476" width="16.85546875" style="240" bestFit="1" customWidth="1"/>
    <col min="9477" max="9477" width="30.5703125" style="240" bestFit="1" customWidth="1"/>
    <col min="9478" max="9478" width="13.85546875" style="240" bestFit="1" customWidth="1"/>
    <col min="9479" max="9479" width="19.85546875" style="240" bestFit="1" customWidth="1"/>
    <col min="9480" max="9480" width="20.42578125" style="240" bestFit="1" customWidth="1"/>
    <col min="9481" max="9481" width="18.85546875" style="240" bestFit="1" customWidth="1"/>
    <col min="9482" max="9482" width="19.5703125" style="240" bestFit="1" customWidth="1"/>
    <col min="9483" max="9728" width="9.140625" style="240"/>
    <col min="9729" max="9729" width="11.42578125" style="240" bestFit="1" customWidth="1"/>
    <col min="9730" max="9730" width="19.85546875" style="240" customWidth="1"/>
    <col min="9731" max="9731" width="17" style="240" bestFit="1" customWidth="1"/>
    <col min="9732" max="9732" width="16.85546875" style="240" bestFit="1" customWidth="1"/>
    <col min="9733" max="9733" width="30.5703125" style="240" bestFit="1" customWidth="1"/>
    <col min="9734" max="9734" width="13.85546875" style="240" bestFit="1" customWidth="1"/>
    <col min="9735" max="9735" width="19.85546875" style="240" bestFit="1" customWidth="1"/>
    <col min="9736" max="9736" width="20.42578125" style="240" bestFit="1" customWidth="1"/>
    <col min="9737" max="9737" width="18.85546875" style="240" bestFit="1" customWidth="1"/>
    <col min="9738" max="9738" width="19.5703125" style="240" bestFit="1" customWidth="1"/>
    <col min="9739" max="9984" width="9.140625" style="240"/>
    <col min="9985" max="9985" width="11.42578125" style="240" bestFit="1" customWidth="1"/>
    <col min="9986" max="9986" width="19.85546875" style="240" customWidth="1"/>
    <col min="9987" max="9987" width="17" style="240" bestFit="1" customWidth="1"/>
    <col min="9988" max="9988" width="16.85546875" style="240" bestFit="1" customWidth="1"/>
    <col min="9989" max="9989" width="30.5703125" style="240" bestFit="1" customWidth="1"/>
    <col min="9990" max="9990" width="13.85546875" style="240" bestFit="1" customWidth="1"/>
    <col min="9991" max="9991" width="19.85546875" style="240" bestFit="1" customWidth="1"/>
    <col min="9992" max="9992" width="20.42578125" style="240" bestFit="1" customWidth="1"/>
    <col min="9993" max="9993" width="18.85546875" style="240" bestFit="1" customWidth="1"/>
    <col min="9994" max="9994" width="19.5703125" style="240" bestFit="1" customWidth="1"/>
    <col min="9995" max="10240" width="9.140625" style="240"/>
    <col min="10241" max="10241" width="11.42578125" style="240" bestFit="1" customWidth="1"/>
    <col min="10242" max="10242" width="19.85546875" style="240" customWidth="1"/>
    <col min="10243" max="10243" width="17" style="240" bestFit="1" customWidth="1"/>
    <col min="10244" max="10244" width="16.85546875" style="240" bestFit="1" customWidth="1"/>
    <col min="10245" max="10245" width="30.5703125" style="240" bestFit="1" customWidth="1"/>
    <col min="10246" max="10246" width="13.85546875" style="240" bestFit="1" customWidth="1"/>
    <col min="10247" max="10247" width="19.85546875" style="240" bestFit="1" customWidth="1"/>
    <col min="10248" max="10248" width="20.42578125" style="240" bestFit="1" customWidth="1"/>
    <col min="10249" max="10249" width="18.85546875" style="240" bestFit="1" customWidth="1"/>
    <col min="10250" max="10250" width="19.5703125" style="240" bestFit="1" customWidth="1"/>
    <col min="10251" max="10496" width="9.140625" style="240"/>
    <col min="10497" max="10497" width="11.42578125" style="240" bestFit="1" customWidth="1"/>
    <col min="10498" max="10498" width="19.85546875" style="240" customWidth="1"/>
    <col min="10499" max="10499" width="17" style="240" bestFit="1" customWidth="1"/>
    <col min="10500" max="10500" width="16.85546875" style="240" bestFit="1" customWidth="1"/>
    <col min="10501" max="10501" width="30.5703125" style="240" bestFit="1" customWidth="1"/>
    <col min="10502" max="10502" width="13.85546875" style="240" bestFit="1" customWidth="1"/>
    <col min="10503" max="10503" width="19.85546875" style="240" bestFit="1" customWidth="1"/>
    <col min="10504" max="10504" width="20.42578125" style="240" bestFit="1" customWidth="1"/>
    <col min="10505" max="10505" width="18.85546875" style="240" bestFit="1" customWidth="1"/>
    <col min="10506" max="10506" width="19.5703125" style="240" bestFit="1" customWidth="1"/>
    <col min="10507" max="10752" width="9.140625" style="240"/>
    <col min="10753" max="10753" width="11.42578125" style="240" bestFit="1" customWidth="1"/>
    <col min="10754" max="10754" width="19.85546875" style="240" customWidth="1"/>
    <col min="10755" max="10755" width="17" style="240" bestFit="1" customWidth="1"/>
    <col min="10756" max="10756" width="16.85546875" style="240" bestFit="1" customWidth="1"/>
    <col min="10757" max="10757" width="30.5703125" style="240" bestFit="1" customWidth="1"/>
    <col min="10758" max="10758" width="13.85546875" style="240" bestFit="1" customWidth="1"/>
    <col min="10759" max="10759" width="19.85546875" style="240" bestFit="1" customWidth="1"/>
    <col min="10760" max="10760" width="20.42578125" style="240" bestFit="1" customWidth="1"/>
    <col min="10761" max="10761" width="18.85546875" style="240" bestFit="1" customWidth="1"/>
    <col min="10762" max="10762" width="19.5703125" style="240" bestFit="1" customWidth="1"/>
    <col min="10763" max="11008" width="9.140625" style="240"/>
    <col min="11009" max="11009" width="11.42578125" style="240" bestFit="1" customWidth="1"/>
    <col min="11010" max="11010" width="19.85546875" style="240" customWidth="1"/>
    <col min="11011" max="11011" width="17" style="240" bestFit="1" customWidth="1"/>
    <col min="11012" max="11012" width="16.85546875" style="240" bestFit="1" customWidth="1"/>
    <col min="11013" max="11013" width="30.5703125" style="240" bestFit="1" customWidth="1"/>
    <col min="11014" max="11014" width="13.85546875" style="240" bestFit="1" customWidth="1"/>
    <col min="11015" max="11015" width="19.85546875" style="240" bestFit="1" customWidth="1"/>
    <col min="11016" max="11016" width="20.42578125" style="240" bestFit="1" customWidth="1"/>
    <col min="11017" max="11017" width="18.85546875" style="240" bestFit="1" customWidth="1"/>
    <col min="11018" max="11018" width="19.5703125" style="240" bestFit="1" customWidth="1"/>
    <col min="11019" max="11264" width="9.140625" style="240"/>
    <col min="11265" max="11265" width="11.42578125" style="240" bestFit="1" customWidth="1"/>
    <col min="11266" max="11266" width="19.85546875" style="240" customWidth="1"/>
    <col min="11267" max="11267" width="17" style="240" bestFit="1" customWidth="1"/>
    <col min="11268" max="11268" width="16.85546875" style="240" bestFit="1" customWidth="1"/>
    <col min="11269" max="11269" width="30.5703125" style="240" bestFit="1" customWidth="1"/>
    <col min="11270" max="11270" width="13.85546875" style="240" bestFit="1" customWidth="1"/>
    <col min="11271" max="11271" width="19.85546875" style="240" bestFit="1" customWidth="1"/>
    <col min="11272" max="11272" width="20.42578125" style="240" bestFit="1" customWidth="1"/>
    <col min="11273" max="11273" width="18.85546875" style="240" bestFit="1" customWidth="1"/>
    <col min="11274" max="11274" width="19.5703125" style="240" bestFit="1" customWidth="1"/>
    <col min="11275" max="11520" width="9.140625" style="240"/>
    <col min="11521" max="11521" width="11.42578125" style="240" bestFit="1" customWidth="1"/>
    <col min="11522" max="11522" width="19.85546875" style="240" customWidth="1"/>
    <col min="11523" max="11523" width="17" style="240" bestFit="1" customWidth="1"/>
    <col min="11524" max="11524" width="16.85546875" style="240" bestFit="1" customWidth="1"/>
    <col min="11525" max="11525" width="30.5703125" style="240" bestFit="1" customWidth="1"/>
    <col min="11526" max="11526" width="13.85546875" style="240" bestFit="1" customWidth="1"/>
    <col min="11527" max="11527" width="19.85546875" style="240" bestFit="1" customWidth="1"/>
    <col min="11528" max="11528" width="20.42578125" style="240" bestFit="1" customWidth="1"/>
    <col min="11529" max="11529" width="18.85546875" style="240" bestFit="1" customWidth="1"/>
    <col min="11530" max="11530" width="19.5703125" style="240" bestFit="1" customWidth="1"/>
    <col min="11531" max="11776" width="9.140625" style="240"/>
    <col min="11777" max="11777" width="11.42578125" style="240" bestFit="1" customWidth="1"/>
    <col min="11778" max="11778" width="19.85546875" style="240" customWidth="1"/>
    <col min="11779" max="11779" width="17" style="240" bestFit="1" customWidth="1"/>
    <col min="11780" max="11780" width="16.85546875" style="240" bestFit="1" customWidth="1"/>
    <col min="11781" max="11781" width="30.5703125" style="240" bestFit="1" customWidth="1"/>
    <col min="11782" max="11782" width="13.85546875" style="240" bestFit="1" customWidth="1"/>
    <col min="11783" max="11783" width="19.85546875" style="240" bestFit="1" customWidth="1"/>
    <col min="11784" max="11784" width="20.42578125" style="240" bestFit="1" customWidth="1"/>
    <col min="11785" max="11785" width="18.85546875" style="240" bestFit="1" customWidth="1"/>
    <col min="11786" max="11786" width="19.5703125" style="240" bestFit="1" customWidth="1"/>
    <col min="11787" max="12032" width="9.140625" style="240"/>
    <col min="12033" max="12033" width="11.42578125" style="240" bestFit="1" customWidth="1"/>
    <col min="12034" max="12034" width="19.85546875" style="240" customWidth="1"/>
    <col min="12035" max="12035" width="17" style="240" bestFit="1" customWidth="1"/>
    <col min="12036" max="12036" width="16.85546875" style="240" bestFit="1" customWidth="1"/>
    <col min="12037" max="12037" width="30.5703125" style="240" bestFit="1" customWidth="1"/>
    <col min="12038" max="12038" width="13.85546875" style="240" bestFit="1" customWidth="1"/>
    <col min="12039" max="12039" width="19.85546875" style="240" bestFit="1" customWidth="1"/>
    <col min="12040" max="12040" width="20.42578125" style="240" bestFit="1" customWidth="1"/>
    <col min="12041" max="12041" width="18.85546875" style="240" bestFit="1" customWidth="1"/>
    <col min="12042" max="12042" width="19.5703125" style="240" bestFit="1" customWidth="1"/>
    <col min="12043" max="12288" width="9.140625" style="240"/>
    <col min="12289" max="12289" width="11.42578125" style="240" bestFit="1" customWidth="1"/>
    <col min="12290" max="12290" width="19.85546875" style="240" customWidth="1"/>
    <col min="12291" max="12291" width="17" style="240" bestFit="1" customWidth="1"/>
    <col min="12292" max="12292" width="16.85546875" style="240" bestFit="1" customWidth="1"/>
    <col min="12293" max="12293" width="30.5703125" style="240" bestFit="1" customWidth="1"/>
    <col min="12294" max="12294" width="13.85546875" style="240" bestFit="1" customWidth="1"/>
    <col min="12295" max="12295" width="19.85546875" style="240" bestFit="1" customWidth="1"/>
    <col min="12296" max="12296" width="20.42578125" style="240" bestFit="1" customWidth="1"/>
    <col min="12297" max="12297" width="18.85546875" style="240" bestFit="1" customWidth="1"/>
    <col min="12298" max="12298" width="19.5703125" style="240" bestFit="1" customWidth="1"/>
    <col min="12299" max="12544" width="9.140625" style="240"/>
    <col min="12545" max="12545" width="11.42578125" style="240" bestFit="1" customWidth="1"/>
    <col min="12546" max="12546" width="19.85546875" style="240" customWidth="1"/>
    <col min="12547" max="12547" width="17" style="240" bestFit="1" customWidth="1"/>
    <col min="12548" max="12548" width="16.85546875" style="240" bestFit="1" customWidth="1"/>
    <col min="12549" max="12549" width="30.5703125" style="240" bestFit="1" customWidth="1"/>
    <col min="12550" max="12550" width="13.85546875" style="240" bestFit="1" customWidth="1"/>
    <col min="12551" max="12551" width="19.85546875" style="240" bestFit="1" customWidth="1"/>
    <col min="12552" max="12552" width="20.42578125" style="240" bestFit="1" customWidth="1"/>
    <col min="12553" max="12553" width="18.85546875" style="240" bestFit="1" customWidth="1"/>
    <col min="12554" max="12554" width="19.5703125" style="240" bestFit="1" customWidth="1"/>
    <col min="12555" max="12800" width="9.140625" style="240"/>
    <col min="12801" max="12801" width="11.42578125" style="240" bestFit="1" customWidth="1"/>
    <col min="12802" max="12802" width="19.85546875" style="240" customWidth="1"/>
    <col min="12803" max="12803" width="17" style="240" bestFit="1" customWidth="1"/>
    <col min="12804" max="12804" width="16.85546875" style="240" bestFit="1" customWidth="1"/>
    <col min="12805" max="12805" width="30.5703125" style="240" bestFit="1" customWidth="1"/>
    <col min="12806" max="12806" width="13.85546875" style="240" bestFit="1" customWidth="1"/>
    <col min="12807" max="12807" width="19.85546875" style="240" bestFit="1" customWidth="1"/>
    <col min="12808" max="12808" width="20.42578125" style="240" bestFit="1" customWidth="1"/>
    <col min="12809" max="12809" width="18.85546875" style="240" bestFit="1" customWidth="1"/>
    <col min="12810" max="12810" width="19.5703125" style="240" bestFit="1" customWidth="1"/>
    <col min="12811" max="13056" width="9.140625" style="240"/>
    <col min="13057" max="13057" width="11.42578125" style="240" bestFit="1" customWidth="1"/>
    <col min="13058" max="13058" width="19.85546875" style="240" customWidth="1"/>
    <col min="13059" max="13059" width="17" style="240" bestFit="1" customWidth="1"/>
    <col min="13060" max="13060" width="16.85546875" style="240" bestFit="1" customWidth="1"/>
    <col min="13061" max="13061" width="30.5703125" style="240" bestFit="1" customWidth="1"/>
    <col min="13062" max="13062" width="13.85546875" style="240" bestFit="1" customWidth="1"/>
    <col min="13063" max="13063" width="19.85546875" style="240" bestFit="1" customWidth="1"/>
    <col min="13064" max="13064" width="20.42578125" style="240" bestFit="1" customWidth="1"/>
    <col min="13065" max="13065" width="18.85546875" style="240" bestFit="1" customWidth="1"/>
    <col min="13066" max="13066" width="19.5703125" style="240" bestFit="1" customWidth="1"/>
    <col min="13067" max="13312" width="9.140625" style="240"/>
    <col min="13313" max="13313" width="11.42578125" style="240" bestFit="1" customWidth="1"/>
    <col min="13314" max="13314" width="19.85546875" style="240" customWidth="1"/>
    <col min="13315" max="13315" width="17" style="240" bestFit="1" customWidth="1"/>
    <col min="13316" max="13316" width="16.85546875" style="240" bestFit="1" customWidth="1"/>
    <col min="13317" max="13317" width="30.5703125" style="240" bestFit="1" customWidth="1"/>
    <col min="13318" max="13318" width="13.85546875" style="240" bestFit="1" customWidth="1"/>
    <col min="13319" max="13319" width="19.85546875" style="240" bestFit="1" customWidth="1"/>
    <col min="13320" max="13320" width="20.42578125" style="240" bestFit="1" customWidth="1"/>
    <col min="13321" max="13321" width="18.85546875" style="240" bestFit="1" customWidth="1"/>
    <col min="13322" max="13322" width="19.5703125" style="240" bestFit="1" customWidth="1"/>
    <col min="13323" max="13568" width="9.140625" style="240"/>
    <col min="13569" max="13569" width="11.42578125" style="240" bestFit="1" customWidth="1"/>
    <col min="13570" max="13570" width="19.85546875" style="240" customWidth="1"/>
    <col min="13571" max="13571" width="17" style="240" bestFit="1" customWidth="1"/>
    <col min="13572" max="13572" width="16.85546875" style="240" bestFit="1" customWidth="1"/>
    <col min="13573" max="13573" width="30.5703125" style="240" bestFit="1" customWidth="1"/>
    <col min="13574" max="13574" width="13.85546875" style="240" bestFit="1" customWidth="1"/>
    <col min="13575" max="13575" width="19.85546875" style="240" bestFit="1" customWidth="1"/>
    <col min="13576" max="13576" width="20.42578125" style="240" bestFit="1" customWidth="1"/>
    <col min="13577" max="13577" width="18.85546875" style="240" bestFit="1" customWidth="1"/>
    <col min="13578" max="13578" width="19.5703125" style="240" bestFit="1" customWidth="1"/>
    <col min="13579" max="13824" width="9.140625" style="240"/>
    <col min="13825" max="13825" width="11.42578125" style="240" bestFit="1" customWidth="1"/>
    <col min="13826" max="13826" width="19.85546875" style="240" customWidth="1"/>
    <col min="13827" max="13827" width="17" style="240" bestFit="1" customWidth="1"/>
    <col min="13828" max="13828" width="16.85546875" style="240" bestFit="1" customWidth="1"/>
    <col min="13829" max="13829" width="30.5703125" style="240" bestFit="1" customWidth="1"/>
    <col min="13830" max="13830" width="13.85546875" style="240" bestFit="1" customWidth="1"/>
    <col min="13831" max="13831" width="19.85546875" style="240" bestFit="1" customWidth="1"/>
    <col min="13832" max="13832" width="20.42578125" style="240" bestFit="1" customWidth="1"/>
    <col min="13833" max="13833" width="18.85546875" style="240" bestFit="1" customWidth="1"/>
    <col min="13834" max="13834" width="19.5703125" style="240" bestFit="1" customWidth="1"/>
    <col min="13835" max="14080" width="9.140625" style="240"/>
    <col min="14081" max="14081" width="11.42578125" style="240" bestFit="1" customWidth="1"/>
    <col min="14082" max="14082" width="19.85546875" style="240" customWidth="1"/>
    <col min="14083" max="14083" width="17" style="240" bestFit="1" customWidth="1"/>
    <col min="14084" max="14084" width="16.85546875" style="240" bestFit="1" customWidth="1"/>
    <col min="14085" max="14085" width="30.5703125" style="240" bestFit="1" customWidth="1"/>
    <col min="14086" max="14086" width="13.85546875" style="240" bestFit="1" customWidth="1"/>
    <col min="14087" max="14087" width="19.85546875" style="240" bestFit="1" customWidth="1"/>
    <col min="14088" max="14088" width="20.42578125" style="240" bestFit="1" customWidth="1"/>
    <col min="14089" max="14089" width="18.85546875" style="240" bestFit="1" customWidth="1"/>
    <col min="14090" max="14090" width="19.5703125" style="240" bestFit="1" customWidth="1"/>
    <col min="14091" max="14336" width="9.140625" style="240"/>
    <col min="14337" max="14337" width="11.42578125" style="240" bestFit="1" customWidth="1"/>
    <col min="14338" max="14338" width="19.85546875" style="240" customWidth="1"/>
    <col min="14339" max="14339" width="17" style="240" bestFit="1" customWidth="1"/>
    <col min="14340" max="14340" width="16.85546875" style="240" bestFit="1" customWidth="1"/>
    <col min="14341" max="14341" width="30.5703125" style="240" bestFit="1" customWidth="1"/>
    <col min="14342" max="14342" width="13.85546875" style="240" bestFit="1" customWidth="1"/>
    <col min="14343" max="14343" width="19.85546875" style="240" bestFit="1" customWidth="1"/>
    <col min="14344" max="14344" width="20.42578125" style="240" bestFit="1" customWidth="1"/>
    <col min="14345" max="14345" width="18.85546875" style="240" bestFit="1" customWidth="1"/>
    <col min="14346" max="14346" width="19.5703125" style="240" bestFit="1" customWidth="1"/>
    <col min="14347" max="14592" width="9.140625" style="240"/>
    <col min="14593" max="14593" width="11.42578125" style="240" bestFit="1" customWidth="1"/>
    <col min="14594" max="14594" width="19.85546875" style="240" customWidth="1"/>
    <col min="14595" max="14595" width="17" style="240" bestFit="1" customWidth="1"/>
    <col min="14596" max="14596" width="16.85546875" style="240" bestFit="1" customWidth="1"/>
    <col min="14597" max="14597" width="30.5703125" style="240" bestFit="1" customWidth="1"/>
    <col min="14598" max="14598" width="13.85546875" style="240" bestFit="1" customWidth="1"/>
    <col min="14599" max="14599" width="19.85546875" style="240" bestFit="1" customWidth="1"/>
    <col min="14600" max="14600" width="20.42578125" style="240" bestFit="1" customWidth="1"/>
    <col min="14601" max="14601" width="18.85546875" style="240" bestFit="1" customWidth="1"/>
    <col min="14602" max="14602" width="19.5703125" style="240" bestFit="1" customWidth="1"/>
    <col min="14603" max="14848" width="9.140625" style="240"/>
    <col min="14849" max="14849" width="11.42578125" style="240" bestFit="1" customWidth="1"/>
    <col min="14850" max="14850" width="19.85546875" style="240" customWidth="1"/>
    <col min="14851" max="14851" width="17" style="240" bestFit="1" customWidth="1"/>
    <col min="14852" max="14852" width="16.85546875" style="240" bestFit="1" customWidth="1"/>
    <col min="14853" max="14853" width="30.5703125" style="240" bestFit="1" customWidth="1"/>
    <col min="14854" max="14854" width="13.85546875" style="240" bestFit="1" customWidth="1"/>
    <col min="14855" max="14855" width="19.85546875" style="240" bestFit="1" customWidth="1"/>
    <col min="14856" max="14856" width="20.42578125" style="240" bestFit="1" customWidth="1"/>
    <col min="14857" max="14857" width="18.85546875" style="240" bestFit="1" customWidth="1"/>
    <col min="14858" max="14858" width="19.5703125" style="240" bestFit="1" customWidth="1"/>
    <col min="14859" max="15104" width="9.140625" style="240"/>
    <col min="15105" max="15105" width="11.42578125" style="240" bestFit="1" customWidth="1"/>
    <col min="15106" max="15106" width="19.85546875" style="240" customWidth="1"/>
    <col min="15107" max="15107" width="17" style="240" bestFit="1" customWidth="1"/>
    <col min="15108" max="15108" width="16.85546875" style="240" bestFit="1" customWidth="1"/>
    <col min="15109" max="15109" width="30.5703125" style="240" bestFit="1" customWidth="1"/>
    <col min="15110" max="15110" width="13.85546875" style="240" bestFit="1" customWidth="1"/>
    <col min="15111" max="15111" width="19.85546875" style="240" bestFit="1" customWidth="1"/>
    <col min="15112" max="15112" width="20.42578125" style="240" bestFit="1" customWidth="1"/>
    <col min="15113" max="15113" width="18.85546875" style="240" bestFit="1" customWidth="1"/>
    <col min="15114" max="15114" width="19.5703125" style="240" bestFit="1" customWidth="1"/>
    <col min="15115" max="15360" width="9.140625" style="240"/>
    <col min="15361" max="15361" width="11.42578125" style="240" bestFit="1" customWidth="1"/>
    <col min="15362" max="15362" width="19.85546875" style="240" customWidth="1"/>
    <col min="15363" max="15363" width="17" style="240" bestFit="1" customWidth="1"/>
    <col min="15364" max="15364" width="16.85546875" style="240" bestFit="1" customWidth="1"/>
    <col min="15365" max="15365" width="30.5703125" style="240" bestFit="1" customWidth="1"/>
    <col min="15366" max="15366" width="13.85546875" style="240" bestFit="1" customWidth="1"/>
    <col min="15367" max="15367" width="19.85546875" style="240" bestFit="1" customWidth="1"/>
    <col min="15368" max="15368" width="20.42578125" style="240" bestFit="1" customWidth="1"/>
    <col min="15369" max="15369" width="18.85546875" style="240" bestFit="1" customWidth="1"/>
    <col min="15370" max="15370" width="19.5703125" style="240" bestFit="1" customWidth="1"/>
    <col min="15371" max="15616" width="9.140625" style="240"/>
    <col min="15617" max="15617" width="11.42578125" style="240" bestFit="1" customWidth="1"/>
    <col min="15618" max="15618" width="19.85546875" style="240" customWidth="1"/>
    <col min="15619" max="15619" width="17" style="240" bestFit="1" customWidth="1"/>
    <col min="15620" max="15620" width="16.85546875" style="240" bestFit="1" customWidth="1"/>
    <col min="15621" max="15621" width="30.5703125" style="240" bestFit="1" customWidth="1"/>
    <col min="15622" max="15622" width="13.85546875" style="240" bestFit="1" customWidth="1"/>
    <col min="15623" max="15623" width="19.85546875" style="240" bestFit="1" customWidth="1"/>
    <col min="15624" max="15624" width="20.42578125" style="240" bestFit="1" customWidth="1"/>
    <col min="15625" max="15625" width="18.85546875" style="240" bestFit="1" customWidth="1"/>
    <col min="15626" max="15626" width="19.5703125" style="240" bestFit="1" customWidth="1"/>
    <col min="15627" max="15872" width="9.140625" style="240"/>
    <col min="15873" max="15873" width="11.42578125" style="240" bestFit="1" customWidth="1"/>
    <col min="15874" max="15874" width="19.85546875" style="240" customWidth="1"/>
    <col min="15875" max="15875" width="17" style="240" bestFit="1" customWidth="1"/>
    <col min="15876" max="15876" width="16.85546875" style="240" bestFit="1" customWidth="1"/>
    <col min="15877" max="15877" width="30.5703125" style="240" bestFit="1" customWidth="1"/>
    <col min="15878" max="15878" width="13.85546875" style="240" bestFit="1" customWidth="1"/>
    <col min="15879" max="15879" width="19.85546875" style="240" bestFit="1" customWidth="1"/>
    <col min="15880" max="15880" width="20.42578125" style="240" bestFit="1" customWidth="1"/>
    <col min="15881" max="15881" width="18.85546875" style="240" bestFit="1" customWidth="1"/>
    <col min="15882" max="15882" width="19.5703125" style="240" bestFit="1" customWidth="1"/>
    <col min="15883" max="16128" width="9.140625" style="240"/>
    <col min="16129" max="16129" width="11.42578125" style="240" bestFit="1" customWidth="1"/>
    <col min="16130" max="16130" width="19.85546875" style="240" customWidth="1"/>
    <col min="16131" max="16131" width="17" style="240" bestFit="1" customWidth="1"/>
    <col min="16132" max="16132" width="16.85546875" style="240" bestFit="1" customWidth="1"/>
    <col min="16133" max="16133" width="30.5703125" style="240" bestFit="1" customWidth="1"/>
    <col min="16134" max="16134" width="13.85546875" style="240" bestFit="1" customWidth="1"/>
    <col min="16135" max="16135" width="19.85546875" style="240" bestFit="1" customWidth="1"/>
    <col min="16136" max="16136" width="20.42578125" style="240" bestFit="1" customWidth="1"/>
    <col min="16137" max="16137" width="18.85546875" style="240" bestFit="1" customWidth="1"/>
    <col min="16138" max="16138" width="19.5703125" style="240" bestFit="1" customWidth="1"/>
    <col min="16139" max="16384" width="9.140625" style="240"/>
  </cols>
  <sheetData>
    <row r="1" spans="1:10">
      <c r="A1" s="241" t="s">
        <v>1347</v>
      </c>
    </row>
    <row r="2" spans="1:10" ht="15">
      <c r="A2" s="653" t="s">
        <v>1092</v>
      </c>
      <c r="B2" s="654" t="s">
        <v>123</v>
      </c>
      <c r="C2" s="654" t="s">
        <v>1093</v>
      </c>
      <c r="D2" s="654" t="s">
        <v>1094</v>
      </c>
      <c r="E2" s="654" t="s">
        <v>1095</v>
      </c>
      <c r="F2" s="654" t="s">
        <v>1096</v>
      </c>
      <c r="G2" s="654" t="s">
        <v>1097</v>
      </c>
      <c r="H2" s="654" t="s">
        <v>1098</v>
      </c>
      <c r="I2" s="654" t="s">
        <v>1099</v>
      </c>
      <c r="J2" s="655" t="s">
        <v>1100</v>
      </c>
    </row>
    <row r="3" spans="1:10">
      <c r="A3" s="656">
        <v>2013</v>
      </c>
      <c r="B3" s="657" t="s">
        <v>92</v>
      </c>
      <c r="C3" s="657" t="s">
        <v>1101</v>
      </c>
      <c r="D3" s="657" t="s">
        <v>1102</v>
      </c>
      <c r="E3" s="657" t="s">
        <v>1103</v>
      </c>
      <c r="F3" s="657" t="s">
        <v>1107</v>
      </c>
      <c r="G3" s="658">
        <v>2261020.9700000002</v>
      </c>
      <c r="H3" s="659">
        <v>0.25810741187160602</v>
      </c>
      <c r="I3" s="658"/>
      <c r="J3" s="660"/>
    </row>
    <row r="4" spans="1:10">
      <c r="A4" s="661">
        <v>2010</v>
      </c>
      <c r="B4" s="662" t="s">
        <v>92</v>
      </c>
      <c r="C4" s="662" t="s">
        <v>1101</v>
      </c>
      <c r="D4" s="662" t="s">
        <v>1102</v>
      </c>
      <c r="E4" s="662" t="s">
        <v>1103</v>
      </c>
      <c r="F4" s="662" t="s">
        <v>1104</v>
      </c>
      <c r="G4" s="663"/>
      <c r="H4" s="664"/>
      <c r="I4" s="663">
        <v>15630775.558521423</v>
      </c>
      <c r="J4" s="665">
        <v>1.784335109420254</v>
      </c>
    </row>
    <row r="5" spans="1:10">
      <c r="A5" s="666">
        <v>2011</v>
      </c>
      <c r="B5" s="667" t="s">
        <v>92</v>
      </c>
      <c r="C5" s="667" t="s">
        <v>1101</v>
      </c>
      <c r="D5" s="667" t="s">
        <v>1102</v>
      </c>
      <c r="E5" s="667" t="s">
        <v>1103</v>
      </c>
      <c r="F5" s="667" t="s">
        <v>1104</v>
      </c>
      <c r="G5" s="668">
        <v>1216067.6969999999</v>
      </c>
      <c r="H5" s="669">
        <v>0.13882051035761833</v>
      </c>
      <c r="I5" s="668">
        <v>15731345.73489205</v>
      </c>
      <c r="J5" s="670">
        <v>1.7958157231611929</v>
      </c>
    </row>
    <row r="6" spans="1:10">
      <c r="A6" s="661">
        <v>2012</v>
      </c>
      <c r="B6" s="662" t="s">
        <v>92</v>
      </c>
      <c r="C6" s="662" t="s">
        <v>1101</v>
      </c>
      <c r="D6" s="662" t="s">
        <v>1102</v>
      </c>
      <c r="E6" s="662" t="s">
        <v>1103</v>
      </c>
      <c r="F6" s="662" t="s">
        <v>1104</v>
      </c>
      <c r="G6" s="663"/>
      <c r="H6" s="664"/>
      <c r="I6" s="663">
        <v>15829811.495069351</v>
      </c>
      <c r="J6" s="665">
        <v>1.8070561067430768</v>
      </c>
    </row>
    <row r="7" spans="1:10">
      <c r="A7" s="666">
        <v>2013</v>
      </c>
      <c r="B7" s="667" t="s">
        <v>92</v>
      </c>
      <c r="C7" s="667" t="s">
        <v>1101</v>
      </c>
      <c r="D7" s="667" t="s">
        <v>1102</v>
      </c>
      <c r="E7" s="667" t="s">
        <v>1103</v>
      </c>
      <c r="F7" s="667" t="s">
        <v>1104</v>
      </c>
      <c r="G7" s="668">
        <v>2395982.4</v>
      </c>
      <c r="H7" s="669">
        <v>0.27351397648453712</v>
      </c>
      <c r="I7" s="668">
        <v>15924022.472824674</v>
      </c>
      <c r="J7" s="670">
        <v>1.8178107845690268</v>
      </c>
    </row>
    <row r="8" spans="1:10">
      <c r="A8" s="661">
        <v>2010</v>
      </c>
      <c r="B8" s="662" t="s">
        <v>92</v>
      </c>
      <c r="C8" s="662" t="s">
        <v>1101</v>
      </c>
      <c r="D8" s="662" t="s">
        <v>1102</v>
      </c>
      <c r="E8" s="662" t="s">
        <v>1105</v>
      </c>
      <c r="F8" s="662" t="s">
        <v>1104</v>
      </c>
      <c r="G8" s="663"/>
      <c r="H8" s="664"/>
      <c r="I8" s="663">
        <v>7104330.1263442915</v>
      </c>
      <c r="J8" s="665">
        <v>0.81099658976533007</v>
      </c>
    </row>
    <row r="9" spans="1:10">
      <c r="A9" s="666">
        <v>2011</v>
      </c>
      <c r="B9" s="667" t="s">
        <v>92</v>
      </c>
      <c r="C9" s="667" t="s">
        <v>1101</v>
      </c>
      <c r="D9" s="667" t="s">
        <v>1102</v>
      </c>
      <c r="E9" s="667" t="s">
        <v>1105</v>
      </c>
      <c r="F9" s="667" t="s">
        <v>1104</v>
      </c>
      <c r="G9" s="668"/>
      <c r="H9" s="669"/>
      <c r="I9" s="668">
        <v>7104330.1263442915</v>
      </c>
      <c r="J9" s="670">
        <v>0.81099658976533007</v>
      </c>
    </row>
    <row r="10" spans="1:10">
      <c r="A10" s="661">
        <v>2012</v>
      </c>
      <c r="B10" s="662" t="s">
        <v>92</v>
      </c>
      <c r="C10" s="662" t="s">
        <v>1101</v>
      </c>
      <c r="D10" s="662" t="s">
        <v>1102</v>
      </c>
      <c r="E10" s="662" t="s">
        <v>1105</v>
      </c>
      <c r="F10" s="662" t="s">
        <v>1104</v>
      </c>
      <c r="G10" s="663"/>
      <c r="H10" s="664"/>
      <c r="I10" s="663">
        <v>7104330.1263442915</v>
      </c>
      <c r="J10" s="665">
        <v>0.81099658976533007</v>
      </c>
    </row>
    <row r="11" spans="1:10">
      <c r="A11" s="666">
        <v>2013</v>
      </c>
      <c r="B11" s="667" t="s">
        <v>92</v>
      </c>
      <c r="C11" s="667" t="s">
        <v>1101</v>
      </c>
      <c r="D11" s="667" t="s">
        <v>1102</v>
      </c>
      <c r="E11" s="667" t="s">
        <v>1105</v>
      </c>
      <c r="F11" s="667" t="s">
        <v>1104</v>
      </c>
      <c r="G11" s="668">
        <v>1657485.9468999999</v>
      </c>
      <c r="H11" s="669">
        <v>0.18921073153614998</v>
      </c>
      <c r="I11" s="668">
        <v>7104330.1263442915</v>
      </c>
      <c r="J11" s="670">
        <v>0.81099658976533007</v>
      </c>
    </row>
    <row r="12" spans="1:10">
      <c r="A12" s="661">
        <v>2011</v>
      </c>
      <c r="B12" s="662" t="s">
        <v>92</v>
      </c>
      <c r="C12" s="662" t="s">
        <v>1101</v>
      </c>
      <c r="D12" s="662" t="s">
        <v>1102</v>
      </c>
      <c r="E12" s="662" t="s">
        <v>1106</v>
      </c>
      <c r="F12" s="662" t="s">
        <v>1107</v>
      </c>
      <c r="G12" s="663">
        <v>1373543</v>
      </c>
      <c r="H12" s="664">
        <v>0.15679715177975595</v>
      </c>
      <c r="I12" s="663"/>
      <c r="J12" s="665"/>
    </row>
    <row r="13" spans="1:10">
      <c r="A13" s="666">
        <v>2010</v>
      </c>
      <c r="B13" s="667" t="s">
        <v>92</v>
      </c>
      <c r="C13" s="667" t="s">
        <v>1101</v>
      </c>
      <c r="D13" s="667" t="s">
        <v>1102</v>
      </c>
      <c r="E13" s="667" t="s">
        <v>1106</v>
      </c>
      <c r="F13" s="667" t="s">
        <v>1104</v>
      </c>
      <c r="G13" s="668">
        <v>919480.24</v>
      </c>
      <c r="H13" s="669">
        <v>0.10496349632740021</v>
      </c>
      <c r="I13" s="668"/>
      <c r="J13" s="670"/>
    </row>
    <row r="14" spans="1:10">
      <c r="A14" s="661">
        <v>2011</v>
      </c>
      <c r="B14" s="662" t="s">
        <v>92</v>
      </c>
      <c r="C14" s="662" t="s">
        <v>1101</v>
      </c>
      <c r="D14" s="662" t="s">
        <v>1102</v>
      </c>
      <c r="E14" s="662" t="s">
        <v>1106</v>
      </c>
      <c r="F14" s="662" t="s">
        <v>1104</v>
      </c>
      <c r="G14" s="663">
        <v>7854219.919999999</v>
      </c>
      <c r="H14" s="664">
        <v>0.89660044945776463</v>
      </c>
      <c r="I14" s="663"/>
      <c r="J14" s="665"/>
    </row>
    <row r="15" spans="1:10">
      <c r="A15" s="666">
        <v>2012</v>
      </c>
      <c r="B15" s="667" t="s">
        <v>92</v>
      </c>
      <c r="C15" s="667" t="s">
        <v>1101</v>
      </c>
      <c r="D15" s="667" t="s">
        <v>1102</v>
      </c>
      <c r="E15" s="667" t="s">
        <v>1106</v>
      </c>
      <c r="F15" s="667" t="s">
        <v>1104</v>
      </c>
      <c r="G15" s="668">
        <v>2772123.75</v>
      </c>
      <c r="H15" s="669">
        <v>0.31645247712731361</v>
      </c>
      <c r="I15" s="668"/>
      <c r="J15" s="670"/>
    </row>
    <row r="16" spans="1:10">
      <c r="H16" s="454"/>
      <c r="J16" s="454"/>
    </row>
    <row r="17" spans="1:10">
      <c r="H17" s="454"/>
      <c r="J17" s="454"/>
    </row>
    <row r="18" spans="1:10">
      <c r="H18" s="454"/>
      <c r="J18" s="454"/>
    </row>
    <row r="19" spans="1:10">
      <c r="A19" s="240" t="s">
        <v>1346</v>
      </c>
      <c r="G19" s="240" t="s">
        <v>1343</v>
      </c>
      <c r="H19" s="454">
        <f>SUM(H12:H15)</f>
        <v>1.4748135746922344</v>
      </c>
      <c r="J19" s="454"/>
    </row>
    <row r="20" spans="1:10">
      <c r="G20" s="240" t="s">
        <v>1344</v>
      </c>
      <c r="H20" s="671">
        <f>H19*0.5</f>
        <v>0.7374067873461172</v>
      </c>
      <c r="I20" s="240" t="s">
        <v>1353</v>
      </c>
    </row>
    <row r="21" spans="1:10">
      <c r="H21" s="673"/>
      <c r="I21" s="672"/>
      <c r="J21" s="673"/>
    </row>
    <row r="22" spans="1:10">
      <c r="H22" s="675"/>
      <c r="I22" s="672"/>
      <c r="J22" s="675"/>
    </row>
    <row r="23" spans="1:10">
      <c r="A23" s="240" t="s">
        <v>866</v>
      </c>
      <c r="B23" s="240" t="s">
        <v>1108</v>
      </c>
      <c r="H23" s="677"/>
      <c r="I23" s="482"/>
      <c r="J23" s="677"/>
    </row>
    <row r="24" spans="1:10">
      <c r="A24" s="240">
        <v>2010</v>
      </c>
      <c r="B24" s="454">
        <f>H4</f>
        <v>0</v>
      </c>
      <c r="H24" s="672"/>
      <c r="I24" s="672"/>
      <c r="J24" s="672"/>
    </row>
    <row r="25" spans="1:10">
      <c r="A25" s="240">
        <v>2011</v>
      </c>
      <c r="B25" s="454">
        <f>H5</f>
        <v>0.13882051035761833</v>
      </c>
      <c r="H25" s="672"/>
      <c r="I25" s="676"/>
      <c r="J25" s="672"/>
    </row>
    <row r="26" spans="1:10">
      <c r="A26" s="240">
        <v>2012</v>
      </c>
      <c r="B26" s="454">
        <f>H6</f>
        <v>0</v>
      </c>
    </row>
    <row r="27" spans="1:10">
      <c r="A27" s="241">
        <v>2013</v>
      </c>
      <c r="B27" s="454">
        <f>H3+H7</f>
        <v>0.53162138835614314</v>
      </c>
    </row>
    <row r="28" spans="1:10">
      <c r="A28" s="240" t="s">
        <v>1345</v>
      </c>
      <c r="B28" s="454">
        <f>H20</f>
        <v>0.7374067873461172</v>
      </c>
    </row>
    <row r="29" spans="1:10">
      <c r="A29" s="240" t="s">
        <v>677</v>
      </c>
      <c r="B29" s="454">
        <f>SUBTOTAL(109,B24:B28)</f>
        <v>1.4078486860598787</v>
      </c>
    </row>
    <row r="30" spans="1:10">
      <c r="A30" s="672" t="s">
        <v>1109</v>
      </c>
      <c r="B30" s="673">
        <f>B29/4</f>
        <v>0.35196217151496967</v>
      </c>
    </row>
    <row r="32" spans="1:10">
      <c r="A32" s="240" t="s">
        <v>1342</v>
      </c>
      <c r="B32" s="652">
        <f>B29+B30*2</f>
        <v>2.111773029089818</v>
      </c>
    </row>
  </sheetData>
  <pageMargins left="0.7" right="0.7" top="0.75" bottom="0.75" header="0.3" footer="0.3"/>
  <pageSetup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sheetPr codeName="Sheet14"/>
  <dimension ref="A1:E14"/>
  <sheetViews>
    <sheetView workbookViewId="0">
      <selection activeCell="C17" sqref="C17"/>
    </sheetView>
  </sheetViews>
  <sheetFormatPr defaultRowHeight="12.75"/>
  <cols>
    <col min="1" max="1" width="12.5703125" style="240" customWidth="1"/>
    <col min="2" max="2" width="60.28515625" style="240" customWidth="1"/>
    <col min="3" max="3" width="29.140625" style="240" customWidth="1"/>
    <col min="4" max="4" width="15" style="240" customWidth="1"/>
    <col min="5" max="5" width="46.85546875" style="240" customWidth="1"/>
    <col min="6" max="256" width="9.140625" style="240"/>
    <col min="257" max="257" width="12.5703125" style="240" customWidth="1"/>
    <col min="258" max="258" width="60.28515625" style="240" customWidth="1"/>
    <col min="259" max="259" width="29.140625" style="240" customWidth="1"/>
    <col min="260" max="260" width="15" style="240" customWidth="1"/>
    <col min="261" max="261" width="46.85546875" style="240" customWidth="1"/>
    <col min="262" max="512" width="9.140625" style="240"/>
    <col min="513" max="513" width="12.5703125" style="240" customWidth="1"/>
    <col min="514" max="514" width="60.28515625" style="240" customWidth="1"/>
    <col min="515" max="515" width="29.140625" style="240" customWidth="1"/>
    <col min="516" max="516" width="15" style="240" customWidth="1"/>
    <col min="517" max="517" width="46.85546875" style="240" customWidth="1"/>
    <col min="518" max="768" width="9.140625" style="240"/>
    <col min="769" max="769" width="12.5703125" style="240" customWidth="1"/>
    <col min="770" max="770" width="60.28515625" style="240" customWidth="1"/>
    <col min="771" max="771" width="29.140625" style="240" customWidth="1"/>
    <col min="772" max="772" width="15" style="240" customWidth="1"/>
    <col min="773" max="773" width="46.85546875" style="240" customWidth="1"/>
    <col min="774" max="1024" width="9.140625" style="240"/>
    <col min="1025" max="1025" width="12.5703125" style="240" customWidth="1"/>
    <col min="1026" max="1026" width="60.28515625" style="240" customWidth="1"/>
    <col min="1027" max="1027" width="29.140625" style="240" customWidth="1"/>
    <col min="1028" max="1028" width="15" style="240" customWidth="1"/>
    <col min="1029" max="1029" width="46.85546875" style="240" customWidth="1"/>
    <col min="1030" max="1280" width="9.140625" style="240"/>
    <col min="1281" max="1281" width="12.5703125" style="240" customWidth="1"/>
    <col min="1282" max="1282" width="60.28515625" style="240" customWidth="1"/>
    <col min="1283" max="1283" width="29.140625" style="240" customWidth="1"/>
    <col min="1284" max="1284" width="15" style="240" customWidth="1"/>
    <col min="1285" max="1285" width="46.85546875" style="240" customWidth="1"/>
    <col min="1286" max="1536" width="9.140625" style="240"/>
    <col min="1537" max="1537" width="12.5703125" style="240" customWidth="1"/>
    <col min="1538" max="1538" width="60.28515625" style="240" customWidth="1"/>
    <col min="1539" max="1539" width="29.140625" style="240" customWidth="1"/>
    <col min="1540" max="1540" width="15" style="240" customWidth="1"/>
    <col min="1541" max="1541" width="46.85546875" style="240" customWidth="1"/>
    <col min="1542" max="1792" width="9.140625" style="240"/>
    <col min="1793" max="1793" width="12.5703125" style="240" customWidth="1"/>
    <col min="1794" max="1794" width="60.28515625" style="240" customWidth="1"/>
    <col min="1795" max="1795" width="29.140625" style="240" customWidth="1"/>
    <col min="1796" max="1796" width="15" style="240" customWidth="1"/>
    <col min="1797" max="1797" width="46.85546875" style="240" customWidth="1"/>
    <col min="1798" max="2048" width="9.140625" style="240"/>
    <col min="2049" max="2049" width="12.5703125" style="240" customWidth="1"/>
    <col min="2050" max="2050" width="60.28515625" style="240" customWidth="1"/>
    <col min="2051" max="2051" width="29.140625" style="240" customWidth="1"/>
    <col min="2052" max="2052" width="15" style="240" customWidth="1"/>
    <col min="2053" max="2053" width="46.85546875" style="240" customWidth="1"/>
    <col min="2054" max="2304" width="9.140625" style="240"/>
    <col min="2305" max="2305" width="12.5703125" style="240" customWidth="1"/>
    <col min="2306" max="2306" width="60.28515625" style="240" customWidth="1"/>
    <col min="2307" max="2307" width="29.140625" style="240" customWidth="1"/>
    <col min="2308" max="2308" width="15" style="240" customWidth="1"/>
    <col min="2309" max="2309" width="46.85546875" style="240" customWidth="1"/>
    <col min="2310" max="2560" width="9.140625" style="240"/>
    <col min="2561" max="2561" width="12.5703125" style="240" customWidth="1"/>
    <col min="2562" max="2562" width="60.28515625" style="240" customWidth="1"/>
    <col min="2563" max="2563" width="29.140625" style="240" customWidth="1"/>
    <col min="2564" max="2564" width="15" style="240" customWidth="1"/>
    <col min="2565" max="2565" width="46.85546875" style="240" customWidth="1"/>
    <col min="2566" max="2816" width="9.140625" style="240"/>
    <col min="2817" max="2817" width="12.5703125" style="240" customWidth="1"/>
    <col min="2818" max="2818" width="60.28515625" style="240" customWidth="1"/>
    <col min="2819" max="2819" width="29.140625" style="240" customWidth="1"/>
    <col min="2820" max="2820" width="15" style="240" customWidth="1"/>
    <col min="2821" max="2821" width="46.85546875" style="240" customWidth="1"/>
    <col min="2822" max="3072" width="9.140625" style="240"/>
    <col min="3073" max="3073" width="12.5703125" style="240" customWidth="1"/>
    <col min="3074" max="3074" width="60.28515625" style="240" customWidth="1"/>
    <col min="3075" max="3075" width="29.140625" style="240" customWidth="1"/>
    <col min="3076" max="3076" width="15" style="240" customWidth="1"/>
    <col min="3077" max="3077" width="46.85546875" style="240" customWidth="1"/>
    <col min="3078" max="3328" width="9.140625" style="240"/>
    <col min="3329" max="3329" width="12.5703125" style="240" customWidth="1"/>
    <col min="3330" max="3330" width="60.28515625" style="240" customWidth="1"/>
    <col min="3331" max="3331" width="29.140625" style="240" customWidth="1"/>
    <col min="3332" max="3332" width="15" style="240" customWidth="1"/>
    <col min="3333" max="3333" width="46.85546875" style="240" customWidth="1"/>
    <col min="3334" max="3584" width="9.140625" style="240"/>
    <col min="3585" max="3585" width="12.5703125" style="240" customWidth="1"/>
    <col min="3586" max="3586" width="60.28515625" style="240" customWidth="1"/>
    <col min="3587" max="3587" width="29.140625" style="240" customWidth="1"/>
    <col min="3588" max="3588" width="15" style="240" customWidth="1"/>
    <col min="3589" max="3589" width="46.85546875" style="240" customWidth="1"/>
    <col min="3590" max="3840" width="9.140625" style="240"/>
    <col min="3841" max="3841" width="12.5703125" style="240" customWidth="1"/>
    <col min="3842" max="3842" width="60.28515625" style="240" customWidth="1"/>
    <col min="3843" max="3843" width="29.140625" style="240" customWidth="1"/>
    <col min="3844" max="3844" width="15" style="240" customWidth="1"/>
    <col min="3845" max="3845" width="46.85546875" style="240" customWidth="1"/>
    <col min="3846" max="4096" width="9.140625" style="240"/>
    <col min="4097" max="4097" width="12.5703125" style="240" customWidth="1"/>
    <col min="4098" max="4098" width="60.28515625" style="240" customWidth="1"/>
    <col min="4099" max="4099" width="29.140625" style="240" customWidth="1"/>
    <col min="4100" max="4100" width="15" style="240" customWidth="1"/>
    <col min="4101" max="4101" width="46.85546875" style="240" customWidth="1"/>
    <col min="4102" max="4352" width="9.140625" style="240"/>
    <col min="4353" max="4353" width="12.5703125" style="240" customWidth="1"/>
    <col min="4354" max="4354" width="60.28515625" style="240" customWidth="1"/>
    <col min="4355" max="4355" width="29.140625" style="240" customWidth="1"/>
    <col min="4356" max="4356" width="15" style="240" customWidth="1"/>
    <col min="4357" max="4357" width="46.85546875" style="240" customWidth="1"/>
    <col min="4358" max="4608" width="9.140625" style="240"/>
    <col min="4609" max="4609" width="12.5703125" style="240" customWidth="1"/>
    <col min="4610" max="4610" width="60.28515625" style="240" customWidth="1"/>
    <col min="4611" max="4611" width="29.140625" style="240" customWidth="1"/>
    <col min="4612" max="4612" width="15" style="240" customWidth="1"/>
    <col min="4613" max="4613" width="46.85546875" style="240" customWidth="1"/>
    <col min="4614" max="4864" width="9.140625" style="240"/>
    <col min="4865" max="4865" width="12.5703125" style="240" customWidth="1"/>
    <col min="4866" max="4866" width="60.28515625" style="240" customWidth="1"/>
    <col min="4867" max="4867" width="29.140625" style="240" customWidth="1"/>
    <col min="4868" max="4868" width="15" style="240" customWidth="1"/>
    <col min="4869" max="4869" width="46.85546875" style="240" customWidth="1"/>
    <col min="4870" max="5120" width="9.140625" style="240"/>
    <col min="5121" max="5121" width="12.5703125" style="240" customWidth="1"/>
    <col min="5122" max="5122" width="60.28515625" style="240" customWidth="1"/>
    <col min="5123" max="5123" width="29.140625" style="240" customWidth="1"/>
    <col min="5124" max="5124" width="15" style="240" customWidth="1"/>
    <col min="5125" max="5125" width="46.85546875" style="240" customWidth="1"/>
    <col min="5126" max="5376" width="9.140625" style="240"/>
    <col min="5377" max="5377" width="12.5703125" style="240" customWidth="1"/>
    <col min="5378" max="5378" width="60.28515625" style="240" customWidth="1"/>
    <col min="5379" max="5379" width="29.140625" style="240" customWidth="1"/>
    <col min="5380" max="5380" width="15" style="240" customWidth="1"/>
    <col min="5381" max="5381" width="46.85546875" style="240" customWidth="1"/>
    <col min="5382" max="5632" width="9.140625" style="240"/>
    <col min="5633" max="5633" width="12.5703125" style="240" customWidth="1"/>
    <col min="5634" max="5634" width="60.28515625" style="240" customWidth="1"/>
    <col min="5635" max="5635" width="29.140625" style="240" customWidth="1"/>
    <col min="5636" max="5636" width="15" style="240" customWidth="1"/>
    <col min="5637" max="5637" width="46.85546875" style="240" customWidth="1"/>
    <col min="5638" max="5888" width="9.140625" style="240"/>
    <col min="5889" max="5889" width="12.5703125" style="240" customWidth="1"/>
    <col min="5890" max="5890" width="60.28515625" style="240" customWidth="1"/>
    <col min="5891" max="5891" width="29.140625" style="240" customWidth="1"/>
    <col min="5892" max="5892" width="15" style="240" customWidth="1"/>
    <col min="5893" max="5893" width="46.85546875" style="240" customWidth="1"/>
    <col min="5894" max="6144" width="9.140625" style="240"/>
    <col min="6145" max="6145" width="12.5703125" style="240" customWidth="1"/>
    <col min="6146" max="6146" width="60.28515625" style="240" customWidth="1"/>
    <col min="6147" max="6147" width="29.140625" style="240" customWidth="1"/>
    <col min="6148" max="6148" width="15" style="240" customWidth="1"/>
    <col min="6149" max="6149" width="46.85546875" style="240" customWidth="1"/>
    <col min="6150" max="6400" width="9.140625" style="240"/>
    <col min="6401" max="6401" width="12.5703125" style="240" customWidth="1"/>
    <col min="6402" max="6402" width="60.28515625" style="240" customWidth="1"/>
    <col min="6403" max="6403" width="29.140625" style="240" customWidth="1"/>
    <col min="6404" max="6404" width="15" style="240" customWidth="1"/>
    <col min="6405" max="6405" width="46.85546875" style="240" customWidth="1"/>
    <col min="6406" max="6656" width="9.140625" style="240"/>
    <col min="6657" max="6657" width="12.5703125" style="240" customWidth="1"/>
    <col min="6658" max="6658" width="60.28515625" style="240" customWidth="1"/>
    <col min="6659" max="6659" width="29.140625" style="240" customWidth="1"/>
    <col min="6660" max="6660" width="15" style="240" customWidth="1"/>
    <col min="6661" max="6661" width="46.85546875" style="240" customWidth="1"/>
    <col min="6662" max="6912" width="9.140625" style="240"/>
    <col min="6913" max="6913" width="12.5703125" style="240" customWidth="1"/>
    <col min="6914" max="6914" width="60.28515625" style="240" customWidth="1"/>
    <col min="6915" max="6915" width="29.140625" style="240" customWidth="1"/>
    <col min="6916" max="6916" width="15" style="240" customWidth="1"/>
    <col min="6917" max="6917" width="46.85546875" style="240" customWidth="1"/>
    <col min="6918" max="7168" width="9.140625" style="240"/>
    <col min="7169" max="7169" width="12.5703125" style="240" customWidth="1"/>
    <col min="7170" max="7170" width="60.28515625" style="240" customWidth="1"/>
    <col min="7171" max="7171" width="29.140625" style="240" customWidth="1"/>
    <col min="7172" max="7172" width="15" style="240" customWidth="1"/>
    <col min="7173" max="7173" width="46.85546875" style="240" customWidth="1"/>
    <col min="7174" max="7424" width="9.140625" style="240"/>
    <col min="7425" max="7425" width="12.5703125" style="240" customWidth="1"/>
    <col min="7426" max="7426" width="60.28515625" style="240" customWidth="1"/>
    <col min="7427" max="7427" width="29.140625" style="240" customWidth="1"/>
    <col min="7428" max="7428" width="15" style="240" customWidth="1"/>
    <col min="7429" max="7429" width="46.85546875" style="240" customWidth="1"/>
    <col min="7430" max="7680" width="9.140625" style="240"/>
    <col min="7681" max="7681" width="12.5703125" style="240" customWidth="1"/>
    <col min="7682" max="7682" width="60.28515625" style="240" customWidth="1"/>
    <col min="7683" max="7683" width="29.140625" style="240" customWidth="1"/>
    <col min="7684" max="7684" width="15" style="240" customWidth="1"/>
    <col min="7685" max="7685" width="46.85546875" style="240" customWidth="1"/>
    <col min="7686" max="7936" width="9.140625" style="240"/>
    <col min="7937" max="7937" width="12.5703125" style="240" customWidth="1"/>
    <col min="7938" max="7938" width="60.28515625" style="240" customWidth="1"/>
    <col min="7939" max="7939" width="29.140625" style="240" customWidth="1"/>
    <col min="7940" max="7940" width="15" style="240" customWidth="1"/>
    <col min="7941" max="7941" width="46.85546875" style="240" customWidth="1"/>
    <col min="7942" max="8192" width="9.140625" style="240"/>
    <col min="8193" max="8193" width="12.5703125" style="240" customWidth="1"/>
    <col min="8194" max="8194" width="60.28515625" style="240" customWidth="1"/>
    <col min="8195" max="8195" width="29.140625" style="240" customWidth="1"/>
    <col min="8196" max="8196" width="15" style="240" customWidth="1"/>
    <col min="8197" max="8197" width="46.85546875" style="240" customWidth="1"/>
    <col min="8198" max="8448" width="9.140625" style="240"/>
    <col min="8449" max="8449" width="12.5703125" style="240" customWidth="1"/>
    <col min="8450" max="8450" width="60.28515625" style="240" customWidth="1"/>
    <col min="8451" max="8451" width="29.140625" style="240" customWidth="1"/>
    <col min="8452" max="8452" width="15" style="240" customWidth="1"/>
    <col min="8453" max="8453" width="46.85546875" style="240" customWidth="1"/>
    <col min="8454" max="8704" width="9.140625" style="240"/>
    <col min="8705" max="8705" width="12.5703125" style="240" customWidth="1"/>
    <col min="8706" max="8706" width="60.28515625" style="240" customWidth="1"/>
    <col min="8707" max="8707" width="29.140625" style="240" customWidth="1"/>
    <col min="8708" max="8708" width="15" style="240" customWidth="1"/>
    <col min="8709" max="8709" width="46.85546875" style="240" customWidth="1"/>
    <col min="8710" max="8960" width="9.140625" style="240"/>
    <col min="8961" max="8961" width="12.5703125" style="240" customWidth="1"/>
    <col min="8962" max="8962" width="60.28515625" style="240" customWidth="1"/>
    <col min="8963" max="8963" width="29.140625" style="240" customWidth="1"/>
    <col min="8964" max="8964" width="15" style="240" customWidth="1"/>
    <col min="8965" max="8965" width="46.85546875" style="240" customWidth="1"/>
    <col min="8966" max="9216" width="9.140625" style="240"/>
    <col min="9217" max="9217" width="12.5703125" style="240" customWidth="1"/>
    <col min="9218" max="9218" width="60.28515625" style="240" customWidth="1"/>
    <col min="9219" max="9219" width="29.140625" style="240" customWidth="1"/>
    <col min="9220" max="9220" width="15" style="240" customWidth="1"/>
    <col min="9221" max="9221" width="46.85546875" style="240" customWidth="1"/>
    <col min="9222" max="9472" width="9.140625" style="240"/>
    <col min="9473" max="9473" width="12.5703125" style="240" customWidth="1"/>
    <col min="9474" max="9474" width="60.28515625" style="240" customWidth="1"/>
    <col min="9475" max="9475" width="29.140625" style="240" customWidth="1"/>
    <col min="9476" max="9476" width="15" style="240" customWidth="1"/>
    <col min="9477" max="9477" width="46.85546875" style="240" customWidth="1"/>
    <col min="9478" max="9728" width="9.140625" style="240"/>
    <col min="9729" max="9729" width="12.5703125" style="240" customWidth="1"/>
    <col min="9730" max="9730" width="60.28515625" style="240" customWidth="1"/>
    <col min="9731" max="9731" width="29.140625" style="240" customWidth="1"/>
    <col min="9732" max="9732" width="15" style="240" customWidth="1"/>
    <col min="9733" max="9733" width="46.85546875" style="240" customWidth="1"/>
    <col min="9734" max="9984" width="9.140625" style="240"/>
    <col min="9985" max="9985" width="12.5703125" style="240" customWidth="1"/>
    <col min="9986" max="9986" width="60.28515625" style="240" customWidth="1"/>
    <col min="9987" max="9987" width="29.140625" style="240" customWidth="1"/>
    <col min="9988" max="9988" width="15" style="240" customWidth="1"/>
    <col min="9989" max="9989" width="46.85546875" style="240" customWidth="1"/>
    <col min="9990" max="10240" width="9.140625" style="240"/>
    <col min="10241" max="10241" width="12.5703125" style="240" customWidth="1"/>
    <col min="10242" max="10242" width="60.28515625" style="240" customWidth="1"/>
    <col min="10243" max="10243" width="29.140625" style="240" customWidth="1"/>
    <col min="10244" max="10244" width="15" style="240" customWidth="1"/>
    <col min="10245" max="10245" width="46.85546875" style="240" customWidth="1"/>
    <col min="10246" max="10496" width="9.140625" style="240"/>
    <col min="10497" max="10497" width="12.5703125" style="240" customWidth="1"/>
    <col min="10498" max="10498" width="60.28515625" style="240" customWidth="1"/>
    <col min="10499" max="10499" width="29.140625" style="240" customWidth="1"/>
    <col min="10500" max="10500" width="15" style="240" customWidth="1"/>
    <col min="10501" max="10501" width="46.85546875" style="240" customWidth="1"/>
    <col min="10502" max="10752" width="9.140625" style="240"/>
    <col min="10753" max="10753" width="12.5703125" style="240" customWidth="1"/>
    <col min="10754" max="10754" width="60.28515625" style="240" customWidth="1"/>
    <col min="10755" max="10755" width="29.140625" style="240" customWidth="1"/>
    <col min="10756" max="10756" width="15" style="240" customWidth="1"/>
    <col min="10757" max="10757" width="46.85546875" style="240" customWidth="1"/>
    <col min="10758" max="11008" width="9.140625" style="240"/>
    <col min="11009" max="11009" width="12.5703125" style="240" customWidth="1"/>
    <col min="11010" max="11010" width="60.28515625" style="240" customWidth="1"/>
    <col min="11011" max="11011" width="29.140625" style="240" customWidth="1"/>
    <col min="11012" max="11012" width="15" style="240" customWidth="1"/>
    <col min="11013" max="11013" width="46.85546875" style="240" customWidth="1"/>
    <col min="11014" max="11264" width="9.140625" style="240"/>
    <col min="11265" max="11265" width="12.5703125" style="240" customWidth="1"/>
    <col min="11266" max="11266" width="60.28515625" style="240" customWidth="1"/>
    <col min="11267" max="11267" width="29.140625" style="240" customWidth="1"/>
    <col min="11268" max="11268" width="15" style="240" customWidth="1"/>
    <col min="11269" max="11269" width="46.85546875" style="240" customWidth="1"/>
    <col min="11270" max="11520" width="9.140625" style="240"/>
    <col min="11521" max="11521" width="12.5703125" style="240" customWidth="1"/>
    <col min="11522" max="11522" width="60.28515625" style="240" customWidth="1"/>
    <col min="11523" max="11523" width="29.140625" style="240" customWidth="1"/>
    <col min="11524" max="11524" width="15" style="240" customWidth="1"/>
    <col min="11525" max="11525" width="46.85546875" style="240" customWidth="1"/>
    <col min="11526" max="11776" width="9.140625" style="240"/>
    <col min="11777" max="11777" width="12.5703125" style="240" customWidth="1"/>
    <col min="11778" max="11778" width="60.28515625" style="240" customWidth="1"/>
    <col min="11779" max="11779" width="29.140625" style="240" customWidth="1"/>
    <col min="11780" max="11780" width="15" style="240" customWidth="1"/>
    <col min="11781" max="11781" width="46.85546875" style="240" customWidth="1"/>
    <col min="11782" max="12032" width="9.140625" style="240"/>
    <col min="12033" max="12033" width="12.5703125" style="240" customWidth="1"/>
    <col min="12034" max="12034" width="60.28515625" style="240" customWidth="1"/>
    <col min="12035" max="12035" width="29.140625" style="240" customWidth="1"/>
    <col min="12036" max="12036" width="15" style="240" customWidth="1"/>
    <col min="12037" max="12037" width="46.85546875" style="240" customWidth="1"/>
    <col min="12038" max="12288" width="9.140625" style="240"/>
    <col min="12289" max="12289" width="12.5703125" style="240" customWidth="1"/>
    <col min="12290" max="12290" width="60.28515625" style="240" customWidth="1"/>
    <col min="12291" max="12291" width="29.140625" style="240" customWidth="1"/>
    <col min="12292" max="12292" width="15" style="240" customWidth="1"/>
    <col min="12293" max="12293" width="46.85546875" style="240" customWidth="1"/>
    <col min="12294" max="12544" width="9.140625" style="240"/>
    <col min="12545" max="12545" width="12.5703125" style="240" customWidth="1"/>
    <col min="12546" max="12546" width="60.28515625" style="240" customWidth="1"/>
    <col min="12547" max="12547" width="29.140625" style="240" customWidth="1"/>
    <col min="12548" max="12548" width="15" style="240" customWidth="1"/>
    <col min="12549" max="12549" width="46.85546875" style="240" customWidth="1"/>
    <col min="12550" max="12800" width="9.140625" style="240"/>
    <col min="12801" max="12801" width="12.5703125" style="240" customWidth="1"/>
    <col min="12802" max="12802" width="60.28515625" style="240" customWidth="1"/>
    <col min="12803" max="12803" width="29.140625" style="240" customWidth="1"/>
    <col min="12804" max="12804" width="15" style="240" customWidth="1"/>
    <col min="12805" max="12805" width="46.85546875" style="240" customWidth="1"/>
    <col min="12806" max="13056" width="9.140625" style="240"/>
    <col min="13057" max="13057" width="12.5703125" style="240" customWidth="1"/>
    <col min="13058" max="13058" width="60.28515625" style="240" customWidth="1"/>
    <col min="13059" max="13059" width="29.140625" style="240" customWidth="1"/>
    <col min="13060" max="13060" width="15" style="240" customWidth="1"/>
    <col min="13061" max="13061" width="46.85546875" style="240" customWidth="1"/>
    <col min="13062" max="13312" width="9.140625" style="240"/>
    <col min="13313" max="13313" width="12.5703125" style="240" customWidth="1"/>
    <col min="13314" max="13314" width="60.28515625" style="240" customWidth="1"/>
    <col min="13315" max="13315" width="29.140625" style="240" customWidth="1"/>
    <col min="13316" max="13316" width="15" style="240" customWidth="1"/>
    <col min="13317" max="13317" width="46.85546875" style="240" customWidth="1"/>
    <col min="13318" max="13568" width="9.140625" style="240"/>
    <col min="13569" max="13569" width="12.5703125" style="240" customWidth="1"/>
    <col min="13570" max="13570" width="60.28515625" style="240" customWidth="1"/>
    <col min="13571" max="13571" width="29.140625" style="240" customWidth="1"/>
    <col min="13572" max="13572" width="15" style="240" customWidth="1"/>
    <col min="13573" max="13573" width="46.85546875" style="240" customWidth="1"/>
    <col min="13574" max="13824" width="9.140625" style="240"/>
    <col min="13825" max="13825" width="12.5703125" style="240" customWidth="1"/>
    <col min="13826" max="13826" width="60.28515625" style="240" customWidth="1"/>
    <col min="13827" max="13827" width="29.140625" style="240" customWidth="1"/>
    <col min="13828" max="13828" width="15" style="240" customWidth="1"/>
    <col min="13829" max="13829" width="46.85546875" style="240" customWidth="1"/>
    <col min="13830" max="14080" width="9.140625" style="240"/>
    <col min="14081" max="14081" width="12.5703125" style="240" customWidth="1"/>
    <col min="14082" max="14082" width="60.28515625" style="240" customWidth="1"/>
    <col min="14083" max="14083" width="29.140625" style="240" customWidth="1"/>
    <col min="14084" max="14084" width="15" style="240" customWidth="1"/>
    <col min="14085" max="14085" width="46.85546875" style="240" customWidth="1"/>
    <col min="14086" max="14336" width="9.140625" style="240"/>
    <col min="14337" max="14337" width="12.5703125" style="240" customWidth="1"/>
    <col min="14338" max="14338" width="60.28515625" style="240" customWidth="1"/>
    <col min="14339" max="14339" width="29.140625" style="240" customWidth="1"/>
    <col min="14340" max="14340" width="15" style="240" customWidth="1"/>
    <col min="14341" max="14341" width="46.85546875" style="240" customWidth="1"/>
    <col min="14342" max="14592" width="9.140625" style="240"/>
    <col min="14593" max="14593" width="12.5703125" style="240" customWidth="1"/>
    <col min="14594" max="14594" width="60.28515625" style="240" customWidth="1"/>
    <col min="14595" max="14595" width="29.140625" style="240" customWidth="1"/>
    <col min="14596" max="14596" width="15" style="240" customWidth="1"/>
    <col min="14597" max="14597" width="46.85546875" style="240" customWidth="1"/>
    <col min="14598" max="14848" width="9.140625" style="240"/>
    <col min="14849" max="14849" width="12.5703125" style="240" customWidth="1"/>
    <col min="14850" max="14850" width="60.28515625" style="240" customWidth="1"/>
    <col min="14851" max="14851" width="29.140625" style="240" customWidth="1"/>
    <col min="14852" max="14852" width="15" style="240" customWidth="1"/>
    <col min="14853" max="14853" width="46.85546875" style="240" customWidth="1"/>
    <col min="14854" max="15104" width="9.140625" style="240"/>
    <col min="15105" max="15105" width="12.5703125" style="240" customWidth="1"/>
    <col min="15106" max="15106" width="60.28515625" style="240" customWidth="1"/>
    <col min="15107" max="15107" width="29.140625" style="240" customWidth="1"/>
    <col min="15108" max="15108" width="15" style="240" customWidth="1"/>
    <col min="15109" max="15109" width="46.85546875" style="240" customWidth="1"/>
    <col min="15110" max="15360" width="9.140625" style="240"/>
    <col min="15361" max="15361" width="12.5703125" style="240" customWidth="1"/>
    <col min="15362" max="15362" width="60.28515625" style="240" customWidth="1"/>
    <col min="15363" max="15363" width="29.140625" style="240" customWidth="1"/>
    <col min="15364" max="15364" width="15" style="240" customWidth="1"/>
    <col min="15365" max="15365" width="46.85546875" style="240" customWidth="1"/>
    <col min="15366" max="15616" width="9.140625" style="240"/>
    <col min="15617" max="15617" width="12.5703125" style="240" customWidth="1"/>
    <col min="15618" max="15618" width="60.28515625" style="240" customWidth="1"/>
    <col min="15619" max="15619" width="29.140625" style="240" customWidth="1"/>
    <col min="15620" max="15620" width="15" style="240" customWidth="1"/>
    <col min="15621" max="15621" width="46.85546875" style="240" customWidth="1"/>
    <col min="15622" max="15872" width="9.140625" style="240"/>
    <col min="15873" max="15873" width="12.5703125" style="240" customWidth="1"/>
    <col min="15874" max="15874" width="60.28515625" style="240" customWidth="1"/>
    <col min="15875" max="15875" width="29.140625" style="240" customWidth="1"/>
    <col min="15876" max="15876" width="15" style="240" customWidth="1"/>
    <col min="15877" max="15877" width="46.85546875" style="240" customWidth="1"/>
    <col min="15878" max="16128" width="9.140625" style="240"/>
    <col min="16129" max="16129" width="12.5703125" style="240" customWidth="1"/>
    <col min="16130" max="16130" width="60.28515625" style="240" customWidth="1"/>
    <col min="16131" max="16131" width="29.140625" style="240" customWidth="1"/>
    <col min="16132" max="16132" width="15" style="240" customWidth="1"/>
    <col min="16133" max="16133" width="46.85546875" style="240" customWidth="1"/>
    <col min="16134" max="16384" width="9.140625" style="240"/>
  </cols>
  <sheetData>
    <row r="1" spans="1:5" s="466" customFormat="1">
      <c r="A1" s="465" t="str">
        <f ca="1">CELL("filename")</f>
        <v>Q:\SeventhPlan\Conservation Analysis\Com\[COM-WaterSupply-7P_V5.xlsm]Measure InputOutput</v>
      </c>
    </row>
    <row r="2" spans="1:5" s="466" customFormat="1"/>
    <row r="3" spans="1:5" s="466" customFormat="1">
      <c r="A3" s="557" t="s">
        <v>1110</v>
      </c>
      <c r="B3" s="557" t="s">
        <v>1125</v>
      </c>
      <c r="C3" s="557" t="s">
        <v>1126</v>
      </c>
      <c r="D3" s="557" t="s">
        <v>1127</v>
      </c>
      <c r="E3" s="557" t="s">
        <v>1128</v>
      </c>
    </row>
    <row r="4" spans="1:5">
      <c r="B4" s="240" t="s">
        <v>1129</v>
      </c>
      <c r="D4" s="467">
        <v>41852</v>
      </c>
    </row>
    <row r="5" spans="1:5" s="241" customFormat="1">
      <c r="B5" s="241" t="s">
        <v>1130</v>
      </c>
      <c r="C5" s="241" t="s">
        <v>1131</v>
      </c>
      <c r="D5" s="467">
        <v>41852</v>
      </c>
      <c r="E5" s="241" t="s">
        <v>1132</v>
      </c>
    </row>
    <row r="6" spans="1:5" s="241" customFormat="1">
      <c r="B6" s="241" t="s">
        <v>1133</v>
      </c>
      <c r="C6" s="241" t="s">
        <v>1134</v>
      </c>
      <c r="E6" s="241" t="s">
        <v>1212</v>
      </c>
    </row>
    <row r="7" spans="1:5">
      <c r="B7" s="241" t="s">
        <v>1135</v>
      </c>
      <c r="C7" s="241"/>
      <c r="D7" s="241"/>
    </row>
    <row r="8" spans="1:5">
      <c r="B8" s="240" t="s">
        <v>1136</v>
      </c>
      <c r="C8" s="241" t="s">
        <v>1137</v>
      </c>
      <c r="D8" s="468">
        <v>41891</v>
      </c>
    </row>
    <row r="9" spans="1:5">
      <c r="B9" s="240" t="s">
        <v>1138</v>
      </c>
      <c r="C9" s="240" t="s">
        <v>1218</v>
      </c>
      <c r="D9" s="468">
        <v>41890</v>
      </c>
    </row>
    <row r="10" spans="1:5">
      <c r="B10" s="241" t="s">
        <v>1213</v>
      </c>
      <c r="C10" s="240" t="s">
        <v>1211</v>
      </c>
      <c r="D10" s="468"/>
    </row>
    <row r="11" spans="1:5">
      <c r="B11" s="241" t="s">
        <v>1139</v>
      </c>
      <c r="C11" s="240" t="s">
        <v>1210</v>
      </c>
      <c r="D11" s="468">
        <v>41892</v>
      </c>
    </row>
    <row r="12" spans="1:5">
      <c r="B12" s="240" t="s">
        <v>1166</v>
      </c>
      <c r="D12" s="590">
        <v>41948</v>
      </c>
    </row>
    <row r="13" spans="1:5">
      <c r="B13" s="240" t="s">
        <v>1217</v>
      </c>
    </row>
    <row r="14" spans="1:5">
      <c r="B14" s="240" t="s">
        <v>1216</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sheetPr codeName="Sheet2">
    <tabColor theme="0" tint="-0.34998626667073579"/>
  </sheetPr>
  <dimension ref="A1:M72"/>
  <sheetViews>
    <sheetView workbookViewId="0">
      <selection activeCell="F17" sqref="F17"/>
    </sheetView>
  </sheetViews>
  <sheetFormatPr defaultColWidth="9.140625" defaultRowHeight="12.75"/>
  <cols>
    <col min="1" max="1" width="58.140625" style="24" customWidth="1"/>
    <col min="2" max="2" width="26.28515625" style="24" customWidth="1"/>
    <col min="3" max="7" width="17.85546875" style="24" customWidth="1"/>
    <col min="8" max="8" width="9.140625" style="24"/>
    <col min="9" max="9" width="48.140625" style="24" customWidth="1"/>
    <col min="10" max="10" width="11.5703125" style="24" customWidth="1"/>
    <col min="11" max="11" width="8.7109375" style="24" customWidth="1"/>
    <col min="12" max="16384" width="9.140625" style="24"/>
  </cols>
  <sheetData>
    <row r="1" spans="1:11">
      <c r="A1" s="24">
        <v>1</v>
      </c>
      <c r="B1" s="24">
        <v>2</v>
      </c>
      <c r="C1" s="24">
        <v>3</v>
      </c>
      <c r="D1" s="24">
        <v>4</v>
      </c>
      <c r="E1" s="24">
        <v>5</v>
      </c>
      <c r="F1" s="24">
        <v>6</v>
      </c>
      <c r="G1" s="24">
        <v>7</v>
      </c>
      <c r="H1" s="24">
        <v>8</v>
      </c>
      <c r="I1" s="24">
        <v>9</v>
      </c>
      <c r="J1" s="24">
        <v>10</v>
      </c>
      <c r="K1" s="24">
        <v>11</v>
      </c>
    </row>
    <row r="2" spans="1:11">
      <c r="A2" s="559" t="s">
        <v>66</v>
      </c>
      <c r="B2" s="23">
        <f>40%+12%</f>
        <v>0.52</v>
      </c>
    </row>
    <row r="3" spans="1:11">
      <c r="A3" s="558" t="s">
        <v>45</v>
      </c>
      <c r="B3" s="558" t="s">
        <v>6</v>
      </c>
      <c r="C3" s="558" t="s">
        <v>67</v>
      </c>
      <c r="D3" s="558" t="s">
        <v>68</v>
      </c>
      <c r="E3" s="558" t="s">
        <v>69</v>
      </c>
      <c r="I3" s="26" t="s">
        <v>44</v>
      </c>
      <c r="J3" s="26" t="s">
        <v>8</v>
      </c>
    </row>
    <row r="4" spans="1:11">
      <c r="A4" s="27" t="s">
        <v>17</v>
      </c>
      <c r="B4" s="28">
        <v>3.9E-2</v>
      </c>
      <c r="C4" s="28">
        <v>4.3999999999999997E-2</v>
      </c>
      <c r="D4" s="28">
        <v>4.9000000000000002E-2</v>
      </c>
      <c r="E4" s="28">
        <v>0.05</v>
      </c>
      <c r="I4" s="29" t="s">
        <v>46</v>
      </c>
      <c r="J4" s="29">
        <v>20</v>
      </c>
    </row>
    <row r="5" spans="1:11">
      <c r="A5" s="27" t="s">
        <v>0</v>
      </c>
      <c r="B5" s="27">
        <v>15</v>
      </c>
      <c r="C5" s="27">
        <v>1</v>
      </c>
      <c r="D5" s="27">
        <v>1</v>
      </c>
      <c r="E5" s="27">
        <v>1</v>
      </c>
      <c r="I5" s="29" t="s">
        <v>47</v>
      </c>
      <c r="J5" s="29">
        <v>2015</v>
      </c>
    </row>
    <row r="6" spans="1:11">
      <c r="A6" s="27" t="s">
        <v>16</v>
      </c>
      <c r="B6" s="30">
        <v>0.35</v>
      </c>
      <c r="C6" s="30">
        <v>0.2</v>
      </c>
      <c r="D6" s="30">
        <v>0.45</v>
      </c>
      <c r="E6" s="31">
        <v>0</v>
      </c>
      <c r="I6" s="29" t="s">
        <v>48</v>
      </c>
      <c r="J6" s="29">
        <v>2015</v>
      </c>
    </row>
    <row r="7" spans="1:11">
      <c r="A7" s="27" t="s">
        <v>15</v>
      </c>
      <c r="B7" s="31">
        <v>1</v>
      </c>
      <c r="C7" s="31">
        <v>0</v>
      </c>
      <c r="D7" s="31">
        <v>0</v>
      </c>
      <c r="E7" s="31">
        <v>0</v>
      </c>
      <c r="I7" s="29" t="s">
        <v>1</v>
      </c>
      <c r="J7" s="29">
        <v>2012</v>
      </c>
    </row>
    <row r="8" spans="1:11">
      <c r="A8" s="27" t="s">
        <v>14</v>
      </c>
      <c r="B8" s="31">
        <v>1</v>
      </c>
      <c r="C8" s="31">
        <v>0</v>
      </c>
      <c r="D8" s="31">
        <v>0</v>
      </c>
      <c r="E8" s="31">
        <v>0</v>
      </c>
      <c r="I8" s="29" t="s">
        <v>49</v>
      </c>
      <c r="J8" s="32">
        <v>0.04</v>
      </c>
    </row>
    <row r="9" spans="1:11">
      <c r="A9" s="27" t="s">
        <v>70</v>
      </c>
      <c r="B9" s="31">
        <v>0</v>
      </c>
      <c r="C9" s="31">
        <v>0.5</v>
      </c>
      <c r="D9" s="31">
        <v>0.5</v>
      </c>
      <c r="E9" s="31">
        <v>0</v>
      </c>
      <c r="I9" s="29" t="s">
        <v>36</v>
      </c>
      <c r="J9" s="32">
        <v>0</v>
      </c>
    </row>
    <row r="10" spans="1:11">
      <c r="A10" s="27" t="s">
        <v>71</v>
      </c>
      <c r="B10" s="27"/>
      <c r="C10" s="27">
        <v>20</v>
      </c>
      <c r="D10" s="27"/>
      <c r="E10" s="27"/>
      <c r="I10" s="29" t="s">
        <v>18</v>
      </c>
      <c r="J10" s="32">
        <v>0.2</v>
      </c>
    </row>
    <row r="11" spans="1:11">
      <c r="A11" s="33"/>
      <c r="B11" s="33"/>
      <c r="C11" s="33"/>
      <c r="D11" s="33"/>
      <c r="E11" s="33"/>
      <c r="I11" s="29" t="s">
        <v>50</v>
      </c>
      <c r="J11" s="32">
        <v>0.1</v>
      </c>
    </row>
    <row r="12" spans="1:11">
      <c r="A12" s="34" t="s">
        <v>72</v>
      </c>
      <c r="B12" s="23">
        <f>22%+4%+7%</f>
        <v>0.33</v>
      </c>
      <c r="I12" s="29" t="s">
        <v>19</v>
      </c>
      <c r="J12" s="29">
        <v>2018</v>
      </c>
    </row>
    <row r="13" spans="1:11">
      <c r="A13" s="25" t="s">
        <v>45</v>
      </c>
      <c r="B13" s="25" t="s">
        <v>6</v>
      </c>
      <c r="C13" s="25" t="s">
        <v>67</v>
      </c>
      <c r="D13" s="25" t="s">
        <v>68</v>
      </c>
      <c r="E13" s="25" t="s">
        <v>69</v>
      </c>
    </row>
    <row r="14" spans="1:11">
      <c r="A14" s="27" t="s">
        <v>17</v>
      </c>
      <c r="B14" s="28">
        <v>6.7000000000000004E-2</v>
      </c>
      <c r="C14" s="28">
        <v>4.3999999999999997E-2</v>
      </c>
      <c r="D14" s="28">
        <v>4.9000000000000002E-2</v>
      </c>
      <c r="E14" s="28">
        <v>0.05</v>
      </c>
      <c r="I14" s="26" t="s">
        <v>55</v>
      </c>
      <c r="J14" s="26" t="s">
        <v>38</v>
      </c>
      <c r="K14" s="26" t="s">
        <v>39</v>
      </c>
    </row>
    <row r="15" spans="1:11">
      <c r="A15" s="27" t="s">
        <v>0</v>
      </c>
      <c r="B15" s="35">
        <v>20</v>
      </c>
      <c r="C15" s="27">
        <v>1</v>
      </c>
      <c r="D15" s="27">
        <v>1</v>
      </c>
      <c r="E15" s="27">
        <v>1</v>
      </c>
      <c r="I15" s="29" t="s">
        <v>58</v>
      </c>
      <c r="J15" s="29" t="s">
        <v>60</v>
      </c>
      <c r="K15" s="29" t="s">
        <v>63</v>
      </c>
    </row>
    <row r="16" spans="1:11">
      <c r="A16" s="27" t="s">
        <v>16</v>
      </c>
      <c r="B16" s="30">
        <v>0.35</v>
      </c>
      <c r="C16" s="30">
        <v>0.1</v>
      </c>
      <c r="D16" s="30">
        <v>0.55000000000000004</v>
      </c>
      <c r="E16" s="31">
        <v>0</v>
      </c>
      <c r="I16" s="29" t="s">
        <v>10</v>
      </c>
      <c r="J16" s="36">
        <v>0</v>
      </c>
      <c r="K16" s="29">
        <v>0</v>
      </c>
    </row>
    <row r="17" spans="1:13">
      <c r="A17" s="27" t="s">
        <v>15</v>
      </c>
      <c r="B17" s="31">
        <v>1</v>
      </c>
      <c r="C17" s="31">
        <v>0</v>
      </c>
      <c r="D17" s="31">
        <v>0</v>
      </c>
      <c r="E17" s="31">
        <v>0</v>
      </c>
      <c r="I17" s="29" t="s">
        <v>59</v>
      </c>
      <c r="J17" s="29" t="s">
        <v>62</v>
      </c>
      <c r="K17" s="29" t="s">
        <v>61</v>
      </c>
    </row>
    <row r="18" spans="1:13">
      <c r="A18" s="27" t="s">
        <v>14</v>
      </c>
      <c r="B18" s="31">
        <v>1</v>
      </c>
      <c r="C18" s="31">
        <v>0</v>
      </c>
      <c r="D18" s="31">
        <v>0</v>
      </c>
      <c r="E18" s="31">
        <v>0</v>
      </c>
      <c r="I18" s="29" t="s">
        <v>11</v>
      </c>
      <c r="J18" s="36">
        <v>23</v>
      </c>
      <c r="K18" s="29">
        <v>0</v>
      </c>
    </row>
    <row r="19" spans="1:13">
      <c r="A19" s="27" t="s">
        <v>13</v>
      </c>
      <c r="B19" s="31">
        <v>0</v>
      </c>
      <c r="C19" s="31">
        <v>0.5</v>
      </c>
      <c r="D19" s="31">
        <v>0.5</v>
      </c>
      <c r="E19" s="31">
        <v>0</v>
      </c>
      <c r="I19" s="42" t="s">
        <v>96</v>
      </c>
      <c r="J19" s="29">
        <v>0</v>
      </c>
      <c r="K19" s="29">
        <v>0</v>
      </c>
      <c r="M19" s="43" t="s">
        <v>97</v>
      </c>
    </row>
    <row r="20" spans="1:13" ht="12.75" customHeight="1">
      <c r="A20" s="27" t="s">
        <v>71</v>
      </c>
      <c r="B20" s="27"/>
      <c r="C20" s="27">
        <v>20</v>
      </c>
      <c r="D20" s="27"/>
      <c r="E20" s="27"/>
      <c r="I20" s="42" t="s">
        <v>94</v>
      </c>
      <c r="J20" s="29">
        <v>58</v>
      </c>
      <c r="K20" s="29">
        <v>0</v>
      </c>
      <c r="M20" s="43" t="s">
        <v>98</v>
      </c>
    </row>
    <row r="21" spans="1:13">
      <c r="I21" s="42" t="s">
        <v>95</v>
      </c>
      <c r="J21" s="29">
        <v>43</v>
      </c>
      <c r="K21" s="29">
        <v>0</v>
      </c>
      <c r="M21" s="43" t="s">
        <v>99</v>
      </c>
    </row>
    <row r="22" spans="1:13">
      <c r="A22" s="34" t="s">
        <v>73</v>
      </c>
      <c r="B22" s="23">
        <f>13%</f>
        <v>0.13</v>
      </c>
    </row>
    <row r="23" spans="1:13">
      <c r="A23" s="25" t="s">
        <v>45</v>
      </c>
      <c r="B23" s="25" t="s">
        <v>6</v>
      </c>
      <c r="C23" s="25" t="s">
        <v>67</v>
      </c>
      <c r="D23" s="25" t="s">
        <v>68</v>
      </c>
      <c r="E23" s="25" t="s">
        <v>69</v>
      </c>
      <c r="I23" s="26" t="s">
        <v>74</v>
      </c>
    </row>
    <row r="24" spans="1:13">
      <c r="A24" s="27" t="s">
        <v>17</v>
      </c>
      <c r="B24" s="28">
        <v>7.5999999999999998E-2</v>
      </c>
      <c r="C24" s="28">
        <v>4.3999999999999997E-2</v>
      </c>
      <c r="D24" s="28">
        <v>4.9000000000000002E-2</v>
      </c>
      <c r="E24" s="28">
        <v>0.05</v>
      </c>
      <c r="I24" s="37">
        <f>116.567/100</f>
        <v>1.16567</v>
      </c>
    </row>
    <row r="25" spans="1:13">
      <c r="A25" s="27" t="s">
        <v>0</v>
      </c>
      <c r="B25" s="27">
        <v>20</v>
      </c>
      <c r="C25" s="27">
        <v>1</v>
      </c>
      <c r="D25" s="27">
        <v>1</v>
      </c>
      <c r="E25" s="27">
        <v>1</v>
      </c>
    </row>
    <row r="26" spans="1:13">
      <c r="A26" s="27" t="s">
        <v>16</v>
      </c>
      <c r="B26" s="30">
        <v>0.35</v>
      </c>
      <c r="C26" s="30">
        <v>0.1</v>
      </c>
      <c r="D26" s="30">
        <v>0.55000000000000004</v>
      </c>
      <c r="E26" s="31">
        <v>0</v>
      </c>
    </row>
    <row r="27" spans="1:13">
      <c r="A27" s="27" t="s">
        <v>15</v>
      </c>
      <c r="B27" s="31">
        <v>1</v>
      </c>
      <c r="C27" s="31">
        <v>0</v>
      </c>
      <c r="D27" s="31">
        <v>0</v>
      </c>
      <c r="E27" s="31">
        <v>0</v>
      </c>
    </row>
    <row r="28" spans="1:13">
      <c r="A28" s="27" t="s">
        <v>14</v>
      </c>
      <c r="B28" s="31">
        <v>1</v>
      </c>
      <c r="C28" s="31">
        <v>0</v>
      </c>
      <c r="D28" s="31">
        <v>0</v>
      </c>
      <c r="E28" s="31">
        <v>0</v>
      </c>
    </row>
    <row r="29" spans="1:13">
      <c r="A29" s="27" t="s">
        <v>13</v>
      </c>
      <c r="B29" s="31">
        <v>0</v>
      </c>
      <c r="C29" s="31">
        <v>0.5</v>
      </c>
      <c r="D29" s="31">
        <v>0.5</v>
      </c>
      <c r="E29" s="31">
        <v>0</v>
      </c>
    </row>
    <row r="30" spans="1:13" ht="14.25" customHeight="1">
      <c r="A30" s="27" t="s">
        <v>71</v>
      </c>
      <c r="B30" s="27"/>
      <c r="C30" s="27">
        <v>20</v>
      </c>
      <c r="D30" s="27"/>
      <c r="E30" s="27"/>
    </row>
    <row r="32" spans="1:13">
      <c r="A32" s="34" t="s">
        <v>75</v>
      </c>
      <c r="B32" s="23">
        <v>0.02</v>
      </c>
    </row>
    <row r="33" spans="1:9">
      <c r="A33" s="25" t="s">
        <v>45</v>
      </c>
      <c r="B33" s="25" t="s">
        <v>6</v>
      </c>
      <c r="C33" s="25" t="s">
        <v>67</v>
      </c>
      <c r="D33" s="25" t="s">
        <v>68</v>
      </c>
      <c r="E33" s="25" t="s">
        <v>69</v>
      </c>
      <c r="I33" s="46" t="s">
        <v>100</v>
      </c>
    </row>
    <row r="34" spans="1:9">
      <c r="A34" s="27" t="s">
        <v>17</v>
      </c>
      <c r="B34" s="28">
        <v>7.5999999999999998E-2</v>
      </c>
      <c r="C34" s="28">
        <v>4.3999999999999997E-2</v>
      </c>
      <c r="D34" s="28">
        <v>4.9000000000000002E-2</v>
      </c>
      <c r="E34" s="28">
        <v>0.05</v>
      </c>
      <c r="I34" s="44" t="s">
        <v>64</v>
      </c>
    </row>
    <row r="35" spans="1:9">
      <c r="A35" s="27" t="s">
        <v>0</v>
      </c>
      <c r="B35" s="27">
        <v>5</v>
      </c>
      <c r="C35" s="27">
        <v>1</v>
      </c>
      <c r="D35" s="27">
        <v>1</v>
      </c>
      <c r="E35" s="27">
        <v>1</v>
      </c>
      <c r="I35" s="99" t="s">
        <v>189</v>
      </c>
    </row>
    <row r="36" spans="1:9">
      <c r="A36" s="27" t="s">
        <v>16</v>
      </c>
      <c r="B36" s="30">
        <v>0.35</v>
      </c>
      <c r="C36" s="30">
        <v>0.1</v>
      </c>
      <c r="D36" s="30">
        <v>0.55000000000000004</v>
      </c>
      <c r="E36" s="31">
        <v>0</v>
      </c>
      <c r="I36" s="45" t="s">
        <v>65</v>
      </c>
    </row>
    <row r="37" spans="1:9">
      <c r="A37" s="27" t="s">
        <v>15</v>
      </c>
      <c r="B37" s="31">
        <v>1</v>
      </c>
      <c r="C37" s="31">
        <v>0</v>
      </c>
      <c r="D37" s="31">
        <v>0</v>
      </c>
      <c r="E37" s="31">
        <v>0</v>
      </c>
      <c r="I37" s="100" t="s">
        <v>189</v>
      </c>
    </row>
    <row r="38" spans="1:9">
      <c r="A38" s="27" t="s">
        <v>14</v>
      </c>
      <c r="B38" s="31">
        <v>1</v>
      </c>
      <c r="C38" s="31">
        <v>0</v>
      </c>
      <c r="D38" s="31">
        <v>0</v>
      </c>
      <c r="E38" s="31">
        <v>0</v>
      </c>
      <c r="I38" s="45" t="s">
        <v>101</v>
      </c>
    </row>
    <row r="39" spans="1:9">
      <c r="A39" s="27" t="s">
        <v>13</v>
      </c>
      <c r="B39" s="31">
        <v>0</v>
      </c>
      <c r="C39" s="31">
        <v>0.5</v>
      </c>
      <c r="D39" s="31">
        <v>0.5</v>
      </c>
      <c r="E39" s="31">
        <v>0</v>
      </c>
      <c r="I39" s="45" t="s">
        <v>12</v>
      </c>
    </row>
    <row r="40" spans="1:9" ht="13.5" customHeight="1">
      <c r="A40" s="27" t="s">
        <v>71</v>
      </c>
      <c r="B40" s="27"/>
      <c r="C40" s="27">
        <v>20</v>
      </c>
      <c r="D40" s="27"/>
      <c r="E40" s="27"/>
      <c r="I40" s="45" t="s">
        <v>56</v>
      </c>
    </row>
    <row r="41" spans="1:9">
      <c r="I41" s="45" t="s">
        <v>57</v>
      </c>
    </row>
    <row r="42" spans="1:9">
      <c r="A42" s="38" t="s">
        <v>76</v>
      </c>
    </row>
    <row r="43" spans="1:9">
      <c r="A43" s="25" t="s">
        <v>45</v>
      </c>
      <c r="B43" s="25" t="s">
        <v>6</v>
      </c>
      <c r="C43" s="25" t="s">
        <v>67</v>
      </c>
      <c r="D43" s="25" t="s">
        <v>68</v>
      </c>
      <c r="E43" s="25" t="s">
        <v>69</v>
      </c>
    </row>
    <row r="44" spans="1:9">
      <c r="A44" s="27" t="s">
        <v>17</v>
      </c>
      <c r="B44" s="39">
        <f t="shared" ref="B44:E45" si="0">$B$2*B4+$B$12*B14+$B$22*B24+$B$32*B34</f>
        <v>5.3789999999999998E-2</v>
      </c>
      <c r="C44" s="39">
        <f t="shared" si="0"/>
        <v>4.4000000000000004E-2</v>
      </c>
      <c r="D44" s="39">
        <f t="shared" si="0"/>
        <v>4.9000000000000009E-2</v>
      </c>
      <c r="E44" s="39">
        <f t="shared" si="0"/>
        <v>0.05</v>
      </c>
    </row>
    <row r="45" spans="1:9">
      <c r="A45" s="27" t="s">
        <v>0</v>
      </c>
      <c r="B45" s="40">
        <f t="shared" si="0"/>
        <v>17.100000000000005</v>
      </c>
      <c r="C45" s="40">
        <f t="shared" si="0"/>
        <v>1</v>
      </c>
      <c r="D45" s="40">
        <f t="shared" si="0"/>
        <v>1</v>
      </c>
      <c r="E45" s="40">
        <f t="shared" si="0"/>
        <v>1</v>
      </c>
    </row>
    <row r="46" spans="1:9">
      <c r="A46" s="27" t="s">
        <v>16</v>
      </c>
      <c r="B46" s="30">
        <v>0.35</v>
      </c>
      <c r="C46" s="30">
        <v>0.1</v>
      </c>
      <c r="D46" s="30">
        <v>0.55000000000000004</v>
      </c>
      <c r="E46" s="31">
        <v>0</v>
      </c>
    </row>
    <row r="47" spans="1:9">
      <c r="A47" s="27" t="s">
        <v>15</v>
      </c>
      <c r="B47" s="31">
        <v>1</v>
      </c>
      <c r="C47" s="31">
        <v>0</v>
      </c>
      <c r="D47" s="31">
        <v>0</v>
      </c>
      <c r="E47" s="31">
        <v>0</v>
      </c>
    </row>
    <row r="48" spans="1:9">
      <c r="A48" s="27" t="s">
        <v>14</v>
      </c>
      <c r="B48" s="31">
        <v>1</v>
      </c>
      <c r="C48" s="31">
        <v>0</v>
      </c>
      <c r="D48" s="31">
        <v>0</v>
      </c>
      <c r="E48" s="31">
        <v>0</v>
      </c>
    </row>
    <row r="49" spans="1:7">
      <c r="A49" s="27" t="s">
        <v>13</v>
      </c>
      <c r="B49" s="31">
        <v>0</v>
      </c>
      <c r="C49" s="31">
        <v>0.5</v>
      </c>
      <c r="D49" s="31">
        <v>0.5</v>
      </c>
      <c r="E49" s="31">
        <v>0</v>
      </c>
    </row>
    <row r="50" spans="1:7" ht="12.75" customHeight="1">
      <c r="A50" s="27" t="s">
        <v>71</v>
      </c>
      <c r="B50" s="27"/>
      <c r="C50" s="27">
        <v>20</v>
      </c>
      <c r="D50" s="27"/>
      <c r="E50" s="27"/>
    </row>
    <row r="54" spans="1:7" ht="13.5" thickBot="1">
      <c r="A54" s="52"/>
      <c r="B54" s="53"/>
      <c r="C54" s="734" t="s">
        <v>148</v>
      </c>
      <c r="D54" s="734"/>
      <c r="E54" s="734" t="s">
        <v>149</v>
      </c>
      <c r="F54" s="734"/>
      <c r="G54" s="54"/>
    </row>
    <row r="55" spans="1:7" ht="13.5" thickBot="1">
      <c r="A55" s="55"/>
      <c r="B55" s="56" t="s">
        <v>150</v>
      </c>
      <c r="C55" s="56" t="s">
        <v>151</v>
      </c>
      <c r="D55" s="56" t="s">
        <v>152</v>
      </c>
      <c r="E55" s="56" t="s">
        <v>153</v>
      </c>
      <c r="F55" s="56" t="s">
        <v>152</v>
      </c>
      <c r="G55" s="57" t="s">
        <v>154</v>
      </c>
    </row>
    <row r="56" spans="1:7" ht="13.5" thickBot="1">
      <c r="A56" s="58" t="s">
        <v>156</v>
      </c>
      <c r="B56" s="59" t="s">
        <v>146</v>
      </c>
      <c r="C56" s="59" t="s">
        <v>21</v>
      </c>
      <c r="D56" s="60">
        <f>MATCH(C56,MDataMeas!A:A,0)+1</f>
        <v>8</v>
      </c>
      <c r="E56" s="61" t="s">
        <v>77</v>
      </c>
      <c r="F56" s="61">
        <f>MATCH(E56,MDataMeas!A:A,0)-4</f>
        <v>10</v>
      </c>
      <c r="G56" s="60" t="str">
        <f>"'"&amp;B56&amp;"'!A"&amp;D56&amp;":DA"&amp;F56</f>
        <v>'Measure_InputOutput'!A8:DA10</v>
      </c>
    </row>
    <row r="57" spans="1:7" ht="13.5" thickBot="1">
      <c r="A57" s="58" t="s">
        <v>157</v>
      </c>
      <c r="B57" s="59" t="s">
        <v>146</v>
      </c>
      <c r="C57" s="60" t="s">
        <v>86</v>
      </c>
      <c r="D57" s="60">
        <f>MATCH(C57,MDataMeas!A:A,0)+3</f>
        <v>39</v>
      </c>
      <c r="E57" s="60" t="s">
        <v>89</v>
      </c>
      <c r="F57" s="60">
        <f>MATCH(E57,MDataMeas!A:A,0)-3</f>
        <v>41</v>
      </c>
      <c r="G57" s="60" t="str">
        <f>"'"&amp;B57&amp;"'!A"&amp;D57&amp;":DA"&amp;F57</f>
        <v>'Measure_InputOutput'!A39:DA41</v>
      </c>
    </row>
    <row r="58" spans="1:7">
      <c r="A58" s="58" t="s">
        <v>155</v>
      </c>
      <c r="B58" s="59" t="s">
        <v>146</v>
      </c>
      <c r="C58" s="60" t="s">
        <v>89</v>
      </c>
      <c r="D58" s="60">
        <f>MATCH(C58,MDataMeas!A:A,0)</f>
        <v>44</v>
      </c>
      <c r="E58" s="60" t="s">
        <v>90</v>
      </c>
      <c r="F58" s="60">
        <f>MATCH(E58,MDataMeas!A:A,0)</f>
        <v>52</v>
      </c>
      <c r="G58" s="60" t="str">
        <f>"'"&amp;B58&amp;"'!A"&amp;D58&amp;":DA"&amp;F58</f>
        <v>'Measure_InputOutput'!A44:DA52</v>
      </c>
    </row>
    <row r="60" spans="1:7" ht="13.5" thickBot="1"/>
    <row r="61" spans="1:7" ht="13.5" thickBot="1">
      <c r="B61" s="65" t="s">
        <v>87</v>
      </c>
      <c r="C61" s="66" t="s">
        <v>158</v>
      </c>
      <c r="D61" s="66" t="s">
        <v>33</v>
      </c>
      <c r="E61" s="66" t="s">
        <v>34</v>
      </c>
      <c r="F61" s="66" t="s">
        <v>23</v>
      </c>
      <c r="G61" s="67" t="s">
        <v>177</v>
      </c>
    </row>
    <row r="62" spans="1:7">
      <c r="A62" s="68" t="s">
        <v>161</v>
      </c>
      <c r="B62" s="71" t="s">
        <v>163</v>
      </c>
      <c r="C62" s="72" t="s">
        <v>164</v>
      </c>
      <c r="D62" s="72" t="s">
        <v>165</v>
      </c>
      <c r="E62" s="72" t="s">
        <v>166</v>
      </c>
      <c r="F62" s="72" t="s">
        <v>167</v>
      </c>
      <c r="G62" s="73" t="s">
        <v>176</v>
      </c>
    </row>
    <row r="63" spans="1:7" ht="13.5" thickBot="1">
      <c r="A63" s="81" t="s">
        <v>162</v>
      </c>
      <c r="B63" s="82" t="s">
        <v>164</v>
      </c>
      <c r="C63" s="83" t="s">
        <v>163</v>
      </c>
      <c r="D63" s="83" t="s">
        <v>166</v>
      </c>
      <c r="E63" s="83" t="s">
        <v>167</v>
      </c>
      <c r="F63" s="83" t="s">
        <v>168</v>
      </c>
      <c r="G63" s="84" t="s">
        <v>165</v>
      </c>
    </row>
    <row r="64" spans="1:7">
      <c r="A64" s="68" t="s">
        <v>159</v>
      </c>
      <c r="B64" s="88" t="str">
        <f t="shared" ref="B64:G64" si="1">"'Measure_InputOutput'!"&amp;B62&amp;$D$56&amp;":"&amp;B62&amp;$F$56</f>
        <v>'Measure_InputOutput'!C8:C10</v>
      </c>
      <c r="C64" s="89" t="str">
        <f t="shared" si="1"/>
        <v>'Measure_InputOutput'!D8:D10</v>
      </c>
      <c r="D64" s="89" t="str">
        <f t="shared" si="1"/>
        <v>'Measure_InputOutput'!E8:E10</v>
      </c>
      <c r="E64" s="89" t="str">
        <f t="shared" si="1"/>
        <v>'Measure_InputOutput'!F8:F10</v>
      </c>
      <c r="F64" s="89" t="str">
        <f t="shared" si="1"/>
        <v>'Measure_InputOutput'!G8:G10</v>
      </c>
      <c r="G64" s="90" t="str">
        <f t="shared" si="1"/>
        <v>'Measure_InputOutput'!O8:O10</v>
      </c>
    </row>
    <row r="65" spans="1:7">
      <c r="A65" s="69" t="s">
        <v>160</v>
      </c>
      <c r="B65" s="76" t="str">
        <f t="shared" ref="B65:G65" si="2">"'Measure_InputOutput'!"&amp;B63&amp;$D$57&amp;":"&amp;B63&amp;$F$57</f>
        <v>'Measure_InputOutput'!D39:D41</v>
      </c>
      <c r="C65" s="29" t="str">
        <f t="shared" si="2"/>
        <v>'Measure_InputOutput'!C39:C41</v>
      </c>
      <c r="D65" s="29" t="str">
        <f t="shared" si="2"/>
        <v>'Measure_InputOutput'!F39:F41</v>
      </c>
      <c r="E65" s="29" t="str">
        <f t="shared" si="2"/>
        <v>'Measure_InputOutput'!G39:G41</v>
      </c>
      <c r="F65" s="29" t="str">
        <f t="shared" si="2"/>
        <v>'Measure_InputOutput'!I39:I41</v>
      </c>
      <c r="G65" s="77" t="str">
        <f t="shared" si="2"/>
        <v>'Measure_InputOutput'!E39:E41</v>
      </c>
    </row>
    <row r="66" spans="1:7" ht="13.5" thickBot="1">
      <c r="A66" s="70" t="s">
        <v>173</v>
      </c>
      <c r="B66" s="78" t="e">
        <f ca="1">SUM(INDIRECT(B64))=SUM(INDIRECT(B65))</f>
        <v>#REF!</v>
      </c>
      <c r="C66" s="79" t="e">
        <f ca="1">SUM(INDIRECT(C64))=SUM(INDIRECT(C65))</f>
        <v>#REF!</v>
      </c>
      <c r="D66" s="79" t="e">
        <f ca="1">ROUND(SUM(INDIRECT(D64)),0)=ROUND(SUM(INDIRECT(D65)),0)</f>
        <v>#REF!</v>
      </c>
      <c r="E66" s="79" t="e">
        <f ca="1">ROUND(SUM(INDIRECT(E64)),2)=ROUND(SUM(INDIRECT(E65)),2)</f>
        <v>#REF!</v>
      </c>
      <c r="F66" s="79" t="e">
        <f t="array" aca="1" ref="F66" ca="1">AND((INDIRECT(F64))=(INDIRECT(F65)))</f>
        <v>#REF!</v>
      </c>
      <c r="G66" s="80" t="e">
        <f ca="1">ROUND(SUM(INDIRECT(G64)),2)=ROUND(SUM(INDIRECT(G65)),2)</f>
        <v>#REF!</v>
      </c>
    </row>
    <row r="67" spans="1:7">
      <c r="A67" s="68" t="s">
        <v>169</v>
      </c>
      <c r="B67" s="71" t="str">
        <f t="shared" ref="B67:G68" si="3">"'Measure_InputOutput'!"&amp;B62&amp;$D56</f>
        <v>'Measure_InputOutput'!C8</v>
      </c>
      <c r="C67" s="72" t="str">
        <f t="shared" si="3"/>
        <v>'Measure_InputOutput'!D8</v>
      </c>
      <c r="D67" s="72" t="str">
        <f t="shared" si="3"/>
        <v>'Measure_InputOutput'!E8</v>
      </c>
      <c r="E67" s="72" t="str">
        <f t="shared" si="3"/>
        <v>'Measure_InputOutput'!F8</v>
      </c>
      <c r="F67" s="72" t="str">
        <f t="shared" si="3"/>
        <v>'Measure_InputOutput'!G8</v>
      </c>
      <c r="G67" s="73" t="str">
        <f t="shared" si="3"/>
        <v>'Measure_InputOutput'!O8</v>
      </c>
    </row>
    <row r="68" spans="1:7">
      <c r="A68" s="69" t="s">
        <v>170</v>
      </c>
      <c r="B68" s="74" t="str">
        <f t="shared" si="3"/>
        <v>'Measure_InputOutput'!D39</v>
      </c>
      <c r="C68" s="63" t="str">
        <f t="shared" si="3"/>
        <v>'Measure_InputOutput'!C39</v>
      </c>
      <c r="D68" s="63" t="str">
        <f t="shared" si="3"/>
        <v>'Measure_InputOutput'!F39</v>
      </c>
      <c r="E68" s="63" t="str">
        <f t="shared" si="3"/>
        <v>'Measure_InputOutput'!G39</v>
      </c>
      <c r="F68" s="63" t="str">
        <f t="shared" si="3"/>
        <v>'Measure_InputOutput'!I39</v>
      </c>
      <c r="G68" s="75" t="str">
        <f t="shared" si="3"/>
        <v>'Measure_InputOutput'!E39</v>
      </c>
    </row>
    <row r="69" spans="1:7" ht="13.5" thickBot="1">
      <c r="A69" s="70" t="s">
        <v>174</v>
      </c>
      <c r="B69" s="78" t="e">
        <f t="shared" ref="B69:G69" ca="1" si="4">INDIRECT(B67)=INDIRECT(B68)</f>
        <v>#REF!</v>
      </c>
      <c r="C69" s="79" t="e">
        <f t="shared" ca="1" si="4"/>
        <v>#REF!</v>
      </c>
      <c r="D69" s="79" t="e">
        <f ca="1">ROUND(INDIRECT(D67),0)=ROUND(INDIRECT(D68),0)</f>
        <v>#REF!</v>
      </c>
      <c r="E69" s="79" t="e">
        <f ca="1">ROUND(INDIRECT(E67),2)=ROUND(INDIRECT(E68),2)</f>
        <v>#REF!</v>
      </c>
      <c r="F69" s="79" t="e">
        <f t="shared" ca="1" si="4"/>
        <v>#REF!</v>
      </c>
      <c r="G69" s="80" t="e">
        <f t="shared" ca="1" si="4"/>
        <v>#REF!</v>
      </c>
    </row>
    <row r="70" spans="1:7">
      <c r="A70" s="85" t="s">
        <v>171</v>
      </c>
      <c r="B70" s="86" t="str">
        <f t="shared" ref="B70:G71" si="5">"'Measure_InputOutput'!"&amp;B62&amp;$F56</f>
        <v>'Measure_InputOutput'!C10</v>
      </c>
      <c r="C70" s="64" t="str">
        <f t="shared" si="5"/>
        <v>'Measure_InputOutput'!D10</v>
      </c>
      <c r="D70" s="64" t="str">
        <f t="shared" si="5"/>
        <v>'Measure_InputOutput'!E10</v>
      </c>
      <c r="E70" s="64" t="str">
        <f t="shared" si="5"/>
        <v>'Measure_InputOutput'!F10</v>
      </c>
      <c r="F70" s="64" t="str">
        <f t="shared" si="5"/>
        <v>'Measure_InputOutput'!G10</v>
      </c>
      <c r="G70" s="87" t="str">
        <f t="shared" si="5"/>
        <v>'Measure_InputOutput'!O10</v>
      </c>
    </row>
    <row r="71" spans="1:7">
      <c r="A71" s="69" t="s">
        <v>172</v>
      </c>
      <c r="B71" s="74" t="str">
        <f t="shared" si="5"/>
        <v>'Measure_InputOutput'!D41</v>
      </c>
      <c r="C71" s="63" t="str">
        <f t="shared" si="5"/>
        <v>'Measure_InputOutput'!C41</v>
      </c>
      <c r="D71" s="63" t="str">
        <f t="shared" si="5"/>
        <v>'Measure_InputOutput'!F41</v>
      </c>
      <c r="E71" s="63" t="str">
        <f t="shared" si="5"/>
        <v>'Measure_InputOutput'!G41</v>
      </c>
      <c r="F71" s="63" t="str">
        <f t="shared" si="5"/>
        <v>'Measure_InputOutput'!I41</v>
      </c>
      <c r="G71" s="75" t="str">
        <f t="shared" si="5"/>
        <v>'Measure_InputOutput'!E41</v>
      </c>
    </row>
    <row r="72" spans="1:7" ht="13.5" thickBot="1">
      <c r="A72" s="70" t="s">
        <v>175</v>
      </c>
      <c r="B72" s="78" t="e">
        <f t="shared" ref="B72:G72" ca="1" si="6">INDIRECT(B70)=INDIRECT(B71)</f>
        <v>#REF!</v>
      </c>
      <c r="C72" s="79" t="e">
        <f t="shared" ca="1" si="6"/>
        <v>#REF!</v>
      </c>
      <c r="D72" s="79" t="e">
        <f ca="1">ROUND(INDIRECT(D70),0)=ROUND(INDIRECT(D71),0)</f>
        <v>#REF!</v>
      </c>
      <c r="E72" s="79" t="e">
        <f ca="1">ROUND(INDIRECT(E70),2)=ROUND(INDIRECT(E71),2)</f>
        <v>#REF!</v>
      </c>
      <c r="F72" s="79" t="e">
        <f t="shared" ca="1" si="6"/>
        <v>#REF!</v>
      </c>
      <c r="G72" s="80" t="e">
        <f t="shared" ca="1" si="6"/>
        <v>#REF!</v>
      </c>
    </row>
  </sheetData>
  <mergeCells count="2">
    <mergeCell ref="C54:D54"/>
    <mergeCell ref="E54:F54"/>
  </mergeCells>
  <phoneticPr fontId="19" type="noConversion"/>
  <conditionalFormatting sqref="B66:G66">
    <cfRule type="cellIs" dxfId="2" priority="3" operator="equal">
      <formula>FALSE</formula>
    </cfRule>
  </conditionalFormatting>
  <conditionalFormatting sqref="B69:G69">
    <cfRule type="cellIs" dxfId="1" priority="2" operator="equal">
      <formula>FALSE</formula>
    </cfRule>
  </conditionalFormatting>
  <conditionalFormatting sqref="B72:G72">
    <cfRule type="cellIs" dxfId="0" priority="1" operator="equal">
      <formula>FALSE</formula>
    </cfRule>
  </conditionalFormatting>
  <pageMargins left="0.75" right="0.75" top="1" bottom="1" header="0.5" footer="0.5"/>
  <pageSetup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sheetPr codeName="Sheet4">
    <tabColor theme="0" tint="-0.34998626667073579"/>
  </sheetPr>
  <dimension ref="A1"/>
  <sheetViews>
    <sheetView zoomScale="70" workbookViewId="0">
      <selection activeCell="C55" sqref="C55"/>
    </sheetView>
  </sheetViews>
  <sheetFormatPr defaultRowHeight="12.75"/>
  <sheetData/>
  <phoneticPr fontId="19" type="noConversion"/>
  <pageMargins left="0.75" right="0.75" top="1" bottom="1" header="0.5" footer="0.5"/>
  <pageSetup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sheetPr codeName="Sheet10">
    <tabColor theme="0" tint="-0.34998626667073579"/>
  </sheetPr>
  <dimension ref="L2:L28"/>
  <sheetViews>
    <sheetView workbookViewId="0">
      <selection activeCell="G47" sqref="G47"/>
    </sheetView>
  </sheetViews>
  <sheetFormatPr defaultRowHeight="12.75"/>
  <sheetData>
    <row r="2" spans="12:12" ht="15.75">
      <c r="L2" s="101" t="s">
        <v>196</v>
      </c>
    </row>
    <row r="3" spans="12:12" ht="15.75">
      <c r="L3" s="102" t="s">
        <v>197</v>
      </c>
    </row>
    <row r="28" spans="12:12" ht="15.75">
      <c r="L28" s="103" t="s">
        <v>198</v>
      </c>
    </row>
  </sheetData>
  <phoneticPr fontId="19" type="noConversion"/>
  <pageMargins left="0.75" right="0.75" top="1" bottom="1" header="0.5" footer="0.5"/>
  <pageSetup orientation="portrait" r:id="rId1"/>
  <headerFooter alignWithMargins="0"/>
  <drawing r:id="rId2"/>
  <legacyDrawing r:id="rId3"/>
  <oleObjects>
    <oleObject progId="Word.Document.8" shapeId="123911" r:id="rId4"/>
  </oleObjects>
</worksheet>
</file>

<file path=xl/worksheets/sheet17.xml><?xml version="1.0" encoding="utf-8"?>
<worksheet xmlns="http://schemas.openxmlformats.org/spreadsheetml/2006/main" xmlns:r="http://schemas.openxmlformats.org/officeDocument/2006/relationships">
  <sheetPr codeName="Sheet5">
    <tabColor rgb="FFFFC000"/>
  </sheetPr>
  <dimension ref="A1:AD190"/>
  <sheetViews>
    <sheetView workbookViewId="0">
      <selection activeCell="A3" sqref="A3"/>
    </sheetView>
  </sheetViews>
  <sheetFormatPr defaultRowHeight="12.75"/>
  <cols>
    <col min="1" max="1" width="65.140625" bestFit="1" customWidth="1"/>
    <col min="2" max="2" width="14.140625" customWidth="1"/>
    <col min="3" max="3" width="22" customWidth="1"/>
    <col min="4" max="4" width="30" customWidth="1"/>
    <col min="5" max="5" width="27.5703125" customWidth="1"/>
    <col min="6" max="6" width="12.42578125" customWidth="1"/>
    <col min="7" max="7" width="20" customWidth="1"/>
    <col min="8" max="8" width="14.42578125" customWidth="1"/>
    <col min="9" max="9" width="16.140625" customWidth="1"/>
    <col min="10" max="10" width="16" customWidth="1"/>
    <col min="11" max="11" width="15.28515625" customWidth="1"/>
    <col min="12" max="12" width="37.140625" customWidth="1"/>
    <col min="13" max="13" width="28.28515625" customWidth="1"/>
    <col min="14" max="14" width="30.140625" customWidth="1"/>
    <col min="15" max="16" width="82.5703125" customWidth="1"/>
    <col min="21" max="21" width="22.7109375" bestFit="1" customWidth="1"/>
    <col min="22" max="22" width="25.85546875" bestFit="1" customWidth="1"/>
    <col min="23" max="23" width="44" bestFit="1" customWidth="1"/>
    <col min="24" max="24" width="61.7109375" bestFit="1" customWidth="1"/>
    <col min="25" max="25" width="18.85546875" customWidth="1"/>
    <col min="26" max="26" width="18.28515625" customWidth="1"/>
    <col min="27" max="27" width="43.7109375" bestFit="1" customWidth="1"/>
    <col min="28" max="28" width="44.85546875" bestFit="1" customWidth="1"/>
    <col min="29" max="29" width="14.85546875" bestFit="1" customWidth="1"/>
    <col min="30" max="30" width="45" bestFit="1" customWidth="1"/>
  </cols>
  <sheetData>
    <row r="1" spans="1:30" ht="13.5" thickBot="1">
      <c r="A1" s="185">
        <v>1</v>
      </c>
      <c r="B1" s="185">
        <v>2</v>
      </c>
      <c r="C1" s="185">
        <v>3</v>
      </c>
      <c r="D1" s="185">
        <v>4</v>
      </c>
      <c r="E1" s="185">
        <v>5</v>
      </c>
      <c r="F1" s="185">
        <v>6</v>
      </c>
      <c r="G1" s="185">
        <v>7</v>
      </c>
      <c r="H1" s="185">
        <v>8</v>
      </c>
      <c r="I1" s="185">
        <v>16</v>
      </c>
      <c r="J1" s="185">
        <v>17</v>
      </c>
      <c r="K1" s="185">
        <v>18</v>
      </c>
      <c r="L1" s="185">
        <v>19</v>
      </c>
      <c r="M1" s="185">
        <v>20</v>
      </c>
      <c r="N1" s="185">
        <v>21</v>
      </c>
      <c r="O1" s="185">
        <v>22</v>
      </c>
      <c r="P1" s="185">
        <v>23</v>
      </c>
      <c r="Q1" s="185"/>
      <c r="R1" s="95"/>
      <c r="S1" s="95"/>
      <c r="T1" s="95"/>
      <c r="U1" s="41" t="s">
        <v>278</v>
      </c>
      <c r="V1" s="95"/>
      <c r="W1" s="95"/>
      <c r="X1" s="95"/>
      <c r="Y1" s="95"/>
      <c r="Z1" s="95"/>
      <c r="AA1" s="95"/>
      <c r="AB1" s="95"/>
      <c r="AC1" s="95"/>
      <c r="AD1" s="95"/>
    </row>
    <row r="2" spans="1:30" ht="39" thickBot="1">
      <c r="A2" s="186" t="s">
        <v>133</v>
      </c>
      <c r="B2" s="186" t="s">
        <v>123</v>
      </c>
      <c r="C2" s="186" t="s">
        <v>276</v>
      </c>
      <c r="D2" s="186" t="s">
        <v>88</v>
      </c>
      <c r="E2" s="186" t="s">
        <v>277</v>
      </c>
      <c r="F2" s="186" t="s">
        <v>127</v>
      </c>
      <c r="G2" s="186" t="s">
        <v>270</v>
      </c>
      <c r="H2" s="186" t="s">
        <v>271</v>
      </c>
      <c r="I2" s="186" t="s">
        <v>124</v>
      </c>
      <c r="J2" s="186" t="s">
        <v>125</v>
      </c>
      <c r="K2" s="186" t="s">
        <v>126</v>
      </c>
      <c r="L2" s="186" t="s">
        <v>109</v>
      </c>
      <c r="M2" s="186" t="s">
        <v>272</v>
      </c>
      <c r="N2" s="186" t="s">
        <v>273</v>
      </c>
      <c r="O2" s="186" t="s">
        <v>108</v>
      </c>
      <c r="P2" s="187" t="s">
        <v>118</v>
      </c>
      <c r="Q2" s="95"/>
      <c r="R2" s="95"/>
      <c r="S2" s="95"/>
      <c r="T2" s="95"/>
      <c r="U2" s="188" t="s">
        <v>279</v>
      </c>
      <c r="V2" s="188" t="s">
        <v>280</v>
      </c>
      <c r="W2" s="188" t="s">
        <v>21</v>
      </c>
      <c r="X2" s="188" t="s">
        <v>281</v>
      </c>
      <c r="Y2" s="188" t="s">
        <v>270</v>
      </c>
      <c r="Z2" s="188" t="s">
        <v>271</v>
      </c>
      <c r="AA2" s="188" t="s">
        <v>124</v>
      </c>
      <c r="AB2" s="188" t="s">
        <v>125</v>
      </c>
      <c r="AC2" s="188" t="s">
        <v>126</v>
      </c>
      <c r="AD2" s="188" t="s">
        <v>282</v>
      </c>
    </row>
    <row r="3" spans="1:30" ht="25.5">
      <c r="A3" s="189" t="s">
        <v>166</v>
      </c>
      <c r="B3" s="190" t="s">
        <v>91</v>
      </c>
      <c r="C3" s="190" t="s">
        <v>301</v>
      </c>
      <c r="D3" s="190" t="s">
        <v>285</v>
      </c>
      <c r="E3" s="190" t="s">
        <v>625</v>
      </c>
      <c r="F3" s="190" t="s">
        <v>245</v>
      </c>
      <c r="G3" s="190" t="s">
        <v>287</v>
      </c>
      <c r="H3" s="190" t="s">
        <v>288</v>
      </c>
      <c r="I3" s="190" t="s">
        <v>289</v>
      </c>
      <c r="J3" s="190" t="s">
        <v>588</v>
      </c>
      <c r="K3" s="190" t="s">
        <v>291</v>
      </c>
      <c r="L3" s="189"/>
      <c r="M3" s="189"/>
      <c r="N3" s="189"/>
      <c r="O3" s="190" t="s">
        <v>292</v>
      </c>
      <c r="P3" s="191" t="s">
        <v>293</v>
      </c>
      <c r="Q3" s="95"/>
      <c r="R3" s="95"/>
      <c r="S3" s="95"/>
      <c r="T3" s="95"/>
      <c r="U3" s="192" t="s">
        <v>283</v>
      </c>
      <c r="V3" s="192" t="s">
        <v>294</v>
      </c>
      <c r="W3" s="192" t="s">
        <v>295</v>
      </c>
      <c r="X3" s="192" t="s">
        <v>296</v>
      </c>
      <c r="Y3" s="193" t="s">
        <v>297</v>
      </c>
      <c r="Z3" s="193" t="s">
        <v>298</v>
      </c>
      <c r="AA3" s="194" t="s">
        <v>299</v>
      </c>
      <c r="AB3" s="195" t="s">
        <v>300</v>
      </c>
      <c r="AC3" s="192" t="s">
        <v>291</v>
      </c>
      <c r="AD3" s="192" t="s">
        <v>292</v>
      </c>
    </row>
    <row r="4" spans="1:30" ht="25.5">
      <c r="A4" s="189" t="s">
        <v>167</v>
      </c>
      <c r="B4" s="190" t="s">
        <v>91</v>
      </c>
      <c r="C4" s="190" t="s">
        <v>318</v>
      </c>
      <c r="D4" s="190" t="s">
        <v>339</v>
      </c>
      <c r="E4" s="190" t="s">
        <v>299</v>
      </c>
      <c r="F4" s="190" t="s">
        <v>238</v>
      </c>
      <c r="G4" s="190" t="s">
        <v>287</v>
      </c>
      <c r="H4" s="190" t="s">
        <v>288</v>
      </c>
      <c r="I4" s="190" t="s">
        <v>289</v>
      </c>
      <c r="J4" s="190" t="s">
        <v>588</v>
      </c>
      <c r="K4" s="190" t="s">
        <v>291</v>
      </c>
      <c r="L4" s="189"/>
      <c r="M4" s="189"/>
      <c r="N4" s="189"/>
      <c r="O4" s="190" t="s">
        <v>292</v>
      </c>
      <c r="P4" s="191"/>
      <c r="Q4" s="95"/>
      <c r="R4" s="95"/>
      <c r="S4" s="95"/>
      <c r="T4" s="95"/>
      <c r="U4" s="192" t="s">
        <v>92</v>
      </c>
      <c r="V4" s="192" t="s">
        <v>301</v>
      </c>
      <c r="W4" s="192" t="s">
        <v>302</v>
      </c>
      <c r="X4" s="192" t="s">
        <v>303</v>
      </c>
      <c r="Y4" s="193" t="s">
        <v>304</v>
      </c>
      <c r="Z4" s="193" t="s">
        <v>305</v>
      </c>
      <c r="AA4" s="192" t="s">
        <v>306</v>
      </c>
      <c r="AB4" s="192" t="s">
        <v>307</v>
      </c>
      <c r="AC4" s="192" t="s">
        <v>308</v>
      </c>
      <c r="AD4" s="192" t="s">
        <v>309</v>
      </c>
    </row>
    <row r="5" spans="1:30">
      <c r="A5" s="189"/>
      <c r="B5" s="190"/>
      <c r="C5" s="190"/>
      <c r="D5" s="190"/>
      <c r="E5" s="190"/>
      <c r="F5" s="190"/>
      <c r="G5" s="190"/>
      <c r="H5" s="190"/>
      <c r="I5" s="190"/>
      <c r="J5" s="190"/>
      <c r="K5" s="190"/>
      <c r="L5" s="189"/>
      <c r="M5" s="189"/>
      <c r="N5" s="189"/>
      <c r="O5" s="190"/>
      <c r="P5" s="191"/>
      <c r="Q5" s="95"/>
      <c r="R5" s="95"/>
      <c r="S5" s="95"/>
      <c r="T5" s="95"/>
      <c r="U5" s="192" t="s">
        <v>93</v>
      </c>
      <c r="V5" s="192" t="s">
        <v>310</v>
      </c>
      <c r="W5" s="192" t="s">
        <v>311</v>
      </c>
      <c r="X5" s="192" t="s">
        <v>312</v>
      </c>
      <c r="Y5" s="193" t="s">
        <v>313</v>
      </c>
      <c r="Z5" s="193" t="s">
        <v>314</v>
      </c>
      <c r="AA5" s="192" t="s">
        <v>315</v>
      </c>
      <c r="AB5" s="195" t="s">
        <v>336</v>
      </c>
      <c r="AC5" s="192" t="s">
        <v>316</v>
      </c>
      <c r="AD5" s="192" t="s">
        <v>317</v>
      </c>
    </row>
    <row r="6" spans="1:30">
      <c r="A6" s="189"/>
      <c r="B6" s="190"/>
      <c r="C6" s="190"/>
      <c r="D6" s="190"/>
      <c r="E6" s="190"/>
      <c r="F6" s="190"/>
      <c r="G6" s="190"/>
      <c r="H6" s="190"/>
      <c r="I6" s="190"/>
      <c r="J6" s="190"/>
      <c r="K6" s="190"/>
      <c r="L6" s="189"/>
      <c r="M6" s="189"/>
      <c r="N6" s="189"/>
      <c r="O6" s="190"/>
      <c r="P6" s="191"/>
      <c r="Q6" s="95"/>
      <c r="R6" s="95"/>
      <c r="S6" s="95"/>
      <c r="T6" s="95"/>
      <c r="U6" s="192" t="s">
        <v>299</v>
      </c>
      <c r="V6" s="192" t="s">
        <v>318</v>
      </c>
      <c r="W6" s="192" t="s">
        <v>319</v>
      </c>
      <c r="X6" s="192" t="s">
        <v>320</v>
      </c>
      <c r="Y6" s="193" t="s">
        <v>287</v>
      </c>
      <c r="Z6" s="193" t="s">
        <v>288</v>
      </c>
      <c r="AA6" s="192" t="s">
        <v>321</v>
      </c>
      <c r="AB6" s="195" t="s">
        <v>355</v>
      </c>
      <c r="AC6" s="194" t="s">
        <v>299</v>
      </c>
      <c r="AD6" s="192" t="s">
        <v>322</v>
      </c>
    </row>
    <row r="7" spans="1:30">
      <c r="A7" s="189"/>
      <c r="B7" s="190"/>
      <c r="C7" s="190"/>
      <c r="D7" s="190"/>
      <c r="E7" s="190"/>
      <c r="F7" s="190"/>
      <c r="G7" s="190"/>
      <c r="H7" s="190"/>
      <c r="I7" s="190"/>
      <c r="J7" s="190"/>
      <c r="K7" s="190"/>
      <c r="L7" s="189"/>
      <c r="M7" s="189"/>
      <c r="N7" s="189"/>
      <c r="O7" s="190"/>
      <c r="P7" s="191"/>
      <c r="Q7" s="95"/>
      <c r="R7" s="95"/>
      <c r="S7" s="95"/>
      <c r="T7" s="95"/>
      <c r="U7" s="192" t="s">
        <v>91</v>
      </c>
      <c r="V7" s="192" t="s">
        <v>284</v>
      </c>
      <c r="W7" s="192" t="s">
        <v>323</v>
      </c>
      <c r="X7" s="192" t="s">
        <v>324</v>
      </c>
      <c r="Y7" s="193" t="s">
        <v>325</v>
      </c>
      <c r="Z7" s="193" t="s">
        <v>326</v>
      </c>
      <c r="AA7" s="192" t="s">
        <v>327</v>
      </c>
      <c r="AB7" s="195" t="s">
        <v>375</v>
      </c>
      <c r="AC7" s="97"/>
      <c r="AD7" s="192" t="s">
        <v>328</v>
      </c>
    </row>
    <row r="8" spans="1:30">
      <c r="A8" s="189"/>
      <c r="B8" s="190"/>
      <c r="C8" s="190"/>
      <c r="D8" s="190"/>
      <c r="E8" s="190"/>
      <c r="F8" s="190"/>
      <c r="G8" s="190"/>
      <c r="H8" s="190"/>
      <c r="I8" s="190"/>
      <c r="J8" s="190"/>
      <c r="K8" s="190"/>
      <c r="L8" s="189"/>
      <c r="M8" s="189"/>
      <c r="N8" s="189"/>
      <c r="O8" s="190"/>
      <c r="P8" s="191"/>
      <c r="Q8" s="95"/>
      <c r="R8" s="95"/>
      <c r="S8" s="95"/>
      <c r="T8" s="95"/>
      <c r="U8" s="192" t="s">
        <v>329</v>
      </c>
      <c r="V8" s="192" t="s">
        <v>330</v>
      </c>
      <c r="W8" s="192" t="s">
        <v>331</v>
      </c>
      <c r="X8" s="192" t="s">
        <v>332</v>
      </c>
      <c r="Y8" s="193" t="s">
        <v>333</v>
      </c>
      <c r="Z8" s="193" t="s">
        <v>334</v>
      </c>
      <c r="AA8" s="192" t="s">
        <v>335</v>
      </c>
      <c r="AB8" s="192" t="s">
        <v>387</v>
      </c>
      <c r="AC8" s="97"/>
      <c r="AD8" s="192" t="s">
        <v>337</v>
      </c>
    </row>
    <row r="9" spans="1:30">
      <c r="A9" s="189"/>
      <c r="B9" s="190"/>
      <c r="C9" s="190"/>
      <c r="D9" s="190"/>
      <c r="E9" s="190"/>
      <c r="F9" s="190"/>
      <c r="G9" s="190"/>
      <c r="H9" s="190"/>
      <c r="I9" s="190"/>
      <c r="J9" s="190"/>
      <c r="K9" s="190"/>
      <c r="L9" s="189"/>
      <c r="M9" s="189"/>
      <c r="N9" s="189"/>
      <c r="O9" s="190"/>
      <c r="P9" s="191"/>
      <c r="Q9" s="95"/>
      <c r="R9" s="95"/>
      <c r="S9" s="95"/>
      <c r="T9" s="95"/>
      <c r="U9" s="97"/>
      <c r="V9" s="192" t="s">
        <v>338</v>
      </c>
      <c r="W9" s="192" t="s">
        <v>339</v>
      </c>
      <c r="X9" s="192" t="s">
        <v>340</v>
      </c>
      <c r="Y9" s="194" t="s">
        <v>299</v>
      </c>
      <c r="Z9" s="194" t="s">
        <v>299</v>
      </c>
      <c r="AA9" s="97" t="s">
        <v>289</v>
      </c>
      <c r="AB9" s="195" t="s">
        <v>396</v>
      </c>
      <c r="AC9" s="97"/>
      <c r="AD9" s="192" t="s">
        <v>341</v>
      </c>
    </row>
    <row r="10" spans="1:30">
      <c r="A10" s="189"/>
      <c r="B10" s="190"/>
      <c r="C10" s="190"/>
      <c r="D10" s="190"/>
      <c r="E10" s="190"/>
      <c r="F10" s="190"/>
      <c r="G10" s="190"/>
      <c r="H10" s="190"/>
      <c r="I10" s="190"/>
      <c r="J10" s="190"/>
      <c r="K10" s="190"/>
      <c r="L10" s="189"/>
      <c r="M10" s="189"/>
      <c r="N10" s="189"/>
      <c r="O10" s="190"/>
      <c r="P10" s="191"/>
      <c r="Q10" s="95"/>
      <c r="R10" s="95"/>
      <c r="S10" s="95"/>
      <c r="T10" s="95"/>
      <c r="U10" s="97"/>
      <c r="V10" s="192" t="s">
        <v>342</v>
      </c>
      <c r="W10" s="192" t="s">
        <v>343</v>
      </c>
      <c r="X10" s="192" t="s">
        <v>344</v>
      </c>
      <c r="Y10" s="97"/>
      <c r="Z10" s="97"/>
      <c r="AA10" s="192" t="s">
        <v>345</v>
      </c>
      <c r="AB10" s="195" t="s">
        <v>405</v>
      </c>
      <c r="AC10" s="97"/>
      <c r="AD10" s="192" t="s">
        <v>346</v>
      </c>
    </row>
    <row r="11" spans="1:30">
      <c r="A11" s="189"/>
      <c r="B11" s="190"/>
      <c r="C11" s="190"/>
      <c r="D11" s="190"/>
      <c r="E11" s="190"/>
      <c r="F11" s="190"/>
      <c r="G11" s="190"/>
      <c r="H11" s="190"/>
      <c r="I11" s="190"/>
      <c r="J11" s="190"/>
      <c r="K11" s="190"/>
      <c r="L11" s="189"/>
      <c r="M11" s="189"/>
      <c r="N11" s="189"/>
      <c r="O11" s="190"/>
      <c r="P11" s="191"/>
      <c r="Q11" s="95"/>
      <c r="R11" s="95"/>
      <c r="S11" s="95"/>
      <c r="T11" s="95"/>
      <c r="U11" s="97"/>
      <c r="V11" s="194" t="s">
        <v>299</v>
      </c>
      <c r="W11" s="192" t="s">
        <v>347</v>
      </c>
      <c r="X11" s="192" t="s">
        <v>348</v>
      </c>
      <c r="Y11" s="97"/>
      <c r="Z11" s="97"/>
      <c r="AA11" s="192" t="s">
        <v>349</v>
      </c>
      <c r="AB11" s="195" t="s">
        <v>408</v>
      </c>
      <c r="AC11" s="97"/>
      <c r="AD11" s="192" t="s">
        <v>350</v>
      </c>
    </row>
    <row r="12" spans="1:30">
      <c r="A12" s="189"/>
      <c r="B12" s="190"/>
      <c r="C12" s="190"/>
      <c r="D12" s="190"/>
      <c r="E12" s="190"/>
      <c r="F12" s="190"/>
      <c r="G12" s="190"/>
      <c r="H12" s="190"/>
      <c r="I12" s="190"/>
      <c r="J12" s="190"/>
      <c r="K12" s="190"/>
      <c r="L12" s="189"/>
      <c r="M12" s="189"/>
      <c r="N12" s="189"/>
      <c r="O12" s="190"/>
      <c r="P12" s="191"/>
      <c r="Q12" s="95"/>
      <c r="R12" s="95"/>
      <c r="S12" s="95"/>
      <c r="T12" s="95"/>
      <c r="U12" s="97"/>
      <c r="V12" s="192" t="s">
        <v>351</v>
      </c>
      <c r="W12" s="192" t="s">
        <v>352</v>
      </c>
      <c r="X12" s="192" t="s">
        <v>353</v>
      </c>
      <c r="Y12" s="97"/>
      <c r="Z12" s="97"/>
      <c r="AA12" s="192" t="s">
        <v>354</v>
      </c>
      <c r="AB12" s="192" t="s">
        <v>411</v>
      </c>
      <c r="AC12" s="97"/>
      <c r="AD12" s="192" t="s">
        <v>356</v>
      </c>
    </row>
    <row r="13" spans="1:30">
      <c r="A13" s="189"/>
      <c r="B13" s="190"/>
      <c r="C13" s="190"/>
      <c r="D13" s="190"/>
      <c r="E13" s="190"/>
      <c r="F13" s="190"/>
      <c r="G13" s="190"/>
      <c r="H13" s="190"/>
      <c r="I13" s="190"/>
      <c r="J13" s="190"/>
      <c r="K13" s="190"/>
      <c r="L13" s="189"/>
      <c r="M13" s="189"/>
      <c r="N13" s="189"/>
      <c r="O13" s="190"/>
      <c r="P13" s="191"/>
      <c r="Q13" s="95"/>
      <c r="R13" s="95"/>
      <c r="S13" s="95"/>
      <c r="T13" s="95"/>
      <c r="U13" s="97"/>
      <c r="V13" s="192" t="s">
        <v>357</v>
      </c>
      <c r="W13" s="192" t="s">
        <v>358</v>
      </c>
      <c r="X13" s="192" t="s">
        <v>359</v>
      </c>
      <c r="Y13" s="97"/>
      <c r="Z13" s="97"/>
      <c r="AA13" s="192" t="s">
        <v>360</v>
      </c>
      <c r="AB13" s="195" t="s">
        <v>419</v>
      </c>
      <c r="AC13" s="97"/>
      <c r="AD13" s="192" t="s">
        <v>361</v>
      </c>
    </row>
    <row r="14" spans="1:30">
      <c r="A14" s="189"/>
      <c r="B14" s="190"/>
      <c r="C14" s="190"/>
      <c r="D14" s="190"/>
      <c r="E14" s="190"/>
      <c r="F14" s="190"/>
      <c r="G14" s="190"/>
      <c r="H14" s="190"/>
      <c r="I14" s="190"/>
      <c r="J14" s="190"/>
      <c r="K14" s="190"/>
      <c r="L14" s="189"/>
      <c r="M14" s="189"/>
      <c r="N14" s="189"/>
      <c r="O14" s="190"/>
      <c r="P14" s="191"/>
      <c r="Q14" s="95"/>
      <c r="R14" s="95"/>
      <c r="S14" s="95"/>
      <c r="T14" s="95"/>
      <c r="U14" s="97"/>
      <c r="V14" s="192" t="s">
        <v>362</v>
      </c>
      <c r="W14" s="195" t="s">
        <v>363</v>
      </c>
      <c r="X14" s="192" t="s">
        <v>364</v>
      </c>
      <c r="Y14" s="97"/>
      <c r="Z14" s="97"/>
      <c r="AA14" s="192" t="s">
        <v>365</v>
      </c>
      <c r="AB14" s="195" t="s">
        <v>425</v>
      </c>
      <c r="AC14" s="97"/>
      <c r="AD14" s="192" t="s">
        <v>366</v>
      </c>
    </row>
    <row r="15" spans="1:30">
      <c r="A15" s="189"/>
      <c r="B15" s="190"/>
      <c r="C15" s="190"/>
      <c r="D15" s="190"/>
      <c r="E15" s="190"/>
      <c r="F15" s="190"/>
      <c r="G15" s="190"/>
      <c r="H15" s="190"/>
      <c r="I15" s="190"/>
      <c r="J15" s="190"/>
      <c r="K15" s="190"/>
      <c r="L15" s="189"/>
      <c r="M15" s="189"/>
      <c r="N15" s="189"/>
      <c r="O15" s="190"/>
      <c r="P15" s="191"/>
      <c r="Q15" s="95"/>
      <c r="R15" s="95"/>
      <c r="S15" s="95"/>
      <c r="T15" s="95"/>
      <c r="U15" s="196"/>
      <c r="V15" s="192" t="s">
        <v>367</v>
      </c>
      <c r="W15" s="192" t="s">
        <v>368</v>
      </c>
      <c r="X15" s="195" t="s">
        <v>369</v>
      </c>
      <c r="Y15" s="196"/>
      <c r="Z15" s="196"/>
      <c r="AA15" s="192" t="s">
        <v>370</v>
      </c>
      <c r="AB15" s="195" t="s">
        <v>428</v>
      </c>
      <c r="AC15" s="196"/>
      <c r="AD15" s="196"/>
    </row>
    <row r="16" spans="1:30">
      <c r="A16" s="189"/>
      <c r="B16" s="190"/>
      <c r="C16" s="190"/>
      <c r="D16" s="190"/>
      <c r="E16" s="190"/>
      <c r="F16" s="190"/>
      <c r="G16" s="190"/>
      <c r="H16" s="190"/>
      <c r="I16" s="190"/>
      <c r="J16" s="190"/>
      <c r="K16" s="190"/>
      <c r="L16" s="189"/>
      <c r="M16" s="189"/>
      <c r="N16" s="189"/>
      <c r="O16" s="190"/>
      <c r="P16" s="191"/>
      <c r="Q16" s="95"/>
      <c r="R16" s="95"/>
      <c r="S16" s="95"/>
      <c r="T16" s="95"/>
      <c r="U16" s="196"/>
      <c r="V16" s="195" t="s">
        <v>371</v>
      </c>
      <c r="W16" s="195" t="s">
        <v>372</v>
      </c>
      <c r="X16" s="195" t="s">
        <v>373</v>
      </c>
      <c r="Y16" s="196"/>
      <c r="Z16" s="196"/>
      <c r="AA16" s="195" t="s">
        <v>374</v>
      </c>
      <c r="AB16" s="192" t="s">
        <v>437</v>
      </c>
      <c r="AC16" s="196"/>
      <c r="AD16" s="196"/>
    </row>
    <row r="17" spans="1:30">
      <c r="A17" s="189"/>
      <c r="B17" s="190"/>
      <c r="C17" s="190"/>
      <c r="D17" s="190"/>
      <c r="E17" s="190"/>
      <c r="F17" s="190"/>
      <c r="G17" s="190"/>
      <c r="H17" s="190"/>
      <c r="I17" s="190"/>
      <c r="J17" s="190"/>
      <c r="K17" s="190"/>
      <c r="L17" s="189"/>
      <c r="M17" s="189"/>
      <c r="N17" s="189"/>
      <c r="O17" s="190"/>
      <c r="P17" s="191"/>
      <c r="Q17" s="95"/>
      <c r="R17" s="95"/>
      <c r="S17" s="95"/>
      <c r="T17" s="95"/>
      <c r="U17" s="196"/>
      <c r="V17" s="195" t="s">
        <v>376</v>
      </c>
      <c r="W17" s="195" t="s">
        <v>377</v>
      </c>
      <c r="X17" s="195" t="s">
        <v>378</v>
      </c>
      <c r="Y17" s="196"/>
      <c r="Z17" s="196"/>
      <c r="AA17" s="195" t="s">
        <v>379</v>
      </c>
      <c r="AB17" s="195" t="s">
        <v>445</v>
      </c>
      <c r="AC17" s="196"/>
      <c r="AD17" s="196"/>
    </row>
    <row r="18" spans="1:30">
      <c r="A18" s="189"/>
      <c r="B18" s="190"/>
      <c r="C18" s="190"/>
      <c r="D18" s="190"/>
      <c r="E18" s="190"/>
      <c r="F18" s="190"/>
      <c r="G18" s="190"/>
      <c r="H18" s="190"/>
      <c r="I18" s="190"/>
      <c r="J18" s="190"/>
      <c r="K18" s="190"/>
      <c r="L18" s="189"/>
      <c r="M18" s="189"/>
      <c r="N18" s="189"/>
      <c r="O18" s="190"/>
      <c r="P18" s="191"/>
      <c r="Q18" s="95"/>
      <c r="R18" s="95"/>
      <c r="S18" s="95"/>
      <c r="T18" s="95"/>
      <c r="U18" s="196"/>
      <c r="V18" s="195" t="s">
        <v>380</v>
      </c>
      <c r="W18" s="195" t="s">
        <v>381</v>
      </c>
      <c r="X18" s="195" t="s">
        <v>382</v>
      </c>
      <c r="Y18" s="196"/>
      <c r="Z18" s="196"/>
      <c r="AA18" s="196"/>
      <c r="AB18" s="195" t="s">
        <v>454</v>
      </c>
      <c r="AC18" s="196"/>
      <c r="AD18" s="196"/>
    </row>
    <row r="19" spans="1:30">
      <c r="A19" s="189"/>
      <c r="B19" s="190"/>
      <c r="C19" s="190"/>
      <c r="D19" s="190"/>
      <c r="E19" s="190"/>
      <c r="F19" s="190"/>
      <c r="G19" s="190"/>
      <c r="H19" s="190"/>
      <c r="I19" s="190"/>
      <c r="J19" s="190"/>
      <c r="K19" s="190"/>
      <c r="L19" s="189"/>
      <c r="M19" s="189"/>
      <c r="N19" s="189"/>
      <c r="O19" s="190"/>
      <c r="P19" s="191"/>
      <c r="Q19" s="95"/>
      <c r="R19" s="95"/>
      <c r="S19" s="95"/>
      <c r="T19" s="95"/>
      <c r="U19" s="196"/>
      <c r="V19" s="195"/>
      <c r="W19" s="195" t="s">
        <v>383</v>
      </c>
      <c r="X19" s="195" t="s">
        <v>384</v>
      </c>
      <c r="Y19" s="196"/>
      <c r="Z19" s="196"/>
      <c r="AA19" s="196"/>
      <c r="AB19" s="195" t="s">
        <v>463</v>
      </c>
      <c r="AC19" s="196"/>
      <c r="AD19" s="196"/>
    </row>
    <row r="20" spans="1:30">
      <c r="A20" s="189"/>
      <c r="B20" s="190"/>
      <c r="C20" s="190"/>
      <c r="D20" s="190"/>
      <c r="E20" s="190"/>
      <c r="F20" s="190"/>
      <c r="G20" s="190"/>
      <c r="H20" s="190"/>
      <c r="I20" s="190"/>
      <c r="J20" s="190"/>
      <c r="K20" s="190"/>
      <c r="L20" s="189"/>
      <c r="M20" s="189"/>
      <c r="N20" s="189"/>
      <c r="O20" s="190"/>
      <c r="P20" s="191"/>
      <c r="Q20" s="95"/>
      <c r="R20" s="95"/>
      <c r="S20" s="95"/>
      <c r="T20" s="95"/>
      <c r="U20" s="196"/>
      <c r="V20" s="195"/>
      <c r="W20" s="195" t="s">
        <v>385</v>
      </c>
      <c r="X20" s="195" t="s">
        <v>386</v>
      </c>
      <c r="Y20" s="196"/>
      <c r="Z20" s="196"/>
      <c r="AA20" s="196"/>
      <c r="AB20" s="192" t="s">
        <v>472</v>
      </c>
      <c r="AC20" s="196"/>
      <c r="AD20" s="196"/>
    </row>
    <row r="21" spans="1:30">
      <c r="A21" s="189"/>
      <c r="B21" s="190"/>
      <c r="C21" s="190"/>
      <c r="D21" s="190"/>
      <c r="E21" s="190"/>
      <c r="F21" s="190"/>
      <c r="G21" s="190"/>
      <c r="H21" s="190"/>
      <c r="I21" s="190"/>
      <c r="J21" s="190"/>
      <c r="K21" s="190"/>
      <c r="L21" s="189"/>
      <c r="M21" s="189"/>
      <c r="N21" s="189"/>
      <c r="O21" s="190"/>
      <c r="P21" s="191"/>
      <c r="Q21" s="95"/>
      <c r="R21" s="95"/>
      <c r="S21" s="95"/>
      <c r="T21" s="95"/>
      <c r="U21" s="196"/>
      <c r="V21" s="195"/>
      <c r="W21" s="195" t="s">
        <v>388</v>
      </c>
      <c r="X21" s="195" t="s">
        <v>389</v>
      </c>
      <c r="Y21" s="196"/>
      <c r="Z21" s="196"/>
      <c r="AA21" s="196"/>
      <c r="AB21" s="195" t="s">
        <v>476</v>
      </c>
      <c r="AC21" s="196"/>
      <c r="AD21" s="196"/>
    </row>
    <row r="22" spans="1:30">
      <c r="A22" s="189"/>
      <c r="B22" s="190"/>
      <c r="C22" s="190"/>
      <c r="D22" s="190"/>
      <c r="E22" s="190"/>
      <c r="F22" s="190"/>
      <c r="G22" s="190"/>
      <c r="H22" s="190"/>
      <c r="I22" s="190"/>
      <c r="J22" s="190"/>
      <c r="K22" s="190"/>
      <c r="L22" s="189"/>
      <c r="M22" s="189"/>
      <c r="N22" s="189"/>
      <c r="O22" s="190"/>
      <c r="P22" s="191"/>
      <c r="Q22" s="95"/>
      <c r="R22" s="95"/>
      <c r="S22" s="95"/>
      <c r="T22" s="95"/>
      <c r="U22" s="196"/>
      <c r="V22" s="195"/>
      <c r="W22" s="195" t="s">
        <v>390</v>
      </c>
      <c r="X22" s="195" t="s">
        <v>391</v>
      </c>
      <c r="Y22" s="196"/>
      <c r="Z22" s="196"/>
      <c r="AA22" s="196"/>
      <c r="AB22" s="195" t="s">
        <v>478</v>
      </c>
      <c r="AC22" s="196"/>
      <c r="AD22" s="196"/>
    </row>
    <row r="23" spans="1:30">
      <c r="A23" s="189"/>
      <c r="B23" s="190"/>
      <c r="C23" s="190"/>
      <c r="D23" s="190"/>
      <c r="E23" s="190"/>
      <c r="F23" s="190"/>
      <c r="G23" s="190"/>
      <c r="H23" s="190"/>
      <c r="I23" s="190"/>
      <c r="J23" s="190"/>
      <c r="K23" s="190"/>
      <c r="L23" s="189"/>
      <c r="M23" s="189"/>
      <c r="N23" s="189"/>
      <c r="O23" s="190"/>
      <c r="P23" s="191"/>
      <c r="Q23" s="95"/>
      <c r="R23" s="95"/>
      <c r="S23" s="95"/>
      <c r="T23" s="95"/>
      <c r="U23" s="196"/>
      <c r="V23" s="195"/>
      <c r="W23" s="195" t="s">
        <v>392</v>
      </c>
      <c r="X23" s="195" t="s">
        <v>393</v>
      </c>
      <c r="Y23" s="196"/>
      <c r="Z23" s="196"/>
      <c r="AA23" s="196"/>
      <c r="AB23" s="195" t="s">
        <v>481</v>
      </c>
      <c r="AC23" s="196"/>
      <c r="AD23" s="196"/>
    </row>
    <row r="24" spans="1:30">
      <c r="A24" s="189"/>
      <c r="B24" s="190"/>
      <c r="C24" s="190"/>
      <c r="D24" s="190"/>
      <c r="E24" s="190"/>
      <c r="F24" s="190"/>
      <c r="G24" s="190"/>
      <c r="H24" s="190"/>
      <c r="I24" s="190"/>
      <c r="J24" s="190"/>
      <c r="K24" s="190"/>
      <c r="L24" s="189"/>
      <c r="M24" s="189"/>
      <c r="N24" s="189"/>
      <c r="O24" s="190"/>
      <c r="P24" s="191"/>
      <c r="Q24" s="95"/>
      <c r="R24" s="95"/>
      <c r="S24" s="95"/>
      <c r="T24" s="95"/>
      <c r="U24" s="196"/>
      <c r="V24" s="195"/>
      <c r="W24" s="195" t="s">
        <v>394</v>
      </c>
      <c r="X24" s="195" t="s">
        <v>395</v>
      </c>
      <c r="Y24" s="196"/>
      <c r="Z24" s="196"/>
      <c r="AA24" s="196"/>
      <c r="AB24" s="192" t="s">
        <v>484</v>
      </c>
      <c r="AC24" s="196"/>
      <c r="AD24" s="196"/>
    </row>
    <row r="25" spans="1:30">
      <c r="A25" s="189"/>
      <c r="B25" s="190"/>
      <c r="C25" s="190"/>
      <c r="D25" s="190"/>
      <c r="E25" s="190"/>
      <c r="F25" s="190"/>
      <c r="G25" s="190"/>
      <c r="H25" s="190"/>
      <c r="I25" s="190"/>
      <c r="J25" s="190"/>
      <c r="K25" s="190"/>
      <c r="L25" s="189"/>
      <c r="M25" s="189"/>
      <c r="N25" s="189"/>
      <c r="O25" s="190"/>
      <c r="P25" s="191"/>
      <c r="Q25" s="95"/>
      <c r="R25" s="95"/>
      <c r="S25" s="95"/>
      <c r="T25" s="95"/>
      <c r="U25" s="196"/>
      <c r="V25" s="195"/>
      <c r="W25" s="195" t="s">
        <v>397</v>
      </c>
      <c r="X25" s="195" t="s">
        <v>398</v>
      </c>
      <c r="Y25" s="196"/>
      <c r="Z25" s="196"/>
      <c r="AA25" s="196"/>
      <c r="AB25" s="195" t="s">
        <v>485</v>
      </c>
      <c r="AC25" s="196"/>
      <c r="AD25" s="196"/>
    </row>
    <row r="26" spans="1:30">
      <c r="A26" s="189"/>
      <c r="B26" s="190"/>
      <c r="C26" s="190"/>
      <c r="D26" s="190"/>
      <c r="E26" s="190"/>
      <c r="F26" s="190"/>
      <c r="G26" s="190"/>
      <c r="H26" s="190"/>
      <c r="I26" s="190"/>
      <c r="J26" s="190"/>
      <c r="K26" s="190"/>
      <c r="L26" s="189"/>
      <c r="M26" s="189"/>
      <c r="N26" s="189"/>
      <c r="O26" s="190"/>
      <c r="P26" s="191"/>
      <c r="Q26" s="95"/>
      <c r="R26" s="95"/>
      <c r="S26" s="95"/>
      <c r="T26" s="95"/>
      <c r="U26" s="196"/>
      <c r="V26" s="195"/>
      <c r="W26" s="195" t="s">
        <v>399</v>
      </c>
      <c r="X26" s="195" t="s">
        <v>400</v>
      </c>
      <c r="Y26" s="196"/>
      <c r="Z26" s="196"/>
      <c r="AA26" s="196"/>
      <c r="AB26" s="195" t="s">
        <v>490</v>
      </c>
      <c r="AC26" s="196"/>
      <c r="AD26" s="196"/>
    </row>
    <row r="27" spans="1:30">
      <c r="A27" s="189"/>
      <c r="B27" s="190"/>
      <c r="C27" s="190"/>
      <c r="D27" s="190"/>
      <c r="E27" s="190"/>
      <c r="F27" s="190"/>
      <c r="G27" s="190"/>
      <c r="H27" s="190"/>
      <c r="I27" s="190"/>
      <c r="J27" s="190"/>
      <c r="K27" s="190"/>
      <c r="L27" s="189"/>
      <c r="M27" s="189"/>
      <c r="N27" s="189"/>
      <c r="O27" s="190"/>
      <c r="P27" s="191"/>
      <c r="Q27" s="95"/>
      <c r="R27" s="95"/>
      <c r="S27" s="95"/>
      <c r="T27" s="95"/>
      <c r="U27" s="196"/>
      <c r="V27" s="195"/>
      <c r="W27" s="195" t="s">
        <v>401</v>
      </c>
      <c r="X27" s="195" t="s">
        <v>402</v>
      </c>
      <c r="Y27" s="196"/>
      <c r="Z27" s="196"/>
      <c r="AA27" s="196"/>
      <c r="AB27" s="195" t="s">
        <v>494</v>
      </c>
      <c r="AC27" s="196"/>
      <c r="AD27" s="196"/>
    </row>
    <row r="28" spans="1:30">
      <c r="A28" s="189"/>
      <c r="B28" s="190"/>
      <c r="C28" s="190"/>
      <c r="D28" s="190"/>
      <c r="E28" s="190"/>
      <c r="F28" s="190"/>
      <c r="G28" s="190"/>
      <c r="H28" s="190"/>
      <c r="I28" s="190"/>
      <c r="J28" s="190"/>
      <c r="K28" s="190"/>
      <c r="L28" s="189"/>
      <c r="M28" s="189"/>
      <c r="N28" s="189"/>
      <c r="O28" s="190"/>
      <c r="P28" s="191"/>
      <c r="Q28" s="95"/>
      <c r="R28" s="95"/>
      <c r="S28" s="95"/>
      <c r="T28" s="95"/>
      <c r="U28" s="196"/>
      <c r="V28" s="195"/>
      <c r="W28" s="195" t="s">
        <v>403</v>
      </c>
      <c r="X28" s="195" t="s">
        <v>404</v>
      </c>
      <c r="Y28" s="196"/>
      <c r="Z28" s="196"/>
      <c r="AA28" s="196"/>
      <c r="AB28" s="195" t="s">
        <v>496</v>
      </c>
      <c r="AC28" s="196"/>
      <c r="AD28" s="196"/>
    </row>
    <row r="29" spans="1:30">
      <c r="A29" s="189"/>
      <c r="B29" s="190"/>
      <c r="C29" s="190"/>
      <c r="D29" s="190"/>
      <c r="E29" s="190"/>
      <c r="F29" s="190"/>
      <c r="G29" s="190"/>
      <c r="H29" s="190"/>
      <c r="I29" s="190"/>
      <c r="J29" s="190"/>
      <c r="K29" s="190"/>
      <c r="L29" s="189"/>
      <c r="M29" s="189"/>
      <c r="N29" s="189"/>
      <c r="O29" s="190"/>
      <c r="P29" s="191"/>
      <c r="Q29" s="95"/>
      <c r="R29" s="95"/>
      <c r="S29" s="95"/>
      <c r="T29" s="95"/>
      <c r="U29" s="196"/>
      <c r="V29" s="195"/>
      <c r="W29" s="195" t="s">
        <v>406</v>
      </c>
      <c r="X29" s="195" t="s">
        <v>407</v>
      </c>
      <c r="Y29" s="196"/>
      <c r="Z29" s="196"/>
      <c r="AA29" s="196"/>
      <c r="AB29" s="195" t="s">
        <v>501</v>
      </c>
      <c r="AC29" s="196"/>
      <c r="AD29" s="196"/>
    </row>
    <row r="30" spans="1:30">
      <c r="A30" s="189"/>
      <c r="B30" s="190"/>
      <c r="C30" s="190"/>
      <c r="D30" s="190"/>
      <c r="E30" s="190"/>
      <c r="F30" s="190"/>
      <c r="G30" s="190"/>
      <c r="H30" s="190"/>
      <c r="I30" s="190"/>
      <c r="J30" s="190"/>
      <c r="K30" s="190"/>
      <c r="L30" s="189"/>
      <c r="M30" s="189"/>
      <c r="N30" s="189"/>
      <c r="O30" s="190"/>
      <c r="P30" s="191"/>
      <c r="Q30" s="95"/>
      <c r="R30" s="95"/>
      <c r="S30" s="95"/>
      <c r="T30" s="95"/>
      <c r="U30" s="196"/>
      <c r="V30" s="195"/>
      <c r="W30" s="195" t="s">
        <v>409</v>
      </c>
      <c r="X30" s="195" t="s">
        <v>410</v>
      </c>
      <c r="Y30" s="196"/>
      <c r="Z30" s="196"/>
      <c r="AA30" s="196"/>
      <c r="AB30" s="192" t="s">
        <v>506</v>
      </c>
      <c r="AC30" s="196"/>
      <c r="AD30" s="196"/>
    </row>
    <row r="31" spans="1:30">
      <c r="A31" s="189"/>
      <c r="B31" s="190"/>
      <c r="C31" s="190"/>
      <c r="D31" s="190"/>
      <c r="E31" s="190"/>
      <c r="F31" s="190"/>
      <c r="G31" s="190"/>
      <c r="H31" s="190"/>
      <c r="I31" s="190"/>
      <c r="J31" s="190"/>
      <c r="K31" s="190"/>
      <c r="L31" s="189"/>
      <c r="M31" s="189"/>
      <c r="N31" s="189"/>
      <c r="O31" s="190"/>
      <c r="P31" s="191"/>
      <c r="Q31" s="95"/>
      <c r="R31" s="95"/>
      <c r="S31" s="95"/>
      <c r="T31" s="95"/>
      <c r="U31" s="196"/>
      <c r="V31" s="195"/>
      <c r="W31" s="195" t="s">
        <v>412</v>
      </c>
      <c r="X31" s="195" t="s">
        <v>413</v>
      </c>
      <c r="Y31" s="196"/>
      <c r="Z31" s="196"/>
      <c r="AA31" s="196"/>
      <c r="AB31" s="195" t="s">
        <v>510</v>
      </c>
      <c r="AC31" s="196"/>
      <c r="AD31" s="196"/>
    </row>
    <row r="32" spans="1:30">
      <c r="A32" s="189"/>
      <c r="B32" s="190"/>
      <c r="C32" s="190"/>
      <c r="D32" s="190"/>
      <c r="E32" s="190"/>
      <c r="F32" s="190"/>
      <c r="G32" s="190"/>
      <c r="H32" s="190"/>
      <c r="I32" s="190"/>
      <c r="J32" s="190"/>
      <c r="K32" s="190"/>
      <c r="L32" s="189"/>
      <c r="M32" s="189"/>
      <c r="N32" s="189"/>
      <c r="O32" s="190"/>
      <c r="P32" s="191"/>
      <c r="Q32" s="95"/>
      <c r="R32" s="95"/>
      <c r="S32" s="95"/>
      <c r="T32" s="95"/>
      <c r="U32" s="196"/>
      <c r="V32" s="195"/>
      <c r="W32" s="195" t="s">
        <v>285</v>
      </c>
      <c r="X32" s="195" t="s">
        <v>414</v>
      </c>
      <c r="Y32" s="196"/>
      <c r="Z32" s="196"/>
      <c r="AA32" s="196"/>
      <c r="AB32" s="195" t="s">
        <v>515</v>
      </c>
      <c r="AC32" s="196"/>
      <c r="AD32" s="196"/>
    </row>
    <row r="33" spans="1:30">
      <c r="A33" s="189"/>
      <c r="B33" s="190"/>
      <c r="C33" s="190"/>
      <c r="D33" s="190"/>
      <c r="E33" s="190"/>
      <c r="F33" s="190"/>
      <c r="G33" s="190"/>
      <c r="H33" s="190"/>
      <c r="I33" s="190"/>
      <c r="J33" s="190"/>
      <c r="K33" s="190"/>
      <c r="L33" s="189"/>
      <c r="M33" s="189"/>
      <c r="N33" s="189"/>
      <c r="O33" s="190"/>
      <c r="P33" s="191"/>
      <c r="Q33" s="95"/>
      <c r="R33" s="95"/>
      <c r="S33" s="95"/>
      <c r="T33" s="95"/>
      <c r="U33" s="196"/>
      <c r="V33" s="195"/>
      <c r="W33" s="195" t="s">
        <v>415</v>
      </c>
      <c r="X33" s="195" t="s">
        <v>416</v>
      </c>
      <c r="Y33" s="196"/>
      <c r="Z33" s="196"/>
      <c r="AA33" s="196"/>
      <c r="AB33" s="195" t="s">
        <v>517</v>
      </c>
      <c r="AC33" s="196"/>
      <c r="AD33" s="196"/>
    </row>
    <row r="34" spans="1:30">
      <c r="A34" s="189"/>
      <c r="B34" s="190"/>
      <c r="C34" s="190"/>
      <c r="D34" s="190"/>
      <c r="E34" s="190"/>
      <c r="F34" s="190"/>
      <c r="G34" s="190"/>
      <c r="H34" s="190"/>
      <c r="I34" s="190"/>
      <c r="J34" s="190"/>
      <c r="K34" s="190"/>
      <c r="L34" s="189"/>
      <c r="M34" s="189"/>
      <c r="N34" s="189"/>
      <c r="O34" s="190"/>
      <c r="P34" s="191"/>
      <c r="Q34" s="95"/>
      <c r="R34" s="95"/>
      <c r="S34" s="95"/>
      <c r="T34" s="95"/>
      <c r="U34" s="196"/>
      <c r="V34" s="195"/>
      <c r="W34" s="195" t="s">
        <v>417</v>
      </c>
      <c r="X34" s="195" t="s">
        <v>418</v>
      </c>
      <c r="Y34" s="196"/>
      <c r="Z34" s="196"/>
      <c r="AA34" s="196"/>
      <c r="AB34" s="192" t="s">
        <v>521</v>
      </c>
      <c r="AC34" s="196"/>
      <c r="AD34" s="196"/>
    </row>
    <row r="35" spans="1:30">
      <c r="A35" s="189"/>
      <c r="B35" s="190"/>
      <c r="C35" s="190"/>
      <c r="D35" s="190"/>
      <c r="E35" s="190"/>
      <c r="F35" s="190"/>
      <c r="G35" s="190"/>
      <c r="H35" s="190"/>
      <c r="I35" s="190"/>
      <c r="J35" s="190"/>
      <c r="K35" s="190"/>
      <c r="L35" s="189"/>
      <c r="M35" s="189"/>
      <c r="N35" s="189"/>
      <c r="O35" s="190"/>
      <c r="P35" s="191"/>
      <c r="Q35" s="95"/>
      <c r="R35" s="95"/>
      <c r="S35" s="95"/>
      <c r="T35" s="95"/>
      <c r="U35" s="196"/>
      <c r="V35" s="195"/>
      <c r="W35" s="194" t="s">
        <v>299</v>
      </c>
      <c r="X35" s="195" t="s">
        <v>420</v>
      </c>
      <c r="Y35" s="196"/>
      <c r="Z35" s="196"/>
      <c r="AA35" s="196"/>
      <c r="AB35" s="195" t="s">
        <v>526</v>
      </c>
      <c r="AC35" s="196"/>
      <c r="AD35" s="196"/>
    </row>
    <row r="36" spans="1:30">
      <c r="A36" s="189"/>
      <c r="B36" s="190"/>
      <c r="C36" s="190"/>
      <c r="D36" s="190"/>
      <c r="E36" s="190"/>
      <c r="F36" s="190"/>
      <c r="G36" s="190"/>
      <c r="H36" s="190"/>
      <c r="I36" s="190"/>
      <c r="J36" s="190"/>
      <c r="K36" s="190"/>
      <c r="L36" s="189"/>
      <c r="M36" s="189"/>
      <c r="N36" s="189"/>
      <c r="O36" s="190"/>
      <c r="P36" s="191"/>
      <c r="Q36" s="95"/>
      <c r="R36" s="95"/>
      <c r="S36" s="95"/>
      <c r="T36" s="95"/>
      <c r="U36" s="196"/>
      <c r="V36" s="195"/>
      <c r="W36" s="195" t="s">
        <v>421</v>
      </c>
      <c r="X36" s="195" t="s">
        <v>422</v>
      </c>
      <c r="Y36" s="196"/>
      <c r="Z36" s="196"/>
      <c r="AA36" s="196"/>
      <c r="AB36" s="195" t="s">
        <v>532</v>
      </c>
      <c r="AC36" s="196"/>
      <c r="AD36" s="196"/>
    </row>
    <row r="37" spans="1:30">
      <c r="A37" s="189"/>
      <c r="B37" s="190"/>
      <c r="C37" s="190"/>
      <c r="D37" s="190"/>
      <c r="E37" s="190"/>
      <c r="F37" s="190"/>
      <c r="G37" s="190"/>
      <c r="H37" s="190"/>
      <c r="I37" s="190"/>
      <c r="J37" s="190"/>
      <c r="K37" s="190"/>
      <c r="L37" s="189"/>
      <c r="M37" s="189"/>
      <c r="N37" s="189"/>
      <c r="O37" s="190"/>
      <c r="P37" s="191"/>
      <c r="Q37" s="95"/>
      <c r="R37" s="95"/>
      <c r="S37" s="95"/>
      <c r="T37" s="95"/>
      <c r="U37" s="196"/>
      <c r="V37" s="195"/>
      <c r="W37" s="195" t="s">
        <v>423</v>
      </c>
      <c r="X37" s="195" t="s">
        <v>424</v>
      </c>
      <c r="Y37" s="196"/>
      <c r="Z37" s="196"/>
      <c r="AA37" s="196"/>
      <c r="AB37" s="195" t="s">
        <v>536</v>
      </c>
      <c r="AC37" s="196"/>
      <c r="AD37" s="196"/>
    </row>
    <row r="38" spans="1:30">
      <c r="A38" s="189"/>
      <c r="B38" s="190"/>
      <c r="C38" s="190"/>
      <c r="D38" s="190"/>
      <c r="E38" s="190"/>
      <c r="F38" s="190"/>
      <c r="G38" s="190"/>
      <c r="H38" s="190"/>
      <c r="I38" s="190"/>
      <c r="J38" s="190"/>
      <c r="K38" s="190"/>
      <c r="L38" s="189"/>
      <c r="M38" s="189"/>
      <c r="N38" s="189"/>
      <c r="O38" s="190"/>
      <c r="P38" s="191"/>
      <c r="Q38" s="95"/>
      <c r="R38" s="95"/>
      <c r="S38" s="95"/>
      <c r="T38" s="95"/>
      <c r="U38" s="196"/>
      <c r="V38" s="195"/>
      <c r="W38" s="195" t="s">
        <v>426</v>
      </c>
      <c r="X38" s="195" t="s">
        <v>427</v>
      </c>
      <c r="Y38" s="196"/>
      <c r="Z38" s="196"/>
      <c r="AA38" s="196"/>
      <c r="AB38" s="192" t="s">
        <v>539</v>
      </c>
      <c r="AC38" s="196"/>
      <c r="AD38" s="196"/>
    </row>
    <row r="39" spans="1:30">
      <c r="A39" s="189"/>
      <c r="B39" s="190"/>
      <c r="C39" s="190"/>
      <c r="D39" s="190"/>
      <c r="E39" s="190"/>
      <c r="F39" s="190"/>
      <c r="G39" s="190"/>
      <c r="H39" s="190"/>
      <c r="I39" s="190"/>
      <c r="J39" s="190"/>
      <c r="K39" s="190"/>
      <c r="L39" s="189"/>
      <c r="M39" s="189"/>
      <c r="N39" s="189"/>
      <c r="O39" s="190"/>
      <c r="P39" s="191"/>
      <c r="Q39" s="95"/>
      <c r="R39" s="95"/>
      <c r="S39" s="95"/>
      <c r="T39" s="95"/>
      <c r="U39" s="196"/>
      <c r="V39" s="195"/>
      <c r="W39" s="195" t="s">
        <v>429</v>
      </c>
      <c r="X39" s="195" t="s">
        <v>430</v>
      </c>
      <c r="Y39" s="196"/>
      <c r="Z39" s="196"/>
      <c r="AA39" s="196"/>
      <c r="AB39" s="195" t="s">
        <v>541</v>
      </c>
      <c r="AC39" s="196"/>
      <c r="AD39" s="196"/>
    </row>
    <row r="40" spans="1:30">
      <c r="A40" s="189"/>
      <c r="B40" s="190"/>
      <c r="C40" s="190"/>
      <c r="D40" s="190"/>
      <c r="E40" s="190"/>
      <c r="F40" s="190"/>
      <c r="G40" s="190"/>
      <c r="H40" s="190"/>
      <c r="I40" s="190"/>
      <c r="J40" s="190"/>
      <c r="K40" s="190"/>
      <c r="L40" s="189"/>
      <c r="M40" s="189"/>
      <c r="N40" s="189"/>
      <c r="O40" s="190"/>
      <c r="P40" s="191"/>
      <c r="Q40" s="95"/>
      <c r="R40" s="95"/>
      <c r="S40" s="95"/>
      <c r="T40" s="95"/>
      <c r="U40" s="196"/>
      <c r="V40" s="195"/>
      <c r="W40" s="195" t="s">
        <v>431</v>
      </c>
      <c r="X40" s="195" t="s">
        <v>432</v>
      </c>
      <c r="Y40" s="196"/>
      <c r="Z40" s="196"/>
      <c r="AA40" s="196"/>
      <c r="AB40" s="195" t="s">
        <v>299</v>
      </c>
      <c r="AC40" s="196"/>
      <c r="AD40" s="196"/>
    </row>
    <row r="41" spans="1:30">
      <c r="A41" s="189"/>
      <c r="B41" s="190"/>
      <c r="C41" s="190"/>
      <c r="D41" s="190"/>
      <c r="E41" s="190"/>
      <c r="F41" s="190"/>
      <c r="G41" s="190"/>
      <c r="H41" s="190"/>
      <c r="I41" s="190"/>
      <c r="J41" s="190"/>
      <c r="K41" s="190"/>
      <c r="L41" s="189"/>
      <c r="M41" s="189"/>
      <c r="N41" s="189"/>
      <c r="O41" s="190"/>
      <c r="P41" s="191"/>
      <c r="Q41" s="95"/>
      <c r="R41" s="95"/>
      <c r="S41" s="95"/>
      <c r="T41" s="95"/>
      <c r="U41" s="196"/>
      <c r="V41" s="195"/>
      <c r="W41" s="195" t="s">
        <v>433</v>
      </c>
      <c r="X41" s="195" t="s">
        <v>434</v>
      </c>
      <c r="Y41" s="196"/>
      <c r="Z41" s="196"/>
      <c r="AA41" s="196"/>
      <c r="AB41" s="195" t="s">
        <v>546</v>
      </c>
      <c r="AC41" s="196"/>
      <c r="AD41" s="196"/>
    </row>
    <row r="42" spans="1:30">
      <c r="A42" s="189"/>
      <c r="B42" s="190"/>
      <c r="C42" s="190"/>
      <c r="D42" s="190"/>
      <c r="E42" s="190"/>
      <c r="F42" s="190"/>
      <c r="G42" s="190"/>
      <c r="H42" s="190"/>
      <c r="I42" s="190"/>
      <c r="J42" s="190"/>
      <c r="K42" s="190"/>
      <c r="L42" s="189"/>
      <c r="M42" s="189"/>
      <c r="N42" s="189"/>
      <c r="O42" s="190"/>
      <c r="P42" s="191"/>
      <c r="Q42" s="95"/>
      <c r="R42" s="95"/>
      <c r="S42" s="95"/>
      <c r="T42" s="95"/>
      <c r="U42" s="196"/>
      <c r="V42" s="195"/>
      <c r="W42" s="195" t="s">
        <v>435</v>
      </c>
      <c r="X42" s="195" t="s">
        <v>436</v>
      </c>
      <c r="Y42" s="196"/>
      <c r="Z42" s="196"/>
      <c r="AA42" s="196"/>
      <c r="AB42" s="192" t="s">
        <v>548</v>
      </c>
      <c r="AC42" s="196"/>
      <c r="AD42" s="196"/>
    </row>
    <row r="43" spans="1:30">
      <c r="A43" s="189"/>
      <c r="B43" s="190"/>
      <c r="C43" s="190"/>
      <c r="D43" s="190"/>
      <c r="E43" s="190"/>
      <c r="F43" s="190"/>
      <c r="G43" s="190"/>
      <c r="H43" s="190"/>
      <c r="I43" s="190"/>
      <c r="J43" s="190"/>
      <c r="K43" s="190"/>
      <c r="L43" s="189"/>
      <c r="M43" s="189"/>
      <c r="N43" s="189"/>
      <c r="O43" s="190"/>
      <c r="P43" s="191"/>
      <c r="Q43" s="95"/>
      <c r="R43" s="95"/>
      <c r="S43" s="95"/>
      <c r="T43" s="95"/>
      <c r="U43" s="196"/>
      <c r="V43" s="195"/>
      <c r="W43" s="195" t="s">
        <v>438</v>
      </c>
      <c r="X43" s="195" t="s">
        <v>439</v>
      </c>
      <c r="Y43" s="196"/>
      <c r="Z43" s="196"/>
      <c r="AA43" s="196"/>
      <c r="AB43" s="195" t="s">
        <v>550</v>
      </c>
      <c r="AC43" s="196"/>
      <c r="AD43" s="196"/>
    </row>
    <row r="44" spans="1:30">
      <c r="A44" s="189"/>
      <c r="B44" s="190"/>
      <c r="C44" s="190"/>
      <c r="D44" s="190"/>
      <c r="E44" s="190"/>
      <c r="F44" s="190"/>
      <c r="G44" s="190"/>
      <c r="H44" s="190"/>
      <c r="I44" s="190"/>
      <c r="J44" s="190"/>
      <c r="K44" s="190"/>
      <c r="L44" s="189"/>
      <c r="M44" s="189"/>
      <c r="N44" s="189"/>
      <c r="O44" s="190"/>
      <c r="P44" s="191"/>
      <c r="Q44" s="95"/>
      <c r="R44" s="95"/>
      <c r="S44" s="95"/>
      <c r="T44" s="95"/>
      <c r="U44" s="196"/>
      <c r="V44" s="195"/>
      <c r="W44" s="195" t="s">
        <v>440</v>
      </c>
      <c r="X44" s="195" t="s">
        <v>347</v>
      </c>
      <c r="Y44" s="196"/>
      <c r="Z44" s="196"/>
      <c r="AA44" s="196"/>
      <c r="AB44" s="195" t="s">
        <v>555</v>
      </c>
      <c r="AC44" s="196"/>
      <c r="AD44" s="196"/>
    </row>
    <row r="45" spans="1:30">
      <c r="A45" s="189"/>
      <c r="B45" s="190"/>
      <c r="C45" s="190"/>
      <c r="D45" s="190"/>
      <c r="E45" s="190"/>
      <c r="F45" s="190"/>
      <c r="G45" s="190"/>
      <c r="H45" s="190"/>
      <c r="I45" s="190"/>
      <c r="J45" s="190"/>
      <c r="K45" s="190"/>
      <c r="L45" s="189"/>
      <c r="M45" s="189"/>
      <c r="N45" s="189"/>
      <c r="O45" s="190"/>
      <c r="P45" s="191"/>
      <c r="Q45" s="95"/>
      <c r="R45" s="95"/>
      <c r="S45" s="95"/>
      <c r="T45" s="95"/>
      <c r="U45" s="196"/>
      <c r="V45" s="195"/>
      <c r="W45" s="195" t="s">
        <v>441</v>
      </c>
      <c r="X45" s="195" t="s">
        <v>442</v>
      </c>
      <c r="Y45" s="196"/>
      <c r="Z45" s="196"/>
      <c r="AA45" s="196"/>
      <c r="AB45" s="195" t="s">
        <v>560</v>
      </c>
      <c r="AC45" s="196"/>
      <c r="AD45" s="196"/>
    </row>
    <row r="46" spans="1:30">
      <c r="A46" s="189"/>
      <c r="B46" s="190"/>
      <c r="C46" s="190"/>
      <c r="D46" s="190"/>
      <c r="E46" s="190"/>
      <c r="F46" s="190"/>
      <c r="G46" s="190"/>
      <c r="H46" s="190"/>
      <c r="I46" s="190"/>
      <c r="J46" s="190"/>
      <c r="K46" s="190"/>
      <c r="L46" s="189"/>
      <c r="M46" s="189"/>
      <c r="N46" s="189"/>
      <c r="O46" s="190"/>
      <c r="P46" s="191"/>
      <c r="Q46" s="95"/>
      <c r="R46" s="95"/>
      <c r="S46" s="95"/>
      <c r="T46" s="95"/>
      <c r="U46" s="196"/>
      <c r="V46" s="195"/>
      <c r="W46" s="195" t="s">
        <v>443</v>
      </c>
      <c r="X46" s="195" t="s">
        <v>444</v>
      </c>
      <c r="Y46" s="196"/>
      <c r="Z46" s="196"/>
      <c r="AA46" s="196"/>
      <c r="AB46" s="192" t="s">
        <v>366</v>
      </c>
      <c r="AC46" s="196"/>
      <c r="AD46" s="196"/>
    </row>
    <row r="47" spans="1:30">
      <c r="A47" s="189"/>
      <c r="B47" s="190"/>
      <c r="C47" s="190"/>
      <c r="D47" s="190"/>
      <c r="E47" s="190"/>
      <c r="F47" s="190"/>
      <c r="G47" s="190"/>
      <c r="H47" s="190"/>
      <c r="I47" s="190"/>
      <c r="J47" s="190"/>
      <c r="K47" s="190"/>
      <c r="L47" s="189"/>
      <c r="M47" s="189"/>
      <c r="N47" s="189"/>
      <c r="O47" s="190"/>
      <c r="P47" s="191"/>
      <c r="Q47" s="95"/>
      <c r="R47" s="95"/>
      <c r="S47" s="95"/>
      <c r="T47" s="95"/>
      <c r="U47" s="196"/>
      <c r="V47" s="195"/>
      <c r="W47" s="195" t="s">
        <v>446</v>
      </c>
      <c r="X47" s="195" t="s">
        <v>447</v>
      </c>
      <c r="Y47" s="196"/>
      <c r="Z47" s="196"/>
      <c r="AA47" s="196"/>
      <c r="AB47" s="195" t="s">
        <v>567</v>
      </c>
      <c r="AC47" s="196"/>
      <c r="AD47" s="196"/>
    </row>
    <row r="48" spans="1:30">
      <c r="A48" s="189"/>
      <c r="B48" s="190"/>
      <c r="C48" s="190"/>
      <c r="D48" s="190"/>
      <c r="E48" s="190"/>
      <c r="F48" s="190"/>
      <c r="G48" s="190"/>
      <c r="H48" s="190"/>
      <c r="I48" s="190"/>
      <c r="J48" s="190"/>
      <c r="K48" s="190"/>
      <c r="L48" s="189"/>
      <c r="M48" s="189"/>
      <c r="N48" s="189"/>
      <c r="O48" s="190"/>
      <c r="P48" s="191"/>
      <c r="Q48" s="95"/>
      <c r="R48" s="95"/>
      <c r="S48" s="95"/>
      <c r="T48" s="95"/>
      <c r="U48" s="196"/>
      <c r="V48" s="195"/>
      <c r="W48" s="195" t="s">
        <v>448</v>
      </c>
      <c r="X48" s="195" t="s">
        <v>449</v>
      </c>
      <c r="Y48" s="196"/>
      <c r="Z48" s="196"/>
      <c r="AA48" s="196"/>
      <c r="AB48" s="195" t="s">
        <v>570</v>
      </c>
      <c r="AC48" s="196"/>
      <c r="AD48" s="196"/>
    </row>
    <row r="49" spans="1:30">
      <c r="A49" s="189"/>
      <c r="B49" s="190"/>
      <c r="C49" s="190"/>
      <c r="D49" s="190"/>
      <c r="E49" s="190"/>
      <c r="F49" s="190"/>
      <c r="G49" s="190"/>
      <c r="H49" s="190"/>
      <c r="I49" s="190"/>
      <c r="J49" s="190"/>
      <c r="K49" s="190"/>
      <c r="L49" s="189"/>
      <c r="M49" s="189"/>
      <c r="N49" s="189"/>
      <c r="O49" s="190"/>
      <c r="P49" s="191"/>
      <c r="Q49" s="95"/>
      <c r="R49" s="95"/>
      <c r="S49" s="95"/>
      <c r="T49" s="95"/>
      <c r="U49" s="196"/>
      <c r="V49" s="195"/>
      <c r="W49" s="195" t="s">
        <v>450</v>
      </c>
      <c r="X49" s="195" t="s">
        <v>451</v>
      </c>
      <c r="Y49" s="196"/>
      <c r="Z49" s="196"/>
      <c r="AA49" s="196"/>
      <c r="AB49" s="195" t="s">
        <v>572</v>
      </c>
      <c r="AC49" s="196"/>
      <c r="AD49" s="196"/>
    </row>
    <row r="50" spans="1:30">
      <c r="A50" s="189"/>
      <c r="B50" s="190"/>
      <c r="C50" s="190"/>
      <c r="D50" s="190"/>
      <c r="E50" s="190"/>
      <c r="F50" s="190"/>
      <c r="G50" s="190"/>
      <c r="H50" s="190"/>
      <c r="I50" s="190"/>
      <c r="J50" s="190"/>
      <c r="K50" s="190"/>
      <c r="L50" s="189"/>
      <c r="M50" s="189"/>
      <c r="N50" s="189"/>
      <c r="O50" s="190"/>
      <c r="P50" s="191"/>
      <c r="Q50" s="95"/>
      <c r="R50" s="95"/>
      <c r="S50" s="95"/>
      <c r="T50" s="95"/>
      <c r="U50" s="196"/>
      <c r="V50" s="195"/>
      <c r="W50" s="195" t="s">
        <v>452</v>
      </c>
      <c r="X50" s="195" t="s">
        <v>453</v>
      </c>
      <c r="Y50" s="196"/>
      <c r="Z50" s="196"/>
      <c r="AA50" s="196"/>
      <c r="AB50" s="192" t="s">
        <v>574</v>
      </c>
      <c r="AC50" s="196"/>
      <c r="AD50" s="196"/>
    </row>
    <row r="51" spans="1:30">
      <c r="A51" s="95"/>
      <c r="B51" s="95"/>
      <c r="C51" s="95"/>
      <c r="D51" s="95"/>
      <c r="E51" s="95"/>
      <c r="F51" s="95"/>
      <c r="G51" s="95"/>
      <c r="H51" s="95"/>
      <c r="I51" s="95"/>
      <c r="J51" s="95"/>
      <c r="K51" s="95"/>
      <c r="L51" s="95"/>
      <c r="M51" s="95"/>
      <c r="N51" s="95"/>
      <c r="O51" s="95"/>
      <c r="P51" s="95"/>
      <c r="Q51" s="95"/>
      <c r="R51" s="95"/>
      <c r="S51" s="95"/>
      <c r="T51" s="95"/>
      <c r="U51" s="196"/>
      <c r="V51" s="195"/>
      <c r="W51" s="195" t="s">
        <v>455</v>
      </c>
      <c r="X51" s="195" t="s">
        <v>456</v>
      </c>
      <c r="Y51" s="196"/>
      <c r="Z51" s="196"/>
      <c r="AA51" s="196"/>
      <c r="AB51" s="195" t="s">
        <v>576</v>
      </c>
      <c r="AC51" s="196"/>
      <c r="AD51" s="196"/>
    </row>
    <row r="52" spans="1:30">
      <c r="A52" s="95"/>
      <c r="B52" s="95"/>
      <c r="C52" s="95"/>
      <c r="D52" s="95"/>
      <c r="E52" s="95"/>
      <c r="F52" s="95"/>
      <c r="G52" s="95"/>
      <c r="H52" s="95"/>
      <c r="I52" s="95"/>
      <c r="J52" s="95"/>
      <c r="K52" s="95"/>
      <c r="L52" s="95"/>
      <c r="M52" s="95"/>
      <c r="N52" s="95"/>
      <c r="O52" s="95"/>
      <c r="P52" s="95"/>
      <c r="Q52" s="95"/>
      <c r="R52" s="95"/>
      <c r="S52" s="95"/>
      <c r="T52" s="95"/>
      <c r="U52" s="196"/>
      <c r="V52" s="195"/>
      <c r="W52" s="195" t="s">
        <v>457</v>
      </c>
      <c r="X52" s="195" t="s">
        <v>458</v>
      </c>
      <c r="Y52" s="196"/>
      <c r="Z52" s="196"/>
      <c r="AA52" s="196"/>
      <c r="AB52" s="195" t="s">
        <v>579</v>
      </c>
      <c r="AC52" s="196"/>
      <c r="AD52" s="196"/>
    </row>
    <row r="53" spans="1:30">
      <c r="A53" s="95"/>
      <c r="B53" s="95"/>
      <c r="C53" s="95"/>
      <c r="D53" s="95"/>
      <c r="E53" s="95"/>
      <c r="F53" s="95"/>
      <c r="G53" s="95"/>
      <c r="H53" s="95"/>
      <c r="I53" s="95"/>
      <c r="J53" s="95"/>
      <c r="K53" s="95"/>
      <c r="L53" s="95"/>
      <c r="M53" s="95"/>
      <c r="N53" s="95"/>
      <c r="O53" s="95"/>
      <c r="P53" s="95"/>
      <c r="Q53" s="95"/>
      <c r="R53" s="95"/>
      <c r="S53" s="95"/>
      <c r="T53" s="95"/>
      <c r="U53" s="196"/>
      <c r="V53" s="195"/>
      <c r="W53" s="195" t="s">
        <v>459</v>
      </c>
      <c r="X53" s="195" t="s">
        <v>460</v>
      </c>
      <c r="Y53" s="196"/>
      <c r="Z53" s="196"/>
      <c r="AA53" s="196"/>
      <c r="AB53" s="195" t="s">
        <v>581</v>
      </c>
      <c r="AC53" s="196"/>
      <c r="AD53" s="196"/>
    </row>
    <row r="54" spans="1:30">
      <c r="A54" s="95"/>
      <c r="B54" s="95"/>
      <c r="C54" s="95"/>
      <c r="D54" s="95"/>
      <c r="E54" s="95"/>
      <c r="F54" s="95"/>
      <c r="G54" s="95"/>
      <c r="H54" s="95"/>
      <c r="I54" s="95"/>
      <c r="J54" s="95"/>
      <c r="K54" s="95"/>
      <c r="L54" s="95"/>
      <c r="M54" s="95"/>
      <c r="N54" s="95"/>
      <c r="O54" s="95"/>
      <c r="P54" s="95"/>
      <c r="Q54" s="95"/>
      <c r="R54" s="95"/>
      <c r="S54" s="95"/>
      <c r="T54" s="95"/>
      <c r="U54" s="196"/>
      <c r="V54" s="195"/>
      <c r="W54" s="195" t="s">
        <v>461</v>
      </c>
      <c r="X54" s="195" t="s">
        <v>462</v>
      </c>
      <c r="Y54" s="196"/>
      <c r="Z54" s="196"/>
      <c r="AA54" s="196"/>
      <c r="AB54" s="195" t="s">
        <v>583</v>
      </c>
      <c r="AC54" s="196"/>
      <c r="AD54" s="196"/>
    </row>
    <row r="55" spans="1:30">
      <c r="A55" s="95"/>
      <c r="B55" s="95"/>
      <c r="C55" s="95"/>
      <c r="D55" s="95"/>
      <c r="E55" s="95"/>
      <c r="F55" s="95"/>
      <c r="G55" s="95"/>
      <c r="H55" s="95"/>
      <c r="I55" s="95"/>
      <c r="J55" s="95"/>
      <c r="K55" s="95"/>
      <c r="L55" s="95"/>
      <c r="M55" s="95"/>
      <c r="N55" s="95"/>
      <c r="O55" s="95"/>
      <c r="P55" s="95"/>
      <c r="Q55" s="95"/>
      <c r="R55" s="95"/>
      <c r="S55" s="95"/>
      <c r="T55" s="95"/>
      <c r="U55" s="196"/>
      <c r="V55" s="195"/>
      <c r="W55" s="195" t="s">
        <v>464</v>
      </c>
      <c r="X55" s="195" t="s">
        <v>465</v>
      </c>
      <c r="Y55" s="196"/>
      <c r="Z55" s="196"/>
      <c r="AA55" s="196"/>
      <c r="AB55" s="195" t="s">
        <v>588</v>
      </c>
      <c r="AC55" s="196"/>
      <c r="AD55" s="196"/>
    </row>
    <row r="56" spans="1:30">
      <c r="A56" s="95"/>
      <c r="B56" s="95"/>
      <c r="C56" s="95"/>
      <c r="D56" s="95"/>
      <c r="E56" s="95"/>
      <c r="F56" s="95"/>
      <c r="G56" s="95"/>
      <c r="H56" s="95"/>
      <c r="I56" s="95"/>
      <c r="J56" s="95"/>
      <c r="K56" s="95"/>
      <c r="L56" s="95"/>
      <c r="M56" s="95"/>
      <c r="N56" s="95"/>
      <c r="O56" s="95"/>
      <c r="P56" s="95"/>
      <c r="Q56" s="95"/>
      <c r="R56" s="95"/>
      <c r="S56" s="95"/>
      <c r="T56" s="95"/>
      <c r="U56" s="196"/>
      <c r="V56" s="195"/>
      <c r="W56" s="195" t="s">
        <v>466</v>
      </c>
      <c r="X56" s="195" t="s">
        <v>467</v>
      </c>
      <c r="Y56" s="196"/>
      <c r="Z56" s="196"/>
      <c r="AA56" s="196"/>
      <c r="AB56" s="195" t="s">
        <v>593</v>
      </c>
      <c r="AC56" s="196"/>
      <c r="AD56" s="196"/>
    </row>
    <row r="57" spans="1:30">
      <c r="A57" s="95"/>
      <c r="B57" s="95"/>
      <c r="C57" s="95"/>
      <c r="D57" s="95"/>
      <c r="E57" s="95"/>
      <c r="F57" s="95"/>
      <c r="G57" s="95"/>
      <c r="H57" s="95"/>
      <c r="I57" s="95"/>
      <c r="J57" s="95"/>
      <c r="K57" s="95"/>
      <c r="L57" s="95"/>
      <c r="M57" s="95"/>
      <c r="N57" s="95"/>
      <c r="O57" s="95"/>
      <c r="P57" s="95"/>
      <c r="Q57" s="95"/>
      <c r="R57" s="95"/>
      <c r="S57" s="95"/>
      <c r="T57" s="95"/>
      <c r="U57" s="196"/>
      <c r="V57" s="195"/>
      <c r="W57" s="195" t="s">
        <v>468</v>
      </c>
      <c r="X57" s="195" t="s">
        <v>469</v>
      </c>
      <c r="Y57" s="196"/>
      <c r="Z57" s="196"/>
      <c r="AA57" s="196"/>
      <c r="AB57" s="195" t="s">
        <v>598</v>
      </c>
      <c r="AC57" s="196"/>
      <c r="AD57" s="196"/>
    </row>
    <row r="58" spans="1:30">
      <c r="A58" s="95"/>
      <c r="B58" s="95"/>
      <c r="C58" s="95"/>
      <c r="D58" s="95"/>
      <c r="E58" s="95"/>
      <c r="F58" s="95"/>
      <c r="G58" s="95"/>
      <c r="H58" s="95"/>
      <c r="I58" s="95"/>
      <c r="J58" s="95"/>
      <c r="K58" s="95"/>
      <c r="L58" s="95"/>
      <c r="M58" s="95"/>
      <c r="N58" s="95"/>
      <c r="O58" s="95"/>
      <c r="P58" s="95"/>
      <c r="Q58" s="95"/>
      <c r="R58" s="95"/>
      <c r="S58" s="95"/>
      <c r="T58" s="95"/>
      <c r="U58" s="196"/>
      <c r="V58" s="97"/>
      <c r="W58" s="195" t="s">
        <v>470</v>
      </c>
      <c r="X58" s="195" t="s">
        <v>471</v>
      </c>
      <c r="Y58" s="196"/>
      <c r="Z58" s="196"/>
      <c r="AA58" s="196"/>
      <c r="AB58" s="195" t="s">
        <v>602</v>
      </c>
      <c r="AC58" s="196"/>
      <c r="AD58" s="196"/>
    </row>
    <row r="59" spans="1:30">
      <c r="A59" s="95"/>
      <c r="B59" s="95"/>
      <c r="C59" s="95"/>
      <c r="D59" s="95"/>
      <c r="E59" s="95"/>
      <c r="F59" s="95"/>
      <c r="G59" s="95"/>
      <c r="H59" s="95"/>
      <c r="I59" s="95"/>
      <c r="J59" s="95"/>
      <c r="K59" s="95"/>
      <c r="L59" s="95"/>
      <c r="M59" s="95"/>
      <c r="N59" s="95"/>
      <c r="O59" s="95"/>
      <c r="P59" s="95"/>
      <c r="Q59" s="95"/>
      <c r="R59" s="95"/>
      <c r="S59" s="95"/>
      <c r="T59" s="95"/>
      <c r="U59" s="196"/>
      <c r="V59" s="97"/>
      <c r="W59" s="97"/>
      <c r="X59" s="195" t="s">
        <v>473</v>
      </c>
      <c r="Y59" s="196"/>
      <c r="Z59" s="196"/>
      <c r="AA59" s="196"/>
      <c r="AB59" s="195" t="s">
        <v>607</v>
      </c>
      <c r="AC59" s="196"/>
      <c r="AD59" s="196"/>
    </row>
    <row r="60" spans="1:30">
      <c r="A60" s="95"/>
      <c r="B60" s="95"/>
      <c r="C60" s="95"/>
      <c r="D60" s="95"/>
      <c r="E60" s="95"/>
      <c r="F60" s="95"/>
      <c r="G60" s="95"/>
      <c r="H60" s="95"/>
      <c r="I60" s="95"/>
      <c r="J60" s="95"/>
      <c r="K60" s="95"/>
      <c r="L60" s="95"/>
      <c r="M60" s="95"/>
      <c r="N60" s="95"/>
      <c r="O60" s="95"/>
      <c r="P60" s="95"/>
      <c r="Q60" s="95"/>
      <c r="R60" s="95"/>
      <c r="S60" s="95"/>
      <c r="T60" s="95"/>
      <c r="U60" s="196"/>
      <c r="V60" s="97"/>
      <c r="W60" s="97"/>
      <c r="X60" s="195" t="s">
        <v>358</v>
      </c>
      <c r="Y60" s="196"/>
      <c r="Z60" s="196"/>
      <c r="AA60" s="196"/>
      <c r="AB60" s="195" t="s">
        <v>609</v>
      </c>
      <c r="AC60" s="196"/>
      <c r="AD60" s="196"/>
    </row>
    <row r="61" spans="1:30">
      <c r="A61" s="95"/>
      <c r="B61" s="95"/>
      <c r="C61" s="95"/>
      <c r="D61" s="95"/>
      <c r="E61" s="95"/>
      <c r="F61" s="95"/>
      <c r="G61" s="95"/>
      <c r="H61" s="95"/>
      <c r="I61" s="95"/>
      <c r="J61" s="95"/>
      <c r="K61" s="95"/>
      <c r="L61" s="95"/>
      <c r="M61" s="95"/>
      <c r="N61" s="95"/>
      <c r="O61" s="95"/>
      <c r="P61" s="95"/>
      <c r="Q61" s="95"/>
      <c r="R61" s="95"/>
      <c r="S61" s="95"/>
      <c r="T61" s="95"/>
      <c r="U61" s="196"/>
      <c r="V61" s="97"/>
      <c r="W61" s="97"/>
      <c r="X61" s="195" t="s">
        <v>474</v>
      </c>
      <c r="Y61" s="196"/>
      <c r="Z61" s="196"/>
      <c r="AA61" s="196"/>
      <c r="AB61" s="195" t="s">
        <v>613</v>
      </c>
      <c r="AC61" s="196"/>
      <c r="AD61" s="196"/>
    </row>
    <row r="62" spans="1:30">
      <c r="A62" s="95"/>
      <c r="B62" s="95"/>
      <c r="C62" s="95"/>
      <c r="D62" s="95"/>
      <c r="E62" s="95"/>
      <c r="F62" s="95"/>
      <c r="G62" s="95"/>
      <c r="H62" s="95"/>
      <c r="I62" s="95"/>
      <c r="J62" s="95"/>
      <c r="K62" s="95"/>
      <c r="L62" s="95"/>
      <c r="M62" s="95"/>
      <c r="N62" s="95"/>
      <c r="O62" s="95"/>
      <c r="P62" s="95"/>
      <c r="Q62" s="95"/>
      <c r="R62" s="95"/>
      <c r="S62" s="95"/>
      <c r="T62" s="95"/>
      <c r="U62" s="196"/>
      <c r="V62" s="97"/>
      <c r="W62" s="97"/>
      <c r="X62" s="195" t="s">
        <v>475</v>
      </c>
      <c r="Y62" s="196"/>
      <c r="Z62" s="196"/>
      <c r="AA62" s="196"/>
      <c r="AB62" s="195" t="s">
        <v>618</v>
      </c>
      <c r="AC62" s="196"/>
      <c r="AD62" s="196"/>
    </row>
    <row r="63" spans="1:30">
      <c r="A63" s="95"/>
      <c r="B63" s="95"/>
      <c r="C63" s="95"/>
      <c r="D63" s="95"/>
      <c r="E63" s="95"/>
      <c r="F63" s="95"/>
      <c r="G63" s="95"/>
      <c r="H63" s="95"/>
      <c r="I63" s="95"/>
      <c r="J63" s="95"/>
      <c r="K63" s="95"/>
      <c r="L63" s="95"/>
      <c r="M63" s="95"/>
      <c r="N63" s="95"/>
      <c r="O63" s="95"/>
      <c r="P63" s="95"/>
      <c r="Q63" s="95"/>
      <c r="R63" s="95"/>
      <c r="S63" s="95"/>
      <c r="T63" s="95"/>
      <c r="U63" s="196"/>
      <c r="V63" s="97"/>
      <c r="W63" s="97"/>
      <c r="X63" s="195" t="s">
        <v>372</v>
      </c>
      <c r="Y63" s="196"/>
      <c r="Z63" s="196"/>
      <c r="AA63" s="196"/>
      <c r="AB63" s="195" t="s">
        <v>290</v>
      </c>
      <c r="AC63" s="196"/>
      <c r="AD63" s="196"/>
    </row>
    <row r="64" spans="1:30">
      <c r="A64" s="95"/>
      <c r="B64" s="95"/>
      <c r="C64" s="95"/>
      <c r="D64" s="95"/>
      <c r="E64" s="95"/>
      <c r="F64" s="95"/>
      <c r="G64" s="95"/>
      <c r="H64" s="95"/>
      <c r="I64" s="95"/>
      <c r="J64" s="95"/>
      <c r="K64" s="95"/>
      <c r="L64" s="95"/>
      <c r="M64" s="95"/>
      <c r="N64" s="95"/>
      <c r="O64" s="95"/>
      <c r="P64" s="95"/>
      <c r="Q64" s="95"/>
      <c r="R64" s="95"/>
      <c r="S64" s="95"/>
      <c r="T64" s="95"/>
      <c r="U64" s="196"/>
      <c r="V64" s="97"/>
      <c r="W64" s="97"/>
      <c r="X64" s="195" t="s">
        <v>477</v>
      </c>
      <c r="Y64" s="196"/>
      <c r="Z64" s="196"/>
      <c r="AA64" s="196"/>
      <c r="AB64" s="195" t="s">
        <v>627</v>
      </c>
      <c r="AC64" s="196"/>
      <c r="AD64" s="196"/>
    </row>
    <row r="65" spans="1:30">
      <c r="A65" s="95"/>
      <c r="B65" s="95"/>
      <c r="C65" s="95"/>
      <c r="D65" s="95"/>
      <c r="E65" s="95"/>
      <c r="F65" s="95"/>
      <c r="G65" s="95"/>
      <c r="H65" s="95"/>
      <c r="I65" s="95"/>
      <c r="J65" s="95"/>
      <c r="K65" s="95"/>
      <c r="L65" s="95"/>
      <c r="M65" s="95"/>
      <c r="N65" s="95"/>
      <c r="O65" s="95"/>
      <c r="P65" s="95"/>
      <c r="Q65" s="95"/>
      <c r="R65" s="95"/>
      <c r="S65" s="95"/>
      <c r="T65" s="95"/>
      <c r="U65" s="196"/>
      <c r="V65" s="97"/>
      <c r="W65" s="97"/>
      <c r="X65" s="195" t="s">
        <v>479</v>
      </c>
      <c r="Y65" s="196"/>
      <c r="Z65" s="196"/>
      <c r="AA65" s="196"/>
      <c r="AB65" s="195" t="s">
        <v>632</v>
      </c>
      <c r="AC65" s="196"/>
      <c r="AD65" s="196"/>
    </row>
    <row r="66" spans="1:30">
      <c r="A66" s="95"/>
      <c r="B66" s="95"/>
      <c r="C66" s="95"/>
      <c r="D66" s="95"/>
      <c r="E66" s="95"/>
      <c r="F66" s="95"/>
      <c r="G66" s="95"/>
      <c r="H66" s="95"/>
      <c r="I66" s="95"/>
      <c r="J66" s="95"/>
      <c r="K66" s="95"/>
      <c r="L66" s="95"/>
      <c r="M66" s="95"/>
      <c r="N66" s="95"/>
      <c r="O66" s="95"/>
      <c r="P66" s="95"/>
      <c r="Q66" s="95"/>
      <c r="R66" s="95"/>
      <c r="S66" s="95"/>
      <c r="T66" s="95"/>
      <c r="U66" s="196"/>
      <c r="V66" s="97"/>
      <c r="W66" s="97"/>
      <c r="X66" s="195" t="s">
        <v>480</v>
      </c>
      <c r="Y66" s="196"/>
      <c r="Z66" s="196"/>
      <c r="AA66" s="196"/>
      <c r="AB66" s="195"/>
      <c r="AC66" s="196"/>
      <c r="AD66" s="196"/>
    </row>
    <row r="67" spans="1:30">
      <c r="A67" s="95"/>
      <c r="B67" s="95"/>
      <c r="C67" s="95"/>
      <c r="D67" s="95"/>
      <c r="E67" s="95"/>
      <c r="F67" s="95"/>
      <c r="G67" s="95"/>
      <c r="H67" s="95"/>
      <c r="I67" s="95"/>
      <c r="J67" s="95"/>
      <c r="K67" s="95"/>
      <c r="L67" s="95"/>
      <c r="M67" s="95"/>
      <c r="N67" s="95"/>
      <c r="O67" s="95"/>
      <c r="P67" s="95"/>
      <c r="Q67" s="95"/>
      <c r="R67" s="95"/>
      <c r="S67" s="95"/>
      <c r="T67" s="95"/>
      <c r="U67" s="196"/>
      <c r="V67" s="97"/>
      <c r="W67" s="97"/>
      <c r="X67" s="195" t="s">
        <v>482</v>
      </c>
      <c r="Y67" s="196"/>
      <c r="Z67" s="196"/>
      <c r="AA67" s="196"/>
      <c r="AB67" s="195"/>
      <c r="AC67" s="196"/>
      <c r="AD67" s="196"/>
    </row>
    <row r="68" spans="1:30">
      <c r="A68" s="95"/>
      <c r="B68" s="95"/>
      <c r="C68" s="95"/>
      <c r="D68" s="95"/>
      <c r="E68" s="95"/>
      <c r="F68" s="95"/>
      <c r="G68" s="95"/>
      <c r="H68" s="95"/>
      <c r="I68" s="95"/>
      <c r="J68" s="95"/>
      <c r="K68" s="95"/>
      <c r="L68" s="95"/>
      <c r="M68" s="95"/>
      <c r="N68" s="95"/>
      <c r="O68" s="95"/>
      <c r="P68" s="95"/>
      <c r="Q68" s="95"/>
      <c r="R68" s="95"/>
      <c r="S68" s="95"/>
      <c r="T68" s="95"/>
      <c r="U68" s="196"/>
      <c r="V68" s="97"/>
      <c r="W68" s="97"/>
      <c r="X68" s="195" t="s">
        <v>483</v>
      </c>
      <c r="Y68" s="196"/>
      <c r="Z68" s="196"/>
      <c r="AA68" s="196"/>
      <c r="AB68" s="195"/>
      <c r="AC68" s="196"/>
      <c r="AD68" s="196"/>
    </row>
    <row r="69" spans="1:30">
      <c r="A69" s="95"/>
      <c r="B69" s="95"/>
      <c r="C69" s="95"/>
      <c r="D69" s="95"/>
      <c r="E69" s="95"/>
      <c r="F69" s="95"/>
      <c r="G69" s="95"/>
      <c r="H69" s="95"/>
      <c r="I69" s="95"/>
      <c r="J69" s="95"/>
      <c r="K69" s="95"/>
      <c r="L69" s="95"/>
      <c r="M69" s="95"/>
      <c r="N69" s="95"/>
      <c r="O69" s="95"/>
      <c r="P69" s="95"/>
      <c r="Q69" s="95"/>
      <c r="R69" s="95"/>
      <c r="S69" s="95"/>
      <c r="T69" s="95"/>
      <c r="U69" s="196"/>
      <c r="V69" s="97"/>
      <c r="W69" s="97"/>
      <c r="X69" s="195" t="s">
        <v>483</v>
      </c>
      <c r="Y69" s="196"/>
      <c r="Z69" s="196"/>
      <c r="AA69" s="196"/>
      <c r="AB69" s="195"/>
      <c r="AC69" s="196"/>
      <c r="AD69" s="196"/>
    </row>
    <row r="70" spans="1:30">
      <c r="A70" s="95"/>
      <c r="B70" s="95"/>
      <c r="C70" s="95"/>
      <c r="D70" s="95"/>
      <c r="E70" s="95"/>
      <c r="F70" s="95"/>
      <c r="G70" s="95"/>
      <c r="H70" s="95"/>
      <c r="I70" s="95"/>
      <c r="J70" s="95"/>
      <c r="K70" s="95"/>
      <c r="L70" s="95"/>
      <c r="M70" s="95"/>
      <c r="N70" s="95"/>
      <c r="O70" s="95"/>
      <c r="P70" s="95"/>
      <c r="Q70" s="95"/>
      <c r="R70" s="95"/>
      <c r="S70" s="95"/>
      <c r="T70" s="95"/>
      <c r="U70" s="196"/>
      <c r="V70" s="97"/>
      <c r="W70" s="97"/>
      <c r="X70" s="195" t="s">
        <v>486</v>
      </c>
      <c r="Y70" s="196"/>
      <c r="Z70" s="196"/>
      <c r="AA70" s="196"/>
      <c r="AB70" s="195"/>
      <c r="AC70" s="196"/>
      <c r="AD70" s="196"/>
    </row>
    <row r="71" spans="1:30">
      <c r="A71" s="95"/>
      <c r="B71" s="95"/>
      <c r="C71" s="95"/>
      <c r="D71" s="95"/>
      <c r="E71" s="95"/>
      <c r="F71" s="95"/>
      <c r="G71" s="95"/>
      <c r="H71" s="95"/>
      <c r="I71" s="95"/>
      <c r="J71" s="95"/>
      <c r="K71" s="95"/>
      <c r="L71" s="95"/>
      <c r="M71" s="95"/>
      <c r="N71" s="95"/>
      <c r="O71" s="95"/>
      <c r="P71" s="95"/>
      <c r="Q71" s="95"/>
      <c r="R71" s="95"/>
      <c r="S71" s="95"/>
      <c r="T71" s="95"/>
      <c r="U71" s="196"/>
      <c r="V71" s="97"/>
      <c r="W71" s="97"/>
      <c r="X71" s="195" t="s">
        <v>487</v>
      </c>
      <c r="Y71" s="196"/>
      <c r="Z71" s="196"/>
      <c r="AA71" s="196"/>
      <c r="AB71" s="195"/>
      <c r="AC71" s="196"/>
      <c r="AD71" s="196"/>
    </row>
    <row r="72" spans="1:30">
      <c r="A72" s="95"/>
      <c r="B72" s="95"/>
      <c r="C72" s="95"/>
      <c r="D72" s="95"/>
      <c r="E72" s="95"/>
      <c r="F72" s="95"/>
      <c r="G72" s="95"/>
      <c r="H72" s="95"/>
      <c r="I72" s="95"/>
      <c r="J72" s="95"/>
      <c r="K72" s="95"/>
      <c r="L72" s="95"/>
      <c r="M72" s="95"/>
      <c r="N72" s="95"/>
      <c r="O72" s="95"/>
      <c r="P72" s="95"/>
      <c r="Q72" s="95"/>
      <c r="R72" s="95"/>
      <c r="S72" s="95"/>
      <c r="T72" s="95"/>
      <c r="U72" s="196"/>
      <c r="V72" s="97"/>
      <c r="W72" s="97"/>
      <c r="X72" s="195" t="s">
        <v>488</v>
      </c>
      <c r="Y72" s="196"/>
      <c r="Z72" s="196"/>
      <c r="AA72" s="196"/>
      <c r="AB72" s="195"/>
      <c r="AC72" s="196"/>
      <c r="AD72" s="196"/>
    </row>
    <row r="73" spans="1:30">
      <c r="A73" s="95"/>
      <c r="B73" s="95"/>
      <c r="C73" s="95"/>
      <c r="D73" s="95"/>
      <c r="E73" s="95"/>
      <c r="F73" s="95"/>
      <c r="G73" s="95"/>
      <c r="H73" s="95"/>
      <c r="I73" s="95"/>
      <c r="J73" s="95"/>
      <c r="K73" s="95"/>
      <c r="L73" s="95"/>
      <c r="M73" s="95"/>
      <c r="N73" s="95"/>
      <c r="O73" s="95"/>
      <c r="P73" s="95"/>
      <c r="Q73" s="95"/>
      <c r="R73" s="95"/>
      <c r="S73" s="95"/>
      <c r="T73" s="95"/>
      <c r="U73" s="196"/>
      <c r="V73" s="97"/>
      <c r="W73" s="97"/>
      <c r="X73" s="195" t="s">
        <v>489</v>
      </c>
      <c r="Y73" s="196"/>
      <c r="Z73" s="196"/>
      <c r="AA73" s="196"/>
      <c r="AB73" s="195"/>
      <c r="AC73" s="196"/>
      <c r="AD73" s="196"/>
    </row>
    <row r="74" spans="1:30">
      <c r="A74" s="95"/>
      <c r="B74" s="95"/>
      <c r="C74" s="95"/>
      <c r="D74" s="95"/>
      <c r="E74" s="95"/>
      <c r="F74" s="95"/>
      <c r="G74" s="95"/>
      <c r="H74" s="95"/>
      <c r="I74" s="95"/>
      <c r="J74" s="95"/>
      <c r="K74" s="95"/>
      <c r="L74" s="95"/>
      <c r="M74" s="95"/>
      <c r="N74" s="95"/>
      <c r="O74" s="95"/>
      <c r="P74" s="95"/>
      <c r="Q74" s="95"/>
      <c r="R74" s="95"/>
      <c r="S74" s="95"/>
      <c r="T74" s="95"/>
      <c r="U74" s="196"/>
      <c r="V74" s="97"/>
      <c r="W74" s="97"/>
      <c r="X74" s="195" t="s">
        <v>377</v>
      </c>
      <c r="Y74" s="196"/>
      <c r="Z74" s="196"/>
      <c r="AA74" s="196"/>
      <c r="AB74" s="195"/>
      <c r="AC74" s="196"/>
      <c r="AD74" s="196"/>
    </row>
    <row r="75" spans="1:30">
      <c r="A75" s="95"/>
      <c r="B75" s="95"/>
      <c r="C75" s="95"/>
      <c r="D75" s="95"/>
      <c r="E75" s="95"/>
      <c r="F75" s="95"/>
      <c r="G75" s="95"/>
      <c r="H75" s="95"/>
      <c r="I75" s="95"/>
      <c r="J75" s="95"/>
      <c r="K75" s="95"/>
      <c r="L75" s="95"/>
      <c r="M75" s="95"/>
      <c r="N75" s="95"/>
      <c r="O75" s="95"/>
      <c r="P75" s="95"/>
      <c r="Q75" s="95"/>
      <c r="R75" s="95"/>
      <c r="S75" s="95"/>
      <c r="T75" s="95"/>
      <c r="U75" s="196"/>
      <c r="V75" s="97"/>
      <c r="W75" s="97"/>
      <c r="X75" s="195" t="s">
        <v>491</v>
      </c>
      <c r="Y75" s="196"/>
      <c r="Z75" s="196"/>
      <c r="AA75" s="196"/>
      <c r="AB75" s="195"/>
      <c r="AC75" s="196"/>
      <c r="AD75" s="196"/>
    </row>
    <row r="76" spans="1:30">
      <c r="A76" s="95"/>
      <c r="B76" s="95"/>
      <c r="C76" s="95"/>
      <c r="D76" s="95"/>
      <c r="E76" s="95"/>
      <c r="F76" s="95"/>
      <c r="G76" s="95"/>
      <c r="H76" s="95"/>
      <c r="I76" s="95"/>
      <c r="J76" s="95"/>
      <c r="K76" s="95"/>
      <c r="L76" s="95"/>
      <c r="M76" s="95"/>
      <c r="N76" s="95"/>
      <c r="O76" s="95"/>
      <c r="P76" s="95"/>
      <c r="Q76" s="95"/>
      <c r="R76" s="95"/>
      <c r="S76" s="95"/>
      <c r="T76" s="95"/>
      <c r="U76" s="196"/>
      <c r="V76" s="97"/>
      <c r="W76" s="97"/>
      <c r="X76" s="195" t="s">
        <v>492</v>
      </c>
      <c r="Y76" s="196"/>
      <c r="Z76" s="196"/>
      <c r="AA76" s="196"/>
      <c r="AB76" s="195"/>
      <c r="AC76" s="196"/>
      <c r="AD76" s="196"/>
    </row>
    <row r="77" spans="1:30">
      <c r="A77" s="95"/>
      <c r="B77" s="95"/>
      <c r="C77" s="95"/>
      <c r="D77" s="95"/>
      <c r="E77" s="95"/>
      <c r="F77" s="95"/>
      <c r="G77" s="95"/>
      <c r="H77" s="95"/>
      <c r="I77" s="95"/>
      <c r="J77" s="95"/>
      <c r="K77" s="95"/>
      <c r="L77" s="95"/>
      <c r="M77" s="95"/>
      <c r="N77" s="95"/>
      <c r="O77" s="95"/>
      <c r="P77" s="95"/>
      <c r="Q77" s="95"/>
      <c r="R77" s="95"/>
      <c r="S77" s="95"/>
      <c r="T77" s="95"/>
      <c r="U77" s="196"/>
      <c r="V77" s="97"/>
      <c r="W77" s="97"/>
      <c r="X77" s="195" t="s">
        <v>493</v>
      </c>
      <c r="Y77" s="196"/>
      <c r="Z77" s="196"/>
      <c r="AA77" s="196"/>
      <c r="AB77" s="195"/>
      <c r="AC77" s="196"/>
      <c r="AD77" s="196"/>
    </row>
    <row r="78" spans="1:30">
      <c r="A78" s="95"/>
      <c r="B78" s="95"/>
      <c r="C78" s="95"/>
      <c r="D78" s="95"/>
      <c r="E78" s="95"/>
      <c r="F78" s="95"/>
      <c r="G78" s="95"/>
      <c r="H78" s="95"/>
      <c r="I78" s="95"/>
      <c r="J78" s="95"/>
      <c r="K78" s="95"/>
      <c r="L78" s="95"/>
      <c r="M78" s="95"/>
      <c r="N78" s="95"/>
      <c r="O78" s="95"/>
      <c r="P78" s="95"/>
      <c r="Q78" s="95"/>
      <c r="R78" s="95"/>
      <c r="S78" s="95"/>
      <c r="T78" s="95"/>
      <c r="U78" s="196"/>
      <c r="V78" s="97"/>
      <c r="W78" s="97"/>
      <c r="X78" s="195" t="s">
        <v>495</v>
      </c>
      <c r="Y78" s="196"/>
      <c r="Z78" s="196"/>
      <c r="AA78" s="196"/>
      <c r="AB78" s="195"/>
      <c r="AC78" s="196"/>
      <c r="AD78" s="196"/>
    </row>
    <row r="79" spans="1:30">
      <c r="A79" s="95"/>
      <c r="B79" s="95"/>
      <c r="C79" s="95"/>
      <c r="D79" s="95"/>
      <c r="E79" s="95"/>
      <c r="F79" s="95"/>
      <c r="G79" s="95"/>
      <c r="H79" s="95"/>
      <c r="I79" s="95"/>
      <c r="J79" s="95"/>
      <c r="K79" s="95"/>
      <c r="L79" s="95"/>
      <c r="M79" s="95"/>
      <c r="N79" s="95"/>
      <c r="O79" s="95"/>
      <c r="P79" s="95"/>
      <c r="Q79" s="95"/>
      <c r="R79" s="95"/>
      <c r="S79" s="95"/>
      <c r="T79" s="95"/>
      <c r="U79" s="196"/>
      <c r="V79" s="97"/>
      <c r="W79" s="97"/>
      <c r="X79" s="195" t="s">
        <v>497</v>
      </c>
      <c r="Y79" s="196"/>
      <c r="Z79" s="196"/>
      <c r="AA79" s="196"/>
      <c r="AB79" s="195"/>
      <c r="AC79" s="196"/>
      <c r="AD79" s="196"/>
    </row>
    <row r="80" spans="1:30">
      <c r="A80" s="95"/>
      <c r="B80" s="95"/>
      <c r="C80" s="95"/>
      <c r="D80" s="95"/>
      <c r="E80" s="95"/>
      <c r="F80" s="95"/>
      <c r="G80" s="95"/>
      <c r="H80" s="95"/>
      <c r="I80" s="95"/>
      <c r="J80" s="95"/>
      <c r="K80" s="95"/>
      <c r="L80" s="95"/>
      <c r="M80" s="95"/>
      <c r="N80" s="95"/>
      <c r="O80" s="95"/>
      <c r="P80" s="95"/>
      <c r="Q80" s="95"/>
      <c r="R80" s="95"/>
      <c r="S80" s="95"/>
      <c r="T80" s="95"/>
      <c r="U80" s="196"/>
      <c r="V80" s="97"/>
      <c r="W80" s="97"/>
      <c r="X80" s="195" t="s">
        <v>498</v>
      </c>
      <c r="Y80" s="196"/>
      <c r="Z80" s="196"/>
      <c r="AA80" s="196"/>
      <c r="AB80" s="195"/>
      <c r="AC80" s="196"/>
      <c r="AD80" s="196"/>
    </row>
    <row r="81" spans="1:30">
      <c r="A81" s="95"/>
      <c r="B81" s="95"/>
      <c r="C81" s="95"/>
      <c r="D81" s="95"/>
      <c r="E81" s="95"/>
      <c r="F81" s="95"/>
      <c r="G81" s="95"/>
      <c r="H81" s="95"/>
      <c r="I81" s="95"/>
      <c r="J81" s="95"/>
      <c r="K81" s="95"/>
      <c r="L81" s="95"/>
      <c r="M81" s="95"/>
      <c r="N81" s="95"/>
      <c r="O81" s="95"/>
      <c r="P81" s="95"/>
      <c r="Q81" s="95"/>
      <c r="R81" s="95"/>
      <c r="S81" s="95"/>
      <c r="T81" s="95"/>
      <c r="U81" s="196"/>
      <c r="V81" s="97"/>
      <c r="W81" s="97"/>
      <c r="X81" s="195" t="s">
        <v>499</v>
      </c>
      <c r="Y81" s="196"/>
      <c r="Z81" s="196"/>
      <c r="AA81" s="196"/>
      <c r="AB81" s="195"/>
      <c r="AC81" s="196"/>
      <c r="AD81" s="196"/>
    </row>
    <row r="82" spans="1:30">
      <c r="A82" s="95"/>
      <c r="B82" s="95"/>
      <c r="C82" s="95"/>
      <c r="D82" s="95"/>
      <c r="E82" s="95"/>
      <c r="F82" s="95"/>
      <c r="G82" s="95"/>
      <c r="H82" s="95"/>
      <c r="I82" s="95"/>
      <c r="J82" s="95"/>
      <c r="K82" s="95"/>
      <c r="L82" s="95"/>
      <c r="M82" s="95"/>
      <c r="N82" s="95"/>
      <c r="O82" s="95"/>
      <c r="P82" s="95"/>
      <c r="Q82" s="95"/>
      <c r="R82" s="95"/>
      <c r="S82" s="95"/>
      <c r="T82" s="95"/>
      <c r="U82" s="196"/>
      <c r="V82" s="97"/>
      <c r="W82" s="97"/>
      <c r="X82" s="195" t="s">
        <v>500</v>
      </c>
      <c r="Y82" s="196"/>
      <c r="Z82" s="196"/>
      <c r="AA82" s="196"/>
      <c r="AB82" s="195"/>
      <c r="AC82" s="196"/>
      <c r="AD82" s="196"/>
    </row>
    <row r="83" spans="1:30">
      <c r="A83" s="95"/>
      <c r="B83" s="95"/>
      <c r="C83" s="95"/>
      <c r="D83" s="95"/>
      <c r="E83" s="95"/>
      <c r="F83" s="95"/>
      <c r="G83" s="95"/>
      <c r="H83" s="95"/>
      <c r="I83" s="95"/>
      <c r="J83" s="95"/>
      <c r="K83" s="95"/>
      <c r="L83" s="95"/>
      <c r="M83" s="95"/>
      <c r="N83" s="95"/>
      <c r="O83" s="95"/>
      <c r="P83" s="95"/>
      <c r="Q83" s="95"/>
      <c r="R83" s="95"/>
      <c r="S83" s="95"/>
      <c r="T83" s="95"/>
      <c r="U83" s="196"/>
      <c r="V83" s="97"/>
      <c r="W83" s="97"/>
      <c r="X83" s="195" t="s">
        <v>502</v>
      </c>
      <c r="Y83" s="196"/>
      <c r="Z83" s="196"/>
      <c r="AA83" s="196"/>
      <c r="AB83" s="195"/>
      <c r="AC83" s="196"/>
      <c r="AD83" s="196"/>
    </row>
    <row r="84" spans="1:30">
      <c r="A84" s="95"/>
      <c r="B84" s="95"/>
      <c r="C84" s="95"/>
      <c r="D84" s="95"/>
      <c r="E84" s="95"/>
      <c r="F84" s="95"/>
      <c r="G84" s="95"/>
      <c r="H84" s="95"/>
      <c r="I84" s="95"/>
      <c r="J84" s="95"/>
      <c r="K84" s="95"/>
      <c r="L84" s="95"/>
      <c r="M84" s="95"/>
      <c r="N84" s="95"/>
      <c r="O84" s="95"/>
      <c r="P84" s="95"/>
      <c r="Q84" s="95"/>
      <c r="R84" s="95"/>
      <c r="S84" s="95"/>
      <c r="T84" s="95"/>
      <c r="U84" s="196"/>
      <c r="V84" s="97"/>
      <c r="W84" s="97"/>
      <c r="X84" s="195" t="s">
        <v>503</v>
      </c>
      <c r="Y84" s="196"/>
      <c r="Z84" s="196"/>
      <c r="AA84" s="196"/>
      <c r="AB84" s="195"/>
      <c r="AC84" s="196"/>
      <c r="AD84" s="196"/>
    </row>
    <row r="85" spans="1:30">
      <c r="A85" s="95"/>
      <c r="B85" s="95"/>
      <c r="C85" s="95"/>
      <c r="D85" s="95"/>
      <c r="E85" s="95"/>
      <c r="F85" s="95"/>
      <c r="G85" s="95"/>
      <c r="H85" s="95"/>
      <c r="I85" s="95"/>
      <c r="J85" s="95"/>
      <c r="K85" s="95"/>
      <c r="L85" s="95"/>
      <c r="M85" s="95"/>
      <c r="N85" s="95"/>
      <c r="O85" s="95"/>
      <c r="P85" s="95"/>
      <c r="Q85" s="95"/>
      <c r="R85" s="95"/>
      <c r="S85" s="95"/>
      <c r="T85" s="95"/>
      <c r="U85" s="196"/>
      <c r="V85" s="97"/>
      <c r="W85" s="97"/>
      <c r="X85" s="195" t="s">
        <v>504</v>
      </c>
      <c r="Y85" s="196"/>
      <c r="Z85" s="196"/>
      <c r="AA85" s="196"/>
      <c r="AB85" s="195"/>
      <c r="AC85" s="196"/>
      <c r="AD85" s="196"/>
    </row>
    <row r="86" spans="1:30">
      <c r="A86" s="95"/>
      <c r="B86" s="95"/>
      <c r="C86" s="95"/>
      <c r="D86" s="95"/>
      <c r="E86" s="95"/>
      <c r="F86" s="95"/>
      <c r="G86" s="95"/>
      <c r="H86" s="95"/>
      <c r="I86" s="95"/>
      <c r="J86" s="95"/>
      <c r="K86" s="95"/>
      <c r="L86" s="95"/>
      <c r="M86" s="95"/>
      <c r="N86" s="95"/>
      <c r="O86" s="95"/>
      <c r="P86" s="95"/>
      <c r="Q86" s="95"/>
      <c r="R86" s="95"/>
      <c r="S86" s="95"/>
      <c r="T86" s="95"/>
      <c r="U86" s="196"/>
      <c r="V86" s="97"/>
      <c r="W86" s="97"/>
      <c r="X86" s="195" t="s">
        <v>505</v>
      </c>
      <c r="Y86" s="196"/>
      <c r="Z86" s="196"/>
      <c r="AA86" s="196"/>
      <c r="AB86" s="195"/>
      <c r="AC86" s="196"/>
      <c r="AD86" s="196"/>
    </row>
    <row r="87" spans="1:30">
      <c r="A87" s="95"/>
      <c r="B87" s="95"/>
      <c r="C87" s="95"/>
      <c r="D87" s="95"/>
      <c r="E87" s="95"/>
      <c r="F87" s="95"/>
      <c r="G87" s="95"/>
      <c r="H87" s="95"/>
      <c r="I87" s="95"/>
      <c r="J87" s="95"/>
      <c r="K87" s="95"/>
      <c r="L87" s="95"/>
      <c r="M87" s="95"/>
      <c r="N87" s="95"/>
      <c r="O87" s="95"/>
      <c r="P87" s="95"/>
      <c r="Q87" s="95"/>
      <c r="R87" s="95"/>
      <c r="S87" s="95"/>
      <c r="T87" s="95"/>
      <c r="U87" s="196"/>
      <c r="V87" s="97"/>
      <c r="W87" s="97"/>
      <c r="X87" s="195" t="s">
        <v>507</v>
      </c>
      <c r="Y87" s="196"/>
      <c r="Z87" s="196"/>
      <c r="AA87" s="196"/>
      <c r="AB87" s="195"/>
      <c r="AC87" s="196"/>
      <c r="AD87" s="196"/>
    </row>
    <row r="88" spans="1:30">
      <c r="A88" s="95"/>
      <c r="B88" s="95"/>
      <c r="C88" s="95"/>
      <c r="D88" s="95"/>
      <c r="E88" s="95"/>
      <c r="F88" s="95"/>
      <c r="G88" s="95"/>
      <c r="H88" s="95"/>
      <c r="I88" s="95"/>
      <c r="J88" s="95"/>
      <c r="K88" s="95"/>
      <c r="L88" s="95"/>
      <c r="M88" s="95"/>
      <c r="N88" s="95"/>
      <c r="O88" s="95"/>
      <c r="P88" s="95"/>
      <c r="Q88" s="95"/>
      <c r="R88" s="95"/>
      <c r="S88" s="95"/>
      <c r="T88" s="95"/>
      <c r="U88" s="196"/>
      <c r="V88" s="97"/>
      <c r="W88" s="97"/>
      <c r="X88" s="195" t="s">
        <v>508</v>
      </c>
      <c r="Y88" s="196"/>
      <c r="Z88" s="196"/>
      <c r="AA88" s="196"/>
      <c r="AB88" s="195"/>
      <c r="AC88" s="196"/>
      <c r="AD88" s="196"/>
    </row>
    <row r="89" spans="1:30">
      <c r="A89" s="95"/>
      <c r="B89" s="95"/>
      <c r="C89" s="95"/>
      <c r="D89" s="95"/>
      <c r="E89" s="95"/>
      <c r="F89" s="95"/>
      <c r="G89" s="95"/>
      <c r="H89" s="95"/>
      <c r="I89" s="95"/>
      <c r="J89" s="95"/>
      <c r="K89" s="95"/>
      <c r="L89" s="95"/>
      <c r="M89" s="95"/>
      <c r="N89" s="95"/>
      <c r="O89" s="95"/>
      <c r="P89" s="95"/>
      <c r="Q89" s="95"/>
      <c r="R89" s="95"/>
      <c r="S89" s="95"/>
      <c r="T89" s="95"/>
      <c r="U89" s="196"/>
      <c r="V89" s="97"/>
      <c r="W89" s="97"/>
      <c r="X89" s="195" t="s">
        <v>509</v>
      </c>
      <c r="Y89" s="196"/>
      <c r="Z89" s="196"/>
      <c r="AA89" s="196"/>
      <c r="AB89" s="195"/>
      <c r="AC89" s="196"/>
      <c r="AD89" s="196"/>
    </row>
    <row r="90" spans="1:30">
      <c r="A90" s="95"/>
      <c r="B90" s="95"/>
      <c r="C90" s="95"/>
      <c r="D90" s="95"/>
      <c r="E90" s="95"/>
      <c r="F90" s="95"/>
      <c r="G90" s="95"/>
      <c r="H90" s="95"/>
      <c r="I90" s="95"/>
      <c r="J90" s="95"/>
      <c r="K90" s="95"/>
      <c r="L90" s="95"/>
      <c r="M90" s="95"/>
      <c r="N90" s="95"/>
      <c r="O90" s="95"/>
      <c r="P90" s="95"/>
      <c r="Q90" s="95"/>
      <c r="R90" s="95"/>
      <c r="S90" s="95"/>
      <c r="T90" s="95"/>
      <c r="U90" s="196"/>
      <c r="V90" s="97"/>
      <c r="W90" s="97"/>
      <c r="X90" s="195" t="s">
        <v>397</v>
      </c>
      <c r="Y90" s="196"/>
      <c r="Z90" s="196"/>
      <c r="AA90" s="196"/>
      <c r="AB90" s="195"/>
      <c r="AC90" s="196"/>
      <c r="AD90" s="196"/>
    </row>
    <row r="91" spans="1:30">
      <c r="A91" s="95"/>
      <c r="B91" s="95"/>
      <c r="C91" s="95"/>
      <c r="D91" s="95"/>
      <c r="E91" s="95"/>
      <c r="F91" s="95"/>
      <c r="G91" s="95"/>
      <c r="H91" s="95"/>
      <c r="I91" s="95"/>
      <c r="J91" s="95"/>
      <c r="K91" s="95"/>
      <c r="L91" s="95"/>
      <c r="M91" s="95"/>
      <c r="N91" s="95"/>
      <c r="O91" s="95"/>
      <c r="P91" s="95"/>
      <c r="Q91" s="95"/>
      <c r="R91" s="95"/>
      <c r="S91" s="95"/>
      <c r="T91" s="95"/>
      <c r="U91" s="196"/>
      <c r="V91" s="97"/>
      <c r="W91" s="97"/>
      <c r="X91" s="195" t="s">
        <v>511</v>
      </c>
      <c r="Y91" s="196"/>
      <c r="Z91" s="196"/>
      <c r="AA91" s="196"/>
      <c r="AB91" s="195"/>
      <c r="AC91" s="196"/>
      <c r="AD91" s="196"/>
    </row>
    <row r="92" spans="1:30">
      <c r="A92" s="95"/>
      <c r="B92" s="95"/>
      <c r="C92" s="95"/>
      <c r="D92" s="95"/>
      <c r="E92" s="95"/>
      <c r="F92" s="95"/>
      <c r="G92" s="95"/>
      <c r="H92" s="95"/>
      <c r="I92" s="95"/>
      <c r="J92" s="95"/>
      <c r="K92" s="95"/>
      <c r="L92" s="95"/>
      <c r="M92" s="95"/>
      <c r="N92" s="95"/>
      <c r="O92" s="95"/>
      <c r="P92" s="95"/>
      <c r="Q92" s="95"/>
      <c r="R92" s="95"/>
      <c r="S92" s="95"/>
      <c r="T92" s="95"/>
      <c r="U92" s="196"/>
      <c r="V92" s="97"/>
      <c r="W92" s="97"/>
      <c r="X92" s="195" t="s">
        <v>512</v>
      </c>
      <c r="Y92" s="196"/>
      <c r="Z92" s="196"/>
      <c r="AA92" s="196"/>
      <c r="AB92" s="195"/>
      <c r="AC92" s="196"/>
      <c r="AD92" s="196"/>
    </row>
    <row r="93" spans="1:30">
      <c r="A93" s="95"/>
      <c r="B93" s="95"/>
      <c r="C93" s="95"/>
      <c r="D93" s="95"/>
      <c r="E93" s="95"/>
      <c r="F93" s="95"/>
      <c r="G93" s="95"/>
      <c r="H93" s="95"/>
      <c r="I93" s="95"/>
      <c r="J93" s="95"/>
      <c r="K93" s="95"/>
      <c r="L93" s="95"/>
      <c r="M93" s="95"/>
      <c r="N93" s="95"/>
      <c r="O93" s="95"/>
      <c r="P93" s="95"/>
      <c r="Q93" s="95"/>
      <c r="R93" s="95"/>
      <c r="S93" s="95"/>
      <c r="T93" s="95"/>
      <c r="U93" s="196"/>
      <c r="V93" s="97"/>
      <c r="W93" s="97"/>
      <c r="X93" s="195" t="s">
        <v>513</v>
      </c>
      <c r="Y93" s="196"/>
      <c r="Z93" s="196"/>
      <c r="AA93" s="196"/>
      <c r="AB93" s="195"/>
      <c r="AC93" s="196"/>
      <c r="AD93" s="196"/>
    </row>
    <row r="94" spans="1:30">
      <c r="A94" s="95"/>
      <c r="B94" s="95"/>
      <c r="C94" s="95"/>
      <c r="D94" s="95"/>
      <c r="E94" s="95"/>
      <c r="F94" s="95"/>
      <c r="G94" s="95"/>
      <c r="H94" s="95"/>
      <c r="I94" s="95"/>
      <c r="J94" s="95"/>
      <c r="K94" s="95"/>
      <c r="L94" s="95"/>
      <c r="M94" s="95"/>
      <c r="N94" s="95"/>
      <c r="O94" s="95"/>
      <c r="P94" s="95"/>
      <c r="Q94" s="95"/>
      <c r="R94" s="95"/>
      <c r="S94" s="95"/>
      <c r="T94" s="95"/>
      <c r="U94" s="196"/>
      <c r="V94" s="97"/>
      <c r="W94" s="97"/>
      <c r="X94" s="195" t="s">
        <v>514</v>
      </c>
      <c r="Y94" s="196"/>
      <c r="Z94" s="196"/>
      <c r="AA94" s="196"/>
      <c r="AB94" s="195"/>
      <c r="AC94" s="196"/>
      <c r="AD94" s="196"/>
    </row>
    <row r="95" spans="1:30">
      <c r="A95" s="95"/>
      <c r="B95" s="95"/>
      <c r="C95" s="95"/>
      <c r="D95" s="95"/>
      <c r="E95" s="95"/>
      <c r="F95" s="95"/>
      <c r="G95" s="95"/>
      <c r="H95" s="95"/>
      <c r="I95" s="95"/>
      <c r="J95" s="95"/>
      <c r="K95" s="95"/>
      <c r="L95" s="95"/>
      <c r="M95" s="95"/>
      <c r="N95" s="95"/>
      <c r="O95" s="95"/>
      <c r="P95" s="95"/>
      <c r="Q95" s="95"/>
      <c r="R95" s="95"/>
      <c r="S95" s="95"/>
      <c r="T95" s="95"/>
      <c r="U95" s="196"/>
      <c r="V95" s="97"/>
      <c r="W95" s="97"/>
      <c r="X95" s="195" t="s">
        <v>516</v>
      </c>
      <c r="Y95" s="196"/>
      <c r="Z95" s="196"/>
      <c r="AA95" s="196"/>
      <c r="AB95" s="195"/>
      <c r="AC95" s="196"/>
      <c r="AD95" s="196"/>
    </row>
    <row r="96" spans="1:30">
      <c r="A96" s="95"/>
      <c r="B96" s="95"/>
      <c r="C96" s="95"/>
      <c r="D96" s="95"/>
      <c r="E96" s="95"/>
      <c r="F96" s="95"/>
      <c r="G96" s="95"/>
      <c r="H96" s="95"/>
      <c r="I96" s="95"/>
      <c r="J96" s="95"/>
      <c r="K96" s="95"/>
      <c r="L96" s="95"/>
      <c r="M96" s="95"/>
      <c r="N96" s="95"/>
      <c r="O96" s="95"/>
      <c r="P96" s="95"/>
      <c r="Q96" s="95"/>
      <c r="R96" s="95"/>
      <c r="S96" s="95"/>
      <c r="T96" s="95"/>
      <c r="U96" s="196"/>
      <c r="V96" s="97"/>
      <c r="W96" s="97"/>
      <c r="X96" s="195" t="s">
        <v>518</v>
      </c>
      <c r="Y96" s="196"/>
      <c r="Z96" s="196"/>
      <c r="AA96" s="196"/>
      <c r="AB96" s="195"/>
      <c r="AC96" s="196"/>
      <c r="AD96" s="196"/>
    </row>
    <row r="97" spans="1:30">
      <c r="A97" s="95"/>
      <c r="B97" s="95"/>
      <c r="C97" s="95"/>
      <c r="D97" s="95"/>
      <c r="E97" s="95"/>
      <c r="F97" s="95"/>
      <c r="G97" s="95"/>
      <c r="H97" s="95"/>
      <c r="I97" s="95"/>
      <c r="J97" s="95"/>
      <c r="K97" s="95"/>
      <c r="L97" s="95"/>
      <c r="M97" s="95"/>
      <c r="N97" s="95"/>
      <c r="O97" s="95"/>
      <c r="P97" s="95"/>
      <c r="Q97" s="95"/>
      <c r="R97" s="95"/>
      <c r="S97" s="95"/>
      <c r="T97" s="95"/>
      <c r="U97" s="196"/>
      <c r="V97" s="97"/>
      <c r="W97" s="97"/>
      <c r="X97" s="195" t="s">
        <v>519</v>
      </c>
      <c r="Y97" s="196"/>
      <c r="Z97" s="196"/>
      <c r="AA97" s="196"/>
      <c r="AB97" s="195"/>
      <c r="AC97" s="196"/>
      <c r="AD97" s="196"/>
    </row>
    <row r="98" spans="1:30">
      <c r="A98" s="95"/>
      <c r="B98" s="95"/>
      <c r="C98" s="95"/>
      <c r="D98" s="95"/>
      <c r="E98" s="95"/>
      <c r="F98" s="95"/>
      <c r="G98" s="95"/>
      <c r="H98" s="95"/>
      <c r="I98" s="95"/>
      <c r="J98" s="95"/>
      <c r="K98" s="95"/>
      <c r="L98" s="95"/>
      <c r="M98" s="95"/>
      <c r="N98" s="95"/>
      <c r="O98" s="95"/>
      <c r="P98" s="95"/>
      <c r="Q98" s="95"/>
      <c r="R98" s="95"/>
      <c r="S98" s="95"/>
      <c r="T98" s="95"/>
      <c r="U98" s="196"/>
      <c r="V98" s="97"/>
      <c r="W98" s="97"/>
      <c r="X98" s="195" t="s">
        <v>399</v>
      </c>
      <c r="Y98" s="196"/>
      <c r="Z98" s="196"/>
      <c r="AA98" s="196"/>
      <c r="AB98" s="195"/>
      <c r="AC98" s="196"/>
      <c r="AD98" s="196"/>
    </row>
    <row r="99" spans="1:30">
      <c r="A99" s="95"/>
      <c r="B99" s="95"/>
      <c r="C99" s="95"/>
      <c r="D99" s="95"/>
      <c r="E99" s="95"/>
      <c r="F99" s="95"/>
      <c r="G99" s="95"/>
      <c r="H99" s="95"/>
      <c r="I99" s="95"/>
      <c r="J99" s="95"/>
      <c r="K99" s="95"/>
      <c r="L99" s="95"/>
      <c r="M99" s="95"/>
      <c r="N99" s="95"/>
      <c r="O99" s="95"/>
      <c r="P99" s="95"/>
      <c r="Q99" s="95"/>
      <c r="R99" s="95"/>
      <c r="S99" s="95"/>
      <c r="T99" s="95"/>
      <c r="U99" s="196"/>
      <c r="V99" s="97"/>
      <c r="W99" s="97"/>
      <c r="X99" s="195" t="s">
        <v>520</v>
      </c>
      <c r="Y99" s="196"/>
      <c r="Z99" s="196"/>
      <c r="AA99" s="196"/>
      <c r="AB99" s="195"/>
      <c r="AC99" s="196"/>
      <c r="AD99" s="196"/>
    </row>
    <row r="100" spans="1:30">
      <c r="A100" s="95"/>
      <c r="B100" s="95"/>
      <c r="C100" s="95"/>
      <c r="D100" s="95"/>
      <c r="E100" s="95"/>
      <c r="F100" s="95"/>
      <c r="G100" s="95"/>
      <c r="H100" s="95"/>
      <c r="I100" s="95"/>
      <c r="J100" s="95"/>
      <c r="K100" s="95"/>
      <c r="L100" s="95"/>
      <c r="M100" s="95"/>
      <c r="N100" s="95"/>
      <c r="O100" s="95"/>
      <c r="P100" s="95"/>
      <c r="Q100" s="95"/>
      <c r="R100" s="95"/>
      <c r="S100" s="95"/>
      <c r="T100" s="95"/>
      <c r="U100" s="196"/>
      <c r="V100" s="97"/>
      <c r="W100" s="97"/>
      <c r="X100" s="195" t="s">
        <v>522</v>
      </c>
      <c r="Y100" s="196"/>
      <c r="Z100" s="196"/>
      <c r="AA100" s="196"/>
      <c r="AB100" s="195"/>
      <c r="AC100" s="196"/>
      <c r="AD100" s="196"/>
    </row>
    <row r="101" spans="1:30">
      <c r="A101" s="95"/>
      <c r="B101" s="95"/>
      <c r="C101" s="95"/>
      <c r="D101" s="95"/>
      <c r="E101" s="95"/>
      <c r="F101" s="95"/>
      <c r="G101" s="95"/>
      <c r="H101" s="95"/>
      <c r="I101" s="95"/>
      <c r="J101" s="95"/>
      <c r="K101" s="95"/>
      <c r="L101" s="95"/>
      <c r="M101" s="95"/>
      <c r="N101" s="95"/>
      <c r="O101" s="95"/>
      <c r="P101" s="95"/>
      <c r="Q101" s="95"/>
      <c r="R101" s="95"/>
      <c r="S101" s="95"/>
      <c r="T101" s="95"/>
      <c r="U101" s="196"/>
      <c r="V101" s="97"/>
      <c r="W101" s="97"/>
      <c r="X101" s="195" t="s">
        <v>523</v>
      </c>
      <c r="Y101" s="196"/>
      <c r="Z101" s="196"/>
      <c r="AA101" s="196"/>
      <c r="AB101" s="195"/>
      <c r="AC101" s="196"/>
      <c r="AD101" s="196"/>
    </row>
    <row r="102" spans="1:30">
      <c r="A102" s="95"/>
      <c r="B102" s="95"/>
      <c r="C102" s="95"/>
      <c r="D102" s="95"/>
      <c r="E102" s="95"/>
      <c r="F102" s="95"/>
      <c r="G102" s="95"/>
      <c r="H102" s="95"/>
      <c r="I102" s="95"/>
      <c r="J102" s="95"/>
      <c r="K102" s="95"/>
      <c r="L102" s="95"/>
      <c r="M102" s="95"/>
      <c r="N102" s="95"/>
      <c r="O102" s="95"/>
      <c r="P102" s="95"/>
      <c r="Q102" s="95"/>
      <c r="R102" s="95"/>
      <c r="S102" s="95"/>
      <c r="T102" s="95"/>
      <c r="U102" s="196"/>
      <c r="V102" s="97"/>
      <c r="W102" s="97"/>
      <c r="X102" s="195" t="s">
        <v>524</v>
      </c>
      <c r="Y102" s="196"/>
      <c r="Z102" s="196"/>
      <c r="AA102" s="196"/>
      <c r="AB102" s="195"/>
      <c r="AC102" s="196"/>
      <c r="AD102" s="196"/>
    </row>
    <row r="103" spans="1:30">
      <c r="A103" s="95"/>
      <c r="B103" s="95"/>
      <c r="C103" s="95"/>
      <c r="D103" s="95"/>
      <c r="E103" s="95"/>
      <c r="F103" s="95"/>
      <c r="G103" s="95"/>
      <c r="H103" s="95"/>
      <c r="I103" s="95"/>
      <c r="J103" s="95"/>
      <c r="K103" s="95"/>
      <c r="L103" s="95"/>
      <c r="M103" s="95"/>
      <c r="N103" s="95"/>
      <c r="O103" s="95"/>
      <c r="P103" s="95"/>
      <c r="Q103" s="95"/>
      <c r="R103" s="95"/>
      <c r="S103" s="95"/>
      <c r="T103" s="95"/>
      <c r="U103" s="196"/>
      <c r="V103" s="97"/>
      <c r="W103" s="97"/>
      <c r="X103" s="195" t="s">
        <v>525</v>
      </c>
      <c r="Y103" s="196"/>
      <c r="Z103" s="196"/>
      <c r="AA103" s="196"/>
      <c r="AB103" s="195"/>
      <c r="AC103" s="196"/>
      <c r="AD103" s="196"/>
    </row>
    <row r="104" spans="1:30">
      <c r="A104" s="95"/>
      <c r="B104" s="95"/>
      <c r="C104" s="95"/>
      <c r="D104" s="95"/>
      <c r="E104" s="95"/>
      <c r="F104" s="95"/>
      <c r="G104" s="95"/>
      <c r="H104" s="95"/>
      <c r="I104" s="95"/>
      <c r="J104" s="95"/>
      <c r="K104" s="95"/>
      <c r="L104" s="95"/>
      <c r="M104" s="95"/>
      <c r="N104" s="95"/>
      <c r="O104" s="95"/>
      <c r="P104" s="95"/>
      <c r="Q104" s="95"/>
      <c r="R104" s="95"/>
      <c r="S104" s="95"/>
      <c r="T104" s="95"/>
      <c r="U104" s="196"/>
      <c r="V104" s="97"/>
      <c r="W104" s="97"/>
      <c r="X104" s="195" t="s">
        <v>401</v>
      </c>
      <c r="Y104" s="196"/>
      <c r="Z104" s="196"/>
      <c r="AA104" s="196"/>
      <c r="AB104" s="195"/>
      <c r="AC104" s="196"/>
      <c r="AD104" s="196"/>
    </row>
    <row r="105" spans="1:30">
      <c r="A105" s="95"/>
      <c r="B105" s="95"/>
      <c r="C105" s="95"/>
      <c r="D105" s="95"/>
      <c r="E105" s="95"/>
      <c r="F105" s="95"/>
      <c r="G105" s="95"/>
      <c r="H105" s="95"/>
      <c r="I105" s="95"/>
      <c r="J105" s="95"/>
      <c r="K105" s="95"/>
      <c r="L105" s="95"/>
      <c r="M105" s="95"/>
      <c r="N105" s="95"/>
      <c r="O105" s="95"/>
      <c r="P105" s="95"/>
      <c r="Q105" s="95"/>
      <c r="R105" s="95"/>
      <c r="S105" s="95"/>
      <c r="T105" s="95"/>
      <c r="U105" s="196"/>
      <c r="V105" s="97"/>
      <c r="W105" s="97"/>
      <c r="X105" s="195" t="s">
        <v>527</v>
      </c>
      <c r="Y105" s="196"/>
      <c r="Z105" s="196"/>
      <c r="AA105" s="196"/>
      <c r="AB105" s="195"/>
      <c r="AC105" s="196"/>
      <c r="AD105" s="196"/>
    </row>
    <row r="106" spans="1:30">
      <c r="A106" s="95"/>
      <c r="B106" s="95"/>
      <c r="C106" s="95"/>
      <c r="D106" s="95"/>
      <c r="E106" s="95"/>
      <c r="F106" s="95"/>
      <c r="G106" s="95"/>
      <c r="H106" s="95"/>
      <c r="I106" s="95"/>
      <c r="J106" s="95"/>
      <c r="K106" s="95"/>
      <c r="L106" s="95"/>
      <c r="M106" s="95"/>
      <c r="N106" s="95"/>
      <c r="O106" s="95"/>
      <c r="P106" s="95"/>
      <c r="Q106" s="95"/>
      <c r="R106" s="95"/>
      <c r="S106" s="95"/>
      <c r="T106" s="95"/>
      <c r="U106" s="196"/>
      <c r="V106" s="97"/>
      <c r="W106" s="97"/>
      <c r="X106" s="195" t="s">
        <v>528</v>
      </c>
      <c r="Y106" s="196"/>
      <c r="Z106" s="196"/>
      <c r="AA106" s="196"/>
      <c r="AB106" s="195"/>
      <c r="AC106" s="196"/>
      <c r="AD106" s="196"/>
    </row>
    <row r="107" spans="1:30">
      <c r="A107" s="95"/>
      <c r="B107" s="95"/>
      <c r="C107" s="95"/>
      <c r="D107" s="95"/>
      <c r="E107" s="95"/>
      <c r="F107" s="95"/>
      <c r="G107" s="95"/>
      <c r="H107" s="95"/>
      <c r="I107" s="95"/>
      <c r="J107" s="95"/>
      <c r="K107" s="95"/>
      <c r="L107" s="95"/>
      <c r="M107" s="95"/>
      <c r="N107" s="95"/>
      <c r="O107" s="95"/>
      <c r="P107" s="95"/>
      <c r="Q107" s="95"/>
      <c r="R107" s="95"/>
      <c r="S107" s="95"/>
      <c r="T107" s="95"/>
      <c r="U107" s="196"/>
      <c r="V107" s="97"/>
      <c r="W107" s="97"/>
      <c r="X107" s="195" t="s">
        <v>529</v>
      </c>
      <c r="Y107" s="196"/>
      <c r="Z107" s="196"/>
      <c r="AA107" s="196"/>
      <c r="AB107" s="195"/>
      <c r="AC107" s="196"/>
      <c r="AD107" s="196"/>
    </row>
    <row r="108" spans="1:30">
      <c r="A108" s="95"/>
      <c r="B108" s="95"/>
      <c r="C108" s="95"/>
      <c r="D108" s="95"/>
      <c r="E108" s="95"/>
      <c r="F108" s="95"/>
      <c r="G108" s="95"/>
      <c r="H108" s="95"/>
      <c r="I108" s="95"/>
      <c r="J108" s="95"/>
      <c r="K108" s="95"/>
      <c r="L108" s="95"/>
      <c r="M108" s="95"/>
      <c r="N108" s="95"/>
      <c r="O108" s="95"/>
      <c r="P108" s="95"/>
      <c r="Q108" s="95"/>
      <c r="R108" s="95"/>
      <c r="S108" s="95"/>
      <c r="T108" s="95"/>
      <c r="U108" s="196"/>
      <c r="V108" s="97"/>
      <c r="W108" s="97"/>
      <c r="X108" s="195" t="s">
        <v>530</v>
      </c>
      <c r="Y108" s="196"/>
      <c r="Z108" s="196"/>
      <c r="AA108" s="196"/>
      <c r="AB108" s="195"/>
      <c r="AC108" s="196"/>
      <c r="AD108" s="196"/>
    </row>
    <row r="109" spans="1:30">
      <c r="A109" s="95"/>
      <c r="B109" s="95"/>
      <c r="C109" s="95"/>
      <c r="D109" s="95"/>
      <c r="E109" s="95"/>
      <c r="F109" s="95"/>
      <c r="G109" s="95"/>
      <c r="H109" s="95"/>
      <c r="I109" s="95"/>
      <c r="J109" s="95"/>
      <c r="K109" s="95"/>
      <c r="L109" s="95"/>
      <c r="M109" s="95"/>
      <c r="N109" s="95"/>
      <c r="O109" s="95"/>
      <c r="P109" s="95"/>
      <c r="Q109" s="95"/>
      <c r="R109" s="95"/>
      <c r="S109" s="95"/>
      <c r="T109" s="95"/>
      <c r="U109" s="196"/>
      <c r="V109" s="97"/>
      <c r="W109" s="97"/>
      <c r="X109" s="195" t="s">
        <v>531</v>
      </c>
      <c r="Y109" s="196"/>
      <c r="Z109" s="196"/>
      <c r="AA109" s="196"/>
      <c r="AB109" s="195"/>
      <c r="AC109" s="196"/>
      <c r="AD109" s="196"/>
    </row>
    <row r="110" spans="1:30">
      <c r="A110" s="95"/>
      <c r="B110" s="95"/>
      <c r="C110" s="95"/>
      <c r="D110" s="95"/>
      <c r="E110" s="95"/>
      <c r="F110" s="95"/>
      <c r="G110" s="95"/>
      <c r="H110" s="95"/>
      <c r="I110" s="95"/>
      <c r="J110" s="95"/>
      <c r="K110" s="95"/>
      <c r="L110" s="95"/>
      <c r="M110" s="95"/>
      <c r="N110" s="95"/>
      <c r="O110" s="95"/>
      <c r="P110" s="95"/>
      <c r="Q110" s="95"/>
      <c r="R110" s="95"/>
      <c r="S110" s="95"/>
      <c r="T110" s="95"/>
      <c r="U110" s="196"/>
      <c r="V110" s="97"/>
      <c r="W110" s="97"/>
      <c r="X110" s="195" t="s">
        <v>533</v>
      </c>
      <c r="Y110" s="196"/>
      <c r="Z110" s="196"/>
      <c r="AA110" s="196"/>
      <c r="AB110" s="195"/>
      <c r="AC110" s="196"/>
      <c r="AD110" s="196"/>
    </row>
    <row r="111" spans="1:30">
      <c r="A111" s="95"/>
      <c r="B111" s="95"/>
      <c r="C111" s="95"/>
      <c r="D111" s="95"/>
      <c r="E111" s="95"/>
      <c r="F111" s="95"/>
      <c r="G111" s="95"/>
      <c r="H111" s="95"/>
      <c r="I111" s="95"/>
      <c r="J111" s="95"/>
      <c r="K111" s="95"/>
      <c r="L111" s="95"/>
      <c r="M111" s="95"/>
      <c r="N111" s="95"/>
      <c r="O111" s="95"/>
      <c r="P111" s="95"/>
      <c r="Q111" s="95"/>
      <c r="R111" s="95"/>
      <c r="S111" s="95"/>
      <c r="T111" s="95"/>
      <c r="U111" s="196"/>
      <c r="V111" s="97"/>
      <c r="W111" s="97"/>
      <c r="X111" s="195" t="s">
        <v>406</v>
      </c>
      <c r="Y111" s="196"/>
      <c r="Z111" s="196"/>
      <c r="AA111" s="196"/>
      <c r="AB111" s="195"/>
      <c r="AC111" s="196"/>
      <c r="AD111" s="196"/>
    </row>
    <row r="112" spans="1:30">
      <c r="A112" s="95"/>
      <c r="B112" s="95"/>
      <c r="C112" s="95"/>
      <c r="D112" s="95"/>
      <c r="E112" s="95"/>
      <c r="F112" s="95"/>
      <c r="G112" s="95"/>
      <c r="H112" s="95"/>
      <c r="I112" s="95"/>
      <c r="J112" s="95"/>
      <c r="K112" s="95"/>
      <c r="L112" s="95"/>
      <c r="M112" s="95"/>
      <c r="N112" s="95"/>
      <c r="O112" s="95"/>
      <c r="P112" s="95"/>
      <c r="Q112" s="95"/>
      <c r="R112" s="95"/>
      <c r="S112" s="95"/>
      <c r="T112" s="95"/>
      <c r="U112" s="196"/>
      <c r="V112" s="97"/>
      <c r="W112" s="97"/>
      <c r="X112" s="195" t="s">
        <v>534</v>
      </c>
      <c r="Y112" s="196"/>
      <c r="Z112" s="196"/>
      <c r="AA112" s="196"/>
      <c r="AB112" s="195"/>
      <c r="AC112" s="196"/>
      <c r="AD112" s="196"/>
    </row>
    <row r="113" spans="1:30">
      <c r="A113" s="95"/>
      <c r="B113" s="95"/>
      <c r="C113" s="95"/>
      <c r="D113" s="95"/>
      <c r="E113" s="95"/>
      <c r="F113" s="95"/>
      <c r="G113" s="95"/>
      <c r="H113" s="95"/>
      <c r="I113" s="95"/>
      <c r="J113" s="95"/>
      <c r="K113" s="95"/>
      <c r="L113" s="95"/>
      <c r="M113" s="95"/>
      <c r="N113" s="95"/>
      <c r="O113" s="95"/>
      <c r="P113" s="95"/>
      <c r="Q113" s="95"/>
      <c r="R113" s="95"/>
      <c r="S113" s="95"/>
      <c r="T113" s="95"/>
      <c r="U113" s="196"/>
      <c r="V113" s="97"/>
      <c r="W113" s="97"/>
      <c r="X113" s="195" t="s">
        <v>535</v>
      </c>
      <c r="Y113" s="196"/>
      <c r="Z113" s="196"/>
      <c r="AA113" s="196"/>
      <c r="AB113" s="195"/>
      <c r="AC113" s="196"/>
      <c r="AD113" s="196"/>
    </row>
    <row r="114" spans="1:30">
      <c r="A114" s="95"/>
      <c r="B114" s="95"/>
      <c r="C114" s="95"/>
      <c r="D114" s="95"/>
      <c r="E114" s="95"/>
      <c r="F114" s="95"/>
      <c r="G114" s="95"/>
      <c r="H114" s="95"/>
      <c r="I114" s="95"/>
      <c r="J114" s="95"/>
      <c r="K114" s="95"/>
      <c r="L114" s="95"/>
      <c r="M114" s="95"/>
      <c r="N114" s="95"/>
      <c r="O114" s="95"/>
      <c r="P114" s="95"/>
      <c r="Q114" s="95"/>
      <c r="R114" s="95"/>
      <c r="S114" s="95"/>
      <c r="T114" s="95"/>
      <c r="U114" s="196"/>
      <c r="V114" s="97"/>
      <c r="W114" s="97"/>
      <c r="X114" s="195" t="s">
        <v>537</v>
      </c>
      <c r="Y114" s="196"/>
      <c r="Z114" s="196"/>
      <c r="AA114" s="196"/>
      <c r="AB114" s="195"/>
      <c r="AC114" s="196"/>
      <c r="AD114" s="196"/>
    </row>
    <row r="115" spans="1:30">
      <c r="A115" s="95"/>
      <c r="B115" s="95"/>
      <c r="C115" s="95"/>
      <c r="D115" s="95"/>
      <c r="E115" s="95"/>
      <c r="F115" s="95"/>
      <c r="G115" s="95"/>
      <c r="H115" s="95"/>
      <c r="I115" s="95"/>
      <c r="J115" s="95"/>
      <c r="K115" s="95"/>
      <c r="L115" s="95"/>
      <c r="M115" s="95"/>
      <c r="N115" s="95"/>
      <c r="O115" s="95"/>
      <c r="P115" s="95"/>
      <c r="Q115" s="95"/>
      <c r="R115" s="95"/>
      <c r="S115" s="95"/>
      <c r="T115" s="95"/>
      <c r="U115" s="196"/>
      <c r="V115" s="97"/>
      <c r="W115" s="97"/>
      <c r="X115" s="195" t="s">
        <v>538</v>
      </c>
      <c r="Y115" s="196"/>
      <c r="Z115" s="196"/>
      <c r="AA115" s="196"/>
      <c r="AB115" s="195"/>
      <c r="AC115" s="196"/>
      <c r="AD115" s="196"/>
    </row>
    <row r="116" spans="1:30">
      <c r="A116" s="95"/>
      <c r="B116" s="95"/>
      <c r="C116" s="95"/>
      <c r="D116" s="95"/>
      <c r="E116" s="95"/>
      <c r="F116" s="95"/>
      <c r="G116" s="95"/>
      <c r="H116" s="95"/>
      <c r="I116" s="95"/>
      <c r="J116" s="95"/>
      <c r="K116" s="95"/>
      <c r="L116" s="95"/>
      <c r="M116" s="95"/>
      <c r="N116" s="95"/>
      <c r="O116" s="95"/>
      <c r="P116" s="95"/>
      <c r="Q116" s="95"/>
      <c r="R116" s="95"/>
      <c r="S116" s="95"/>
      <c r="T116" s="95"/>
      <c r="U116" s="196"/>
      <c r="V116" s="97"/>
      <c r="W116" s="97"/>
      <c r="X116" s="195" t="s">
        <v>540</v>
      </c>
      <c r="Y116" s="196"/>
      <c r="Z116" s="196"/>
      <c r="AA116" s="196"/>
      <c r="AB116" s="195"/>
      <c r="AC116" s="196"/>
      <c r="AD116" s="196"/>
    </row>
    <row r="117" spans="1:30">
      <c r="A117" s="95"/>
      <c r="B117" s="95"/>
      <c r="C117" s="95"/>
      <c r="D117" s="95"/>
      <c r="E117" s="95"/>
      <c r="F117" s="95"/>
      <c r="G117" s="95"/>
      <c r="H117" s="95"/>
      <c r="I117" s="95"/>
      <c r="J117" s="95"/>
      <c r="K117" s="95"/>
      <c r="L117" s="95"/>
      <c r="M117" s="95"/>
      <c r="N117" s="95"/>
      <c r="O117" s="95"/>
      <c r="P117" s="95"/>
      <c r="Q117" s="95"/>
      <c r="R117" s="95"/>
      <c r="S117" s="95"/>
      <c r="T117" s="95"/>
      <c r="U117" s="196"/>
      <c r="V117" s="97"/>
      <c r="W117" s="97"/>
      <c r="X117" s="195" t="s">
        <v>542</v>
      </c>
      <c r="Y117" s="196"/>
      <c r="Z117" s="196"/>
      <c r="AA117" s="196"/>
      <c r="AB117" s="195"/>
      <c r="AC117" s="196"/>
      <c r="AD117" s="196"/>
    </row>
    <row r="118" spans="1:30">
      <c r="A118" s="95"/>
      <c r="B118" s="95"/>
      <c r="C118" s="95"/>
      <c r="D118" s="95"/>
      <c r="E118" s="95"/>
      <c r="F118" s="95"/>
      <c r="G118" s="95"/>
      <c r="H118" s="95"/>
      <c r="I118" s="95"/>
      <c r="J118" s="95"/>
      <c r="K118" s="95"/>
      <c r="L118" s="95"/>
      <c r="M118" s="95"/>
      <c r="N118" s="95"/>
      <c r="O118" s="95"/>
      <c r="P118" s="95"/>
      <c r="Q118" s="95"/>
      <c r="R118" s="95"/>
      <c r="S118" s="95"/>
      <c r="T118" s="95"/>
      <c r="U118" s="196"/>
      <c r="V118" s="97"/>
      <c r="W118" s="97"/>
      <c r="X118" s="195" t="s">
        <v>543</v>
      </c>
      <c r="Y118" s="196"/>
      <c r="Z118" s="196"/>
      <c r="AA118" s="196"/>
      <c r="AB118" s="195"/>
      <c r="AC118" s="196"/>
      <c r="AD118" s="196"/>
    </row>
    <row r="119" spans="1:30">
      <c r="A119" s="95"/>
      <c r="B119" s="95"/>
      <c r="C119" s="95"/>
      <c r="D119" s="95"/>
      <c r="E119" s="95"/>
      <c r="F119" s="95"/>
      <c r="G119" s="95"/>
      <c r="H119" s="95"/>
      <c r="I119" s="95"/>
      <c r="J119" s="95"/>
      <c r="K119" s="95"/>
      <c r="L119" s="95"/>
      <c r="M119" s="95"/>
      <c r="N119" s="95"/>
      <c r="O119" s="95"/>
      <c r="P119" s="95"/>
      <c r="Q119" s="95"/>
      <c r="R119" s="95"/>
      <c r="S119" s="95"/>
      <c r="T119" s="95"/>
      <c r="U119" s="196"/>
      <c r="V119" s="97"/>
      <c r="W119" s="97"/>
      <c r="X119" s="195" t="s">
        <v>285</v>
      </c>
      <c r="Y119" s="196"/>
      <c r="Z119" s="196"/>
      <c r="AA119" s="196"/>
      <c r="AB119" s="195"/>
      <c r="AC119" s="196"/>
      <c r="AD119" s="196"/>
    </row>
    <row r="120" spans="1:30">
      <c r="A120" s="95"/>
      <c r="B120" s="95"/>
      <c r="C120" s="95"/>
      <c r="D120" s="95"/>
      <c r="E120" s="95"/>
      <c r="F120" s="95"/>
      <c r="G120" s="95"/>
      <c r="H120" s="95"/>
      <c r="I120" s="95"/>
      <c r="J120" s="95"/>
      <c r="K120" s="95"/>
      <c r="L120" s="95"/>
      <c r="M120" s="95"/>
      <c r="N120" s="95"/>
      <c r="O120" s="95"/>
      <c r="P120" s="95"/>
      <c r="Q120" s="95"/>
      <c r="R120" s="95"/>
      <c r="S120" s="95"/>
      <c r="T120" s="95"/>
      <c r="U120" s="196"/>
      <c r="V120" s="97"/>
      <c r="W120" s="97"/>
      <c r="X120" s="195" t="s">
        <v>286</v>
      </c>
      <c r="Y120" s="196"/>
      <c r="Z120" s="196"/>
      <c r="AA120" s="196"/>
      <c r="AB120" s="195"/>
      <c r="AC120" s="196"/>
      <c r="AD120" s="196"/>
    </row>
    <row r="121" spans="1:30">
      <c r="A121" s="95"/>
      <c r="B121" s="95"/>
      <c r="C121" s="95"/>
      <c r="D121" s="95"/>
      <c r="E121" s="95"/>
      <c r="F121" s="95"/>
      <c r="G121" s="95"/>
      <c r="H121" s="95"/>
      <c r="I121" s="95"/>
      <c r="J121" s="95"/>
      <c r="K121" s="95"/>
      <c r="L121" s="95"/>
      <c r="M121" s="95"/>
      <c r="N121" s="95"/>
      <c r="O121" s="95"/>
      <c r="P121" s="95"/>
      <c r="Q121" s="95"/>
      <c r="R121" s="95"/>
      <c r="S121" s="95"/>
      <c r="T121" s="95"/>
      <c r="U121" s="196"/>
      <c r="V121" s="97"/>
      <c r="W121" s="97"/>
      <c r="X121" s="195" t="s">
        <v>544</v>
      </c>
      <c r="Y121" s="196"/>
      <c r="Z121" s="196"/>
      <c r="AA121" s="196"/>
      <c r="AB121" s="195"/>
      <c r="AC121" s="196"/>
      <c r="AD121" s="196"/>
    </row>
    <row r="122" spans="1:30">
      <c r="A122" s="95"/>
      <c r="B122" s="95"/>
      <c r="C122" s="95"/>
      <c r="D122" s="95"/>
      <c r="E122" s="95"/>
      <c r="F122" s="95"/>
      <c r="G122" s="95"/>
      <c r="H122" s="95"/>
      <c r="I122" s="95"/>
      <c r="J122" s="95"/>
      <c r="K122" s="95"/>
      <c r="L122" s="95"/>
      <c r="M122" s="95"/>
      <c r="N122" s="95"/>
      <c r="O122" s="95"/>
      <c r="P122" s="95"/>
      <c r="Q122" s="95"/>
      <c r="R122" s="95"/>
      <c r="S122" s="95"/>
      <c r="T122" s="95"/>
      <c r="U122" s="196"/>
      <c r="V122" s="97"/>
      <c r="W122" s="97"/>
      <c r="X122" s="195" t="s">
        <v>545</v>
      </c>
      <c r="Y122" s="196"/>
      <c r="Z122" s="196"/>
      <c r="AA122" s="196"/>
      <c r="AB122" s="195"/>
      <c r="AC122" s="196"/>
      <c r="AD122" s="196"/>
    </row>
    <row r="123" spans="1:30">
      <c r="A123" s="95"/>
      <c r="B123" s="95"/>
      <c r="C123" s="95"/>
      <c r="D123" s="95"/>
      <c r="E123" s="95"/>
      <c r="F123" s="95"/>
      <c r="G123" s="95"/>
      <c r="H123" s="95"/>
      <c r="I123" s="95"/>
      <c r="J123" s="95"/>
      <c r="K123" s="95"/>
      <c r="L123" s="95"/>
      <c r="M123" s="95"/>
      <c r="N123" s="95"/>
      <c r="O123" s="95"/>
      <c r="P123" s="95"/>
      <c r="Q123" s="95"/>
      <c r="R123" s="95"/>
      <c r="S123" s="95"/>
      <c r="T123" s="95"/>
      <c r="U123" s="196"/>
      <c r="V123" s="97"/>
      <c r="W123" s="97"/>
      <c r="X123" s="195" t="s">
        <v>547</v>
      </c>
      <c r="Y123" s="196"/>
      <c r="Z123" s="196"/>
      <c r="AA123" s="196"/>
      <c r="AB123" s="195"/>
      <c r="AC123" s="196"/>
      <c r="AD123" s="196"/>
    </row>
    <row r="124" spans="1:30">
      <c r="A124" s="95"/>
      <c r="B124" s="95"/>
      <c r="C124" s="95"/>
      <c r="D124" s="95"/>
      <c r="E124" s="95"/>
      <c r="F124" s="95"/>
      <c r="G124" s="95"/>
      <c r="H124" s="95"/>
      <c r="I124" s="95"/>
      <c r="J124" s="95"/>
      <c r="K124" s="95"/>
      <c r="L124" s="95"/>
      <c r="M124" s="95"/>
      <c r="N124" s="95"/>
      <c r="O124" s="95"/>
      <c r="P124" s="95"/>
      <c r="Q124" s="95"/>
      <c r="R124" s="95"/>
      <c r="S124" s="95"/>
      <c r="T124" s="95"/>
      <c r="U124" s="196"/>
      <c r="V124" s="97"/>
      <c r="W124" s="97"/>
      <c r="X124" s="195" t="s">
        <v>549</v>
      </c>
      <c r="Y124" s="196"/>
      <c r="Z124" s="196"/>
      <c r="AA124" s="196"/>
      <c r="AB124" s="195"/>
      <c r="AC124" s="196"/>
      <c r="AD124" s="196"/>
    </row>
    <row r="125" spans="1:30">
      <c r="A125" s="95"/>
      <c r="B125" s="95"/>
      <c r="C125" s="95"/>
      <c r="D125" s="95"/>
      <c r="E125" s="95"/>
      <c r="F125" s="95"/>
      <c r="G125" s="95"/>
      <c r="H125" s="95"/>
      <c r="I125" s="95"/>
      <c r="J125" s="95"/>
      <c r="K125" s="95"/>
      <c r="L125" s="95"/>
      <c r="M125" s="95"/>
      <c r="N125" s="95"/>
      <c r="O125" s="95"/>
      <c r="P125" s="95"/>
      <c r="Q125" s="95"/>
      <c r="R125" s="95"/>
      <c r="S125" s="95"/>
      <c r="T125" s="95"/>
      <c r="U125" s="196"/>
      <c r="V125" s="97"/>
      <c r="W125" s="97"/>
      <c r="X125" s="195" t="s">
        <v>551</v>
      </c>
      <c r="Y125" s="196"/>
      <c r="Z125" s="196"/>
      <c r="AA125" s="196"/>
      <c r="AB125" s="195"/>
      <c r="AC125" s="196"/>
      <c r="AD125" s="196"/>
    </row>
    <row r="126" spans="1:30">
      <c r="A126" s="95"/>
      <c r="B126" s="95"/>
      <c r="C126" s="95"/>
      <c r="D126" s="95"/>
      <c r="E126" s="95"/>
      <c r="F126" s="95"/>
      <c r="G126" s="95"/>
      <c r="H126" s="95"/>
      <c r="I126" s="95"/>
      <c r="J126" s="95"/>
      <c r="K126" s="95"/>
      <c r="L126" s="95"/>
      <c r="M126" s="95"/>
      <c r="N126" s="95"/>
      <c r="O126" s="95"/>
      <c r="P126" s="95"/>
      <c r="Q126" s="95"/>
      <c r="R126" s="95"/>
      <c r="S126" s="95"/>
      <c r="T126" s="95"/>
      <c r="U126" s="196"/>
      <c r="V126" s="97"/>
      <c r="W126" s="97"/>
      <c r="X126" s="195" t="s">
        <v>552</v>
      </c>
      <c r="Y126" s="196"/>
      <c r="Z126" s="196"/>
      <c r="AA126" s="196"/>
      <c r="AB126" s="195"/>
      <c r="AC126" s="196"/>
      <c r="AD126" s="196"/>
    </row>
    <row r="127" spans="1:30">
      <c r="A127" s="95"/>
      <c r="B127" s="95"/>
      <c r="C127" s="95"/>
      <c r="D127" s="95"/>
      <c r="E127" s="95"/>
      <c r="F127" s="95"/>
      <c r="G127" s="95"/>
      <c r="H127" s="95"/>
      <c r="I127" s="95"/>
      <c r="J127" s="95"/>
      <c r="K127" s="95"/>
      <c r="L127" s="95"/>
      <c r="M127" s="95"/>
      <c r="N127" s="95"/>
      <c r="O127" s="95"/>
      <c r="P127" s="95"/>
      <c r="Q127" s="95"/>
      <c r="R127" s="95"/>
      <c r="S127" s="95"/>
      <c r="T127" s="95"/>
      <c r="U127" s="196"/>
      <c r="V127" s="97"/>
      <c r="W127" s="97"/>
      <c r="X127" s="195" t="s">
        <v>553</v>
      </c>
      <c r="Y127" s="196"/>
      <c r="Z127" s="196"/>
      <c r="AA127" s="196"/>
      <c r="AB127" s="195"/>
      <c r="AC127" s="196"/>
      <c r="AD127" s="196"/>
    </row>
    <row r="128" spans="1:30">
      <c r="A128" s="95"/>
      <c r="B128" s="95"/>
      <c r="C128" s="95"/>
      <c r="D128" s="95"/>
      <c r="E128" s="95"/>
      <c r="F128" s="95"/>
      <c r="G128" s="95"/>
      <c r="H128" s="95"/>
      <c r="I128" s="95"/>
      <c r="J128" s="95"/>
      <c r="K128" s="95"/>
      <c r="L128" s="95"/>
      <c r="M128" s="95"/>
      <c r="N128" s="95"/>
      <c r="O128" s="95"/>
      <c r="P128" s="95"/>
      <c r="Q128" s="95"/>
      <c r="R128" s="95"/>
      <c r="S128" s="95"/>
      <c r="T128" s="95"/>
      <c r="U128" s="196"/>
      <c r="V128" s="97"/>
      <c r="W128" s="97"/>
      <c r="X128" s="195" t="s">
        <v>554</v>
      </c>
      <c r="Y128" s="196"/>
      <c r="Z128" s="196"/>
      <c r="AA128" s="196"/>
      <c r="AB128" s="195"/>
      <c r="AC128" s="196"/>
      <c r="AD128" s="196"/>
    </row>
    <row r="129" spans="1:30">
      <c r="A129" s="95"/>
      <c r="B129" s="95"/>
      <c r="C129" s="95"/>
      <c r="D129" s="95"/>
      <c r="E129" s="95"/>
      <c r="F129" s="95"/>
      <c r="G129" s="95"/>
      <c r="H129" s="95"/>
      <c r="I129" s="95"/>
      <c r="J129" s="95"/>
      <c r="K129" s="95"/>
      <c r="L129" s="95"/>
      <c r="M129" s="95"/>
      <c r="N129" s="95"/>
      <c r="O129" s="95"/>
      <c r="P129" s="95"/>
      <c r="Q129" s="95"/>
      <c r="R129" s="95"/>
      <c r="S129" s="95"/>
      <c r="T129" s="95"/>
      <c r="U129" s="196"/>
      <c r="V129" s="97"/>
      <c r="W129" s="97"/>
      <c r="X129" s="195" t="s">
        <v>556</v>
      </c>
      <c r="Y129" s="196"/>
      <c r="Z129" s="196"/>
      <c r="AA129" s="196"/>
      <c r="AB129" s="195"/>
      <c r="AC129" s="196"/>
      <c r="AD129" s="196"/>
    </row>
    <row r="130" spans="1:30">
      <c r="A130" s="95"/>
      <c r="B130" s="95"/>
      <c r="C130" s="95"/>
      <c r="D130" s="95"/>
      <c r="E130" s="95"/>
      <c r="F130" s="95"/>
      <c r="G130" s="95"/>
      <c r="H130" s="95"/>
      <c r="I130" s="95"/>
      <c r="J130" s="95"/>
      <c r="K130" s="95"/>
      <c r="L130" s="95"/>
      <c r="M130" s="95"/>
      <c r="N130" s="95"/>
      <c r="O130" s="95"/>
      <c r="P130" s="95"/>
      <c r="Q130" s="95"/>
      <c r="R130" s="95"/>
      <c r="S130" s="95"/>
      <c r="T130" s="95"/>
      <c r="U130" s="196"/>
      <c r="V130" s="97"/>
      <c r="W130" s="97"/>
      <c r="X130" s="195" t="s">
        <v>557</v>
      </c>
      <c r="Y130" s="196"/>
      <c r="Z130" s="196"/>
      <c r="AA130" s="196"/>
      <c r="AB130" s="195"/>
      <c r="AC130" s="196"/>
      <c r="AD130" s="196"/>
    </row>
    <row r="131" spans="1:30">
      <c r="A131" s="95"/>
      <c r="B131" s="95"/>
      <c r="C131" s="95"/>
      <c r="D131" s="95"/>
      <c r="E131" s="95"/>
      <c r="F131" s="95"/>
      <c r="G131" s="95"/>
      <c r="H131" s="95"/>
      <c r="I131" s="95"/>
      <c r="J131" s="95"/>
      <c r="K131" s="95"/>
      <c r="L131" s="95"/>
      <c r="M131" s="95"/>
      <c r="N131" s="95"/>
      <c r="O131" s="95"/>
      <c r="P131" s="95"/>
      <c r="Q131" s="95"/>
      <c r="R131" s="95"/>
      <c r="S131" s="95"/>
      <c r="T131" s="95"/>
      <c r="U131" s="196"/>
      <c r="V131" s="97"/>
      <c r="W131" s="97"/>
      <c r="X131" s="195" t="s">
        <v>558</v>
      </c>
      <c r="Y131" s="196"/>
      <c r="Z131" s="196"/>
      <c r="AA131" s="196"/>
      <c r="AB131" s="195"/>
      <c r="AC131" s="196"/>
      <c r="AD131" s="196"/>
    </row>
    <row r="132" spans="1:30">
      <c r="A132" s="95"/>
      <c r="B132" s="95"/>
      <c r="C132" s="95"/>
      <c r="D132" s="95"/>
      <c r="E132" s="95"/>
      <c r="F132" s="95"/>
      <c r="G132" s="95"/>
      <c r="H132" s="95"/>
      <c r="I132" s="95"/>
      <c r="J132" s="95"/>
      <c r="K132" s="95"/>
      <c r="L132" s="95"/>
      <c r="M132" s="95"/>
      <c r="N132" s="95"/>
      <c r="O132" s="95"/>
      <c r="P132" s="95"/>
      <c r="Q132" s="95"/>
      <c r="R132" s="95"/>
      <c r="S132" s="95"/>
      <c r="T132" s="95"/>
      <c r="U132" s="196"/>
      <c r="V132" s="97"/>
      <c r="W132" s="97"/>
      <c r="X132" s="195" t="s">
        <v>559</v>
      </c>
      <c r="Y132" s="196"/>
      <c r="Z132" s="196"/>
      <c r="AA132" s="196"/>
      <c r="AB132" s="195"/>
      <c r="AC132" s="196"/>
      <c r="AD132" s="196"/>
    </row>
    <row r="133" spans="1:30">
      <c r="A133" s="95"/>
      <c r="B133" s="95"/>
      <c r="C133" s="95"/>
      <c r="D133" s="95"/>
      <c r="E133" s="95"/>
      <c r="F133" s="95"/>
      <c r="G133" s="95"/>
      <c r="H133" s="95"/>
      <c r="I133" s="95"/>
      <c r="J133" s="95"/>
      <c r="K133" s="95"/>
      <c r="L133" s="95"/>
      <c r="M133" s="95"/>
      <c r="N133" s="95"/>
      <c r="O133" s="95"/>
      <c r="P133" s="95"/>
      <c r="Q133" s="95"/>
      <c r="R133" s="95"/>
      <c r="S133" s="95"/>
      <c r="T133" s="95"/>
      <c r="U133" s="196"/>
      <c r="V133" s="97"/>
      <c r="W133" s="97"/>
      <c r="X133" s="195" t="s">
        <v>561</v>
      </c>
      <c r="Y133" s="196"/>
      <c r="Z133" s="196"/>
      <c r="AA133" s="196"/>
      <c r="AB133" s="195"/>
      <c r="AC133" s="196"/>
      <c r="AD133" s="196"/>
    </row>
    <row r="134" spans="1:30">
      <c r="A134" s="95"/>
      <c r="B134" s="95"/>
      <c r="C134" s="95"/>
      <c r="D134" s="95"/>
      <c r="E134" s="95"/>
      <c r="F134" s="95"/>
      <c r="G134" s="95"/>
      <c r="H134" s="95"/>
      <c r="I134" s="95"/>
      <c r="J134" s="95"/>
      <c r="K134" s="95"/>
      <c r="L134" s="95"/>
      <c r="M134" s="95"/>
      <c r="N134" s="95"/>
      <c r="O134" s="95"/>
      <c r="P134" s="95"/>
      <c r="Q134" s="95"/>
      <c r="R134" s="95"/>
      <c r="S134" s="95"/>
      <c r="T134" s="95"/>
      <c r="U134" s="196"/>
      <c r="V134" s="97"/>
      <c r="W134" s="97"/>
      <c r="X134" s="195" t="s">
        <v>562</v>
      </c>
      <c r="Y134" s="196"/>
      <c r="Z134" s="196"/>
      <c r="AA134" s="196"/>
      <c r="AB134" s="195"/>
      <c r="AC134" s="196"/>
      <c r="AD134" s="196"/>
    </row>
    <row r="135" spans="1:30">
      <c r="A135" s="95"/>
      <c r="B135" s="95"/>
      <c r="C135" s="95"/>
      <c r="D135" s="95"/>
      <c r="E135" s="95"/>
      <c r="F135" s="95"/>
      <c r="G135" s="95"/>
      <c r="H135" s="95"/>
      <c r="I135" s="95"/>
      <c r="J135" s="95"/>
      <c r="K135" s="95"/>
      <c r="L135" s="95"/>
      <c r="M135" s="95"/>
      <c r="N135" s="95"/>
      <c r="O135" s="95"/>
      <c r="P135" s="95"/>
      <c r="Q135" s="95"/>
      <c r="R135" s="95"/>
      <c r="S135" s="95"/>
      <c r="T135" s="95"/>
      <c r="U135" s="196"/>
      <c r="V135" s="97"/>
      <c r="W135" s="97"/>
      <c r="X135" s="195" t="s">
        <v>563</v>
      </c>
      <c r="Y135" s="196"/>
      <c r="Z135" s="196"/>
      <c r="AA135" s="196"/>
      <c r="AB135" s="195"/>
      <c r="AC135" s="196"/>
      <c r="AD135" s="196"/>
    </row>
    <row r="136" spans="1:30">
      <c r="A136" s="95"/>
      <c r="B136" s="95"/>
      <c r="C136" s="95"/>
      <c r="D136" s="95"/>
      <c r="E136" s="95"/>
      <c r="F136" s="95"/>
      <c r="G136" s="95"/>
      <c r="H136" s="95"/>
      <c r="I136" s="95"/>
      <c r="J136" s="95"/>
      <c r="K136" s="95"/>
      <c r="L136" s="95"/>
      <c r="M136" s="95"/>
      <c r="N136" s="95"/>
      <c r="O136" s="95"/>
      <c r="P136" s="95"/>
      <c r="Q136" s="95"/>
      <c r="R136" s="95"/>
      <c r="S136" s="95"/>
      <c r="T136" s="95"/>
      <c r="U136" s="196"/>
      <c r="V136" s="97"/>
      <c r="W136" s="97"/>
      <c r="X136" s="195" t="s">
        <v>564</v>
      </c>
      <c r="Y136" s="196"/>
      <c r="Z136" s="196"/>
      <c r="AA136" s="196"/>
      <c r="AB136" s="195"/>
      <c r="AC136" s="196"/>
      <c r="AD136" s="196"/>
    </row>
    <row r="137" spans="1:30">
      <c r="A137" s="95"/>
      <c r="B137" s="95"/>
      <c r="C137" s="95"/>
      <c r="D137" s="95"/>
      <c r="E137" s="95"/>
      <c r="F137" s="95"/>
      <c r="G137" s="95"/>
      <c r="H137" s="95"/>
      <c r="I137" s="95"/>
      <c r="J137" s="95"/>
      <c r="K137" s="95"/>
      <c r="L137" s="95"/>
      <c r="M137" s="95"/>
      <c r="N137" s="95"/>
      <c r="O137" s="95"/>
      <c r="P137" s="95"/>
      <c r="Q137" s="95"/>
      <c r="R137" s="95"/>
      <c r="S137" s="95"/>
      <c r="T137" s="95"/>
      <c r="U137" s="196"/>
      <c r="V137" s="97"/>
      <c r="W137" s="97"/>
      <c r="X137" s="194" t="s">
        <v>299</v>
      </c>
      <c r="Y137" s="196"/>
      <c r="Z137" s="196"/>
      <c r="AA137" s="196"/>
      <c r="AB137" s="195"/>
      <c r="AC137" s="196"/>
      <c r="AD137" s="196"/>
    </row>
    <row r="138" spans="1:30">
      <c r="A138" s="95"/>
      <c r="B138" s="95"/>
      <c r="C138" s="95"/>
      <c r="D138" s="95"/>
      <c r="E138" s="95"/>
      <c r="F138" s="95"/>
      <c r="G138" s="95"/>
      <c r="H138" s="95"/>
      <c r="I138" s="95"/>
      <c r="J138" s="95"/>
      <c r="K138" s="95"/>
      <c r="L138" s="95"/>
      <c r="M138" s="95"/>
      <c r="N138" s="95"/>
      <c r="O138" s="95"/>
      <c r="P138" s="95"/>
      <c r="Q138" s="95"/>
      <c r="R138" s="95"/>
      <c r="S138" s="95"/>
      <c r="T138" s="95"/>
      <c r="U138" s="196"/>
      <c r="V138" s="97"/>
      <c r="W138" s="97"/>
      <c r="X138" s="195" t="s">
        <v>565</v>
      </c>
      <c r="Y138" s="196"/>
      <c r="Z138" s="196"/>
      <c r="AA138" s="196"/>
      <c r="AB138" s="195"/>
      <c r="AC138" s="196"/>
      <c r="AD138" s="196"/>
    </row>
    <row r="139" spans="1:30">
      <c r="A139" s="95"/>
      <c r="B139" s="95"/>
      <c r="C139" s="95"/>
      <c r="D139" s="95"/>
      <c r="E139" s="95"/>
      <c r="F139" s="95"/>
      <c r="G139" s="95"/>
      <c r="H139" s="95"/>
      <c r="I139" s="95"/>
      <c r="J139" s="95"/>
      <c r="K139" s="95"/>
      <c r="L139" s="95"/>
      <c r="M139" s="95"/>
      <c r="N139" s="95"/>
      <c r="O139" s="95"/>
      <c r="P139" s="95"/>
      <c r="Q139" s="95"/>
      <c r="R139" s="95"/>
      <c r="S139" s="95"/>
      <c r="T139" s="95"/>
      <c r="U139" s="196"/>
      <c r="V139" s="97"/>
      <c r="W139" s="97"/>
      <c r="X139" s="195" t="s">
        <v>566</v>
      </c>
      <c r="Y139" s="196"/>
      <c r="Z139" s="196"/>
      <c r="AA139" s="196"/>
      <c r="AB139" s="195"/>
      <c r="AC139" s="196"/>
      <c r="AD139" s="196"/>
    </row>
    <row r="140" spans="1:30">
      <c r="A140" s="95"/>
      <c r="B140" s="95"/>
      <c r="C140" s="95"/>
      <c r="D140" s="95"/>
      <c r="E140" s="95"/>
      <c r="F140" s="95"/>
      <c r="G140" s="95"/>
      <c r="H140" s="95"/>
      <c r="I140" s="95"/>
      <c r="J140" s="95"/>
      <c r="K140" s="95"/>
      <c r="L140" s="95"/>
      <c r="M140" s="95"/>
      <c r="N140" s="95"/>
      <c r="O140" s="95"/>
      <c r="P140" s="95"/>
      <c r="Q140" s="95"/>
      <c r="R140" s="95"/>
      <c r="S140" s="95"/>
      <c r="T140" s="95"/>
      <c r="U140" s="196"/>
      <c r="V140" s="97"/>
      <c r="W140" s="97"/>
      <c r="X140" s="195" t="s">
        <v>423</v>
      </c>
      <c r="Y140" s="196"/>
      <c r="Z140" s="196"/>
      <c r="AA140" s="196"/>
      <c r="AB140" s="195"/>
      <c r="AC140" s="196"/>
      <c r="AD140" s="196"/>
    </row>
    <row r="141" spans="1:30">
      <c r="A141" s="95"/>
      <c r="B141" s="95"/>
      <c r="C141" s="95"/>
      <c r="D141" s="95"/>
      <c r="E141" s="95"/>
      <c r="F141" s="95"/>
      <c r="G141" s="95"/>
      <c r="H141" s="95"/>
      <c r="I141" s="95"/>
      <c r="J141" s="95"/>
      <c r="K141" s="95"/>
      <c r="L141" s="95"/>
      <c r="M141" s="95"/>
      <c r="N141" s="95"/>
      <c r="O141" s="95"/>
      <c r="P141" s="95"/>
      <c r="Q141" s="95"/>
      <c r="R141" s="95"/>
      <c r="S141" s="95"/>
      <c r="T141" s="95"/>
      <c r="U141" s="196"/>
      <c r="V141" s="97"/>
      <c r="W141" s="97"/>
      <c r="X141" s="195" t="s">
        <v>568</v>
      </c>
      <c r="Y141" s="196"/>
      <c r="Z141" s="196"/>
      <c r="AA141" s="196"/>
      <c r="AB141" s="195"/>
      <c r="AC141" s="196"/>
      <c r="AD141" s="196"/>
    </row>
    <row r="142" spans="1:30">
      <c r="A142" s="95"/>
      <c r="B142" s="95"/>
      <c r="C142" s="95"/>
      <c r="D142" s="95"/>
      <c r="E142" s="95"/>
      <c r="F142" s="95"/>
      <c r="G142" s="95"/>
      <c r="H142" s="95"/>
      <c r="I142" s="95"/>
      <c r="J142" s="95"/>
      <c r="K142" s="95"/>
      <c r="L142" s="95"/>
      <c r="M142" s="95"/>
      <c r="N142" s="95"/>
      <c r="O142" s="95"/>
      <c r="P142" s="95"/>
      <c r="Q142" s="95"/>
      <c r="R142" s="95"/>
      <c r="S142" s="95"/>
      <c r="T142" s="95"/>
      <c r="U142" s="196"/>
      <c r="V142" s="97"/>
      <c r="W142" s="97"/>
      <c r="X142" s="195" t="s">
        <v>569</v>
      </c>
      <c r="Y142" s="196"/>
      <c r="Z142" s="196"/>
      <c r="AA142" s="196"/>
      <c r="AB142" s="195"/>
      <c r="AC142" s="196"/>
      <c r="AD142" s="196"/>
    </row>
    <row r="143" spans="1:30">
      <c r="A143" s="95"/>
      <c r="B143" s="95"/>
      <c r="C143" s="95"/>
      <c r="D143" s="95"/>
      <c r="E143" s="95"/>
      <c r="F143" s="95"/>
      <c r="G143" s="95"/>
      <c r="H143" s="95"/>
      <c r="I143" s="95"/>
      <c r="J143" s="95"/>
      <c r="K143" s="95"/>
      <c r="L143" s="95"/>
      <c r="M143" s="95"/>
      <c r="N143" s="95"/>
      <c r="O143" s="95"/>
      <c r="P143" s="95"/>
      <c r="Q143" s="95"/>
      <c r="R143" s="95"/>
      <c r="S143" s="95"/>
      <c r="T143" s="95"/>
      <c r="U143" s="196"/>
      <c r="V143" s="97"/>
      <c r="W143" s="97"/>
      <c r="X143" s="195" t="s">
        <v>571</v>
      </c>
      <c r="Y143" s="196"/>
      <c r="Z143" s="196"/>
      <c r="AA143" s="196"/>
      <c r="AB143" s="195"/>
      <c r="AC143" s="196"/>
      <c r="AD143" s="196"/>
    </row>
    <row r="144" spans="1:30">
      <c r="A144" s="95"/>
      <c r="B144" s="95"/>
      <c r="C144" s="95"/>
      <c r="D144" s="95"/>
      <c r="E144" s="95"/>
      <c r="F144" s="95"/>
      <c r="G144" s="95"/>
      <c r="H144" s="95"/>
      <c r="I144" s="95"/>
      <c r="J144" s="95"/>
      <c r="K144" s="95"/>
      <c r="L144" s="95"/>
      <c r="M144" s="95"/>
      <c r="N144" s="95"/>
      <c r="O144" s="95"/>
      <c r="P144" s="95"/>
      <c r="Q144" s="95"/>
      <c r="R144" s="95"/>
      <c r="S144" s="95"/>
      <c r="T144" s="95"/>
      <c r="U144" s="196"/>
      <c r="V144" s="97"/>
      <c r="W144" s="97"/>
      <c r="X144" s="195" t="s">
        <v>573</v>
      </c>
      <c r="Y144" s="196"/>
      <c r="Z144" s="196"/>
      <c r="AA144" s="196"/>
      <c r="AB144" s="195"/>
      <c r="AC144" s="196"/>
      <c r="AD144" s="196"/>
    </row>
    <row r="145" spans="1:30">
      <c r="A145" s="95"/>
      <c r="B145" s="95"/>
      <c r="C145" s="95"/>
      <c r="D145" s="95"/>
      <c r="E145" s="95"/>
      <c r="F145" s="95"/>
      <c r="G145" s="95"/>
      <c r="H145" s="95"/>
      <c r="I145" s="95"/>
      <c r="J145" s="95"/>
      <c r="K145" s="95"/>
      <c r="L145" s="95"/>
      <c r="M145" s="95"/>
      <c r="N145" s="95"/>
      <c r="O145" s="95"/>
      <c r="P145" s="95"/>
      <c r="Q145" s="95"/>
      <c r="R145" s="95"/>
      <c r="S145" s="95"/>
      <c r="T145" s="95"/>
      <c r="U145" s="196"/>
      <c r="V145" s="97"/>
      <c r="W145" s="97"/>
      <c r="X145" s="195" t="s">
        <v>429</v>
      </c>
      <c r="Y145" s="196"/>
      <c r="Z145" s="196"/>
      <c r="AA145" s="196"/>
      <c r="AB145" s="195"/>
      <c r="AC145" s="196"/>
      <c r="AD145" s="196"/>
    </row>
    <row r="146" spans="1:30">
      <c r="A146" s="95"/>
      <c r="B146" s="95"/>
      <c r="C146" s="95"/>
      <c r="D146" s="95"/>
      <c r="E146" s="95"/>
      <c r="F146" s="95"/>
      <c r="G146" s="95"/>
      <c r="H146" s="95"/>
      <c r="I146" s="95"/>
      <c r="J146" s="95"/>
      <c r="K146" s="95"/>
      <c r="L146" s="95"/>
      <c r="M146" s="95"/>
      <c r="N146" s="95"/>
      <c r="O146" s="95"/>
      <c r="P146" s="95"/>
      <c r="Q146" s="95"/>
      <c r="R146" s="95"/>
      <c r="S146" s="95"/>
      <c r="T146" s="95"/>
      <c r="U146" s="196"/>
      <c r="V146" s="97"/>
      <c r="W146" s="97"/>
      <c r="X146" s="195" t="s">
        <v>575</v>
      </c>
      <c r="Y146" s="196"/>
      <c r="Z146" s="196"/>
      <c r="AA146" s="196"/>
      <c r="AB146" s="195"/>
      <c r="AC146" s="196"/>
      <c r="AD146" s="196"/>
    </row>
    <row r="147" spans="1:30">
      <c r="A147" s="95"/>
      <c r="B147" s="95"/>
      <c r="C147" s="95"/>
      <c r="D147" s="95"/>
      <c r="E147" s="95"/>
      <c r="F147" s="95"/>
      <c r="G147" s="95"/>
      <c r="H147" s="95"/>
      <c r="I147" s="95"/>
      <c r="J147" s="95"/>
      <c r="K147" s="95"/>
      <c r="L147" s="95"/>
      <c r="M147" s="95"/>
      <c r="N147" s="95"/>
      <c r="O147" s="95"/>
      <c r="P147" s="95"/>
      <c r="Q147" s="95"/>
      <c r="R147" s="95"/>
      <c r="S147" s="95"/>
      <c r="T147" s="95"/>
      <c r="U147" s="196"/>
      <c r="V147" s="97"/>
      <c r="W147" s="97"/>
      <c r="X147" s="195" t="s">
        <v>577</v>
      </c>
      <c r="Y147" s="196"/>
      <c r="Z147" s="196"/>
      <c r="AA147" s="196"/>
      <c r="AB147" s="195"/>
      <c r="AC147" s="196"/>
      <c r="AD147" s="196"/>
    </row>
    <row r="148" spans="1:30">
      <c r="A148" s="95"/>
      <c r="B148" s="95"/>
      <c r="C148" s="95"/>
      <c r="D148" s="95"/>
      <c r="E148" s="95"/>
      <c r="F148" s="95"/>
      <c r="G148" s="95"/>
      <c r="H148" s="95"/>
      <c r="I148" s="95"/>
      <c r="J148" s="95"/>
      <c r="K148" s="95"/>
      <c r="L148" s="95"/>
      <c r="M148" s="95"/>
      <c r="N148" s="95"/>
      <c r="O148" s="95"/>
      <c r="P148" s="95"/>
      <c r="Q148" s="95"/>
      <c r="R148" s="95"/>
      <c r="S148" s="95"/>
      <c r="T148" s="95"/>
      <c r="U148" s="196"/>
      <c r="V148" s="97"/>
      <c r="W148" s="97"/>
      <c r="X148" s="195" t="s">
        <v>578</v>
      </c>
      <c r="Y148" s="196"/>
      <c r="Z148" s="196"/>
      <c r="AA148" s="196"/>
      <c r="AB148" s="195"/>
      <c r="AC148" s="196"/>
      <c r="AD148" s="196"/>
    </row>
    <row r="149" spans="1:30">
      <c r="A149" s="95"/>
      <c r="B149" s="95"/>
      <c r="C149" s="95"/>
      <c r="D149" s="95"/>
      <c r="E149" s="95"/>
      <c r="F149" s="95"/>
      <c r="G149" s="95"/>
      <c r="H149" s="95"/>
      <c r="I149" s="95"/>
      <c r="J149" s="95"/>
      <c r="K149" s="95"/>
      <c r="L149" s="95"/>
      <c r="M149" s="95"/>
      <c r="N149" s="95"/>
      <c r="O149" s="95"/>
      <c r="P149" s="95"/>
      <c r="Q149" s="95"/>
      <c r="R149" s="95"/>
      <c r="S149" s="95"/>
      <c r="T149" s="95"/>
      <c r="U149" s="196"/>
      <c r="V149" s="97"/>
      <c r="W149" s="97"/>
      <c r="X149" s="195" t="s">
        <v>580</v>
      </c>
      <c r="Y149" s="196"/>
      <c r="Z149" s="196"/>
      <c r="AA149" s="196"/>
      <c r="AB149" s="195"/>
      <c r="AC149" s="196"/>
      <c r="AD149" s="196"/>
    </row>
    <row r="150" spans="1:30">
      <c r="A150" s="95"/>
      <c r="B150" s="95"/>
      <c r="C150" s="95"/>
      <c r="D150" s="95"/>
      <c r="E150" s="95"/>
      <c r="F150" s="95"/>
      <c r="G150" s="95"/>
      <c r="H150" s="95"/>
      <c r="I150" s="95"/>
      <c r="J150" s="95"/>
      <c r="K150" s="95"/>
      <c r="L150" s="95"/>
      <c r="M150" s="95"/>
      <c r="N150" s="95"/>
      <c r="O150" s="95"/>
      <c r="P150" s="95"/>
      <c r="Q150" s="95"/>
      <c r="R150" s="95"/>
      <c r="S150" s="95"/>
      <c r="T150" s="95"/>
      <c r="U150" s="196"/>
      <c r="V150" s="97"/>
      <c r="W150" s="97"/>
      <c r="X150" s="195" t="s">
        <v>582</v>
      </c>
      <c r="Y150" s="196"/>
      <c r="Z150" s="196"/>
      <c r="AA150" s="196"/>
      <c r="AB150" s="195"/>
      <c r="AC150" s="196"/>
      <c r="AD150" s="196"/>
    </row>
    <row r="151" spans="1:30">
      <c r="A151" s="95"/>
      <c r="B151" s="95"/>
      <c r="C151" s="95"/>
      <c r="D151" s="95"/>
      <c r="E151" s="95"/>
      <c r="F151" s="95"/>
      <c r="G151" s="95"/>
      <c r="H151" s="95"/>
      <c r="I151" s="95"/>
      <c r="J151" s="95"/>
      <c r="K151" s="95"/>
      <c r="L151" s="95"/>
      <c r="M151" s="95"/>
      <c r="N151" s="95"/>
      <c r="O151" s="95"/>
      <c r="P151" s="95"/>
      <c r="Q151" s="95"/>
      <c r="R151" s="95"/>
      <c r="S151" s="95"/>
      <c r="T151" s="95"/>
      <c r="U151" s="196"/>
      <c r="V151" s="97"/>
      <c r="W151" s="97"/>
      <c r="X151" s="195" t="s">
        <v>584</v>
      </c>
      <c r="Y151" s="196"/>
      <c r="Z151" s="196"/>
      <c r="AA151" s="196"/>
      <c r="AB151" s="195"/>
      <c r="AC151" s="196"/>
      <c r="AD151" s="196"/>
    </row>
    <row r="152" spans="1:30">
      <c r="A152" s="95"/>
      <c r="B152" s="95"/>
      <c r="C152" s="95"/>
      <c r="D152" s="95"/>
      <c r="E152" s="95"/>
      <c r="F152" s="95"/>
      <c r="G152" s="95"/>
      <c r="H152" s="95"/>
      <c r="I152" s="95"/>
      <c r="J152" s="95"/>
      <c r="K152" s="95"/>
      <c r="L152" s="95"/>
      <c r="M152" s="95"/>
      <c r="N152" s="95"/>
      <c r="O152" s="95"/>
      <c r="P152" s="95"/>
      <c r="Q152" s="95"/>
      <c r="R152" s="95"/>
      <c r="S152" s="95"/>
      <c r="T152" s="95"/>
      <c r="U152" s="196"/>
      <c r="V152" s="97"/>
      <c r="W152" s="97"/>
      <c r="X152" s="195" t="s">
        <v>585</v>
      </c>
      <c r="Y152" s="196"/>
      <c r="Z152" s="196"/>
      <c r="AA152" s="196"/>
      <c r="AB152" s="195"/>
      <c r="AC152" s="196"/>
      <c r="AD152" s="196"/>
    </row>
    <row r="153" spans="1:30">
      <c r="A153" s="95"/>
      <c r="B153" s="95"/>
      <c r="C153" s="95"/>
      <c r="D153" s="95"/>
      <c r="E153" s="95"/>
      <c r="F153" s="95"/>
      <c r="G153" s="95"/>
      <c r="H153" s="95"/>
      <c r="I153" s="95"/>
      <c r="J153" s="95"/>
      <c r="K153" s="95"/>
      <c r="L153" s="95"/>
      <c r="M153" s="95"/>
      <c r="N153" s="95"/>
      <c r="O153" s="95"/>
      <c r="P153" s="95"/>
      <c r="Q153" s="95"/>
      <c r="R153" s="95"/>
      <c r="S153" s="95"/>
      <c r="T153" s="95"/>
      <c r="U153" s="196"/>
      <c r="V153" s="97"/>
      <c r="W153" s="97"/>
      <c r="X153" s="195" t="s">
        <v>586</v>
      </c>
      <c r="Y153" s="196"/>
      <c r="Z153" s="196"/>
      <c r="AA153" s="196"/>
      <c r="AB153" s="195"/>
      <c r="AC153" s="196"/>
      <c r="AD153" s="196"/>
    </row>
    <row r="154" spans="1:30">
      <c r="A154" s="95"/>
      <c r="B154" s="95"/>
      <c r="C154" s="95"/>
      <c r="D154" s="95"/>
      <c r="E154" s="95"/>
      <c r="F154" s="95"/>
      <c r="G154" s="95"/>
      <c r="H154" s="95"/>
      <c r="I154" s="95"/>
      <c r="J154" s="95"/>
      <c r="K154" s="95"/>
      <c r="L154" s="95"/>
      <c r="M154" s="95"/>
      <c r="N154" s="95"/>
      <c r="O154" s="95"/>
      <c r="P154" s="95"/>
      <c r="Q154" s="95"/>
      <c r="R154" s="95"/>
      <c r="S154" s="95"/>
      <c r="T154" s="95"/>
      <c r="U154" s="196"/>
      <c r="V154" s="97"/>
      <c r="W154" s="97"/>
      <c r="X154" s="195" t="s">
        <v>587</v>
      </c>
      <c r="Y154" s="196"/>
      <c r="Z154" s="196"/>
      <c r="AA154" s="196"/>
      <c r="AB154" s="195"/>
      <c r="AC154" s="196"/>
      <c r="AD154" s="196"/>
    </row>
    <row r="155" spans="1:30">
      <c r="A155" s="95"/>
      <c r="B155" s="95"/>
      <c r="C155" s="95"/>
      <c r="D155" s="95"/>
      <c r="E155" s="95"/>
      <c r="F155" s="95"/>
      <c r="G155" s="95"/>
      <c r="H155" s="95"/>
      <c r="I155" s="95"/>
      <c r="J155" s="95"/>
      <c r="K155" s="95"/>
      <c r="L155" s="95"/>
      <c r="M155" s="95"/>
      <c r="N155" s="95"/>
      <c r="O155" s="95"/>
      <c r="P155" s="95"/>
      <c r="Q155" s="95"/>
      <c r="R155" s="95"/>
      <c r="S155" s="95"/>
      <c r="T155" s="95"/>
      <c r="U155" s="196"/>
      <c r="V155" s="97"/>
      <c r="W155" s="97"/>
      <c r="X155" s="195" t="s">
        <v>589</v>
      </c>
      <c r="Y155" s="196"/>
      <c r="Z155" s="196"/>
      <c r="AA155" s="196"/>
      <c r="AB155" s="195"/>
      <c r="AC155" s="196"/>
      <c r="AD155" s="196"/>
    </row>
    <row r="156" spans="1:30">
      <c r="A156" s="95"/>
      <c r="B156" s="95"/>
      <c r="C156" s="95"/>
      <c r="D156" s="95"/>
      <c r="E156" s="95"/>
      <c r="F156" s="95"/>
      <c r="G156" s="95"/>
      <c r="H156" s="95"/>
      <c r="I156" s="95"/>
      <c r="J156" s="95"/>
      <c r="K156" s="95"/>
      <c r="L156" s="95"/>
      <c r="M156" s="95"/>
      <c r="N156" s="95"/>
      <c r="O156" s="95"/>
      <c r="P156" s="95"/>
      <c r="Q156" s="95"/>
      <c r="R156" s="95"/>
      <c r="S156" s="95"/>
      <c r="T156" s="95"/>
      <c r="U156" s="196"/>
      <c r="V156" s="97"/>
      <c r="W156" s="97"/>
      <c r="X156" s="195" t="s">
        <v>590</v>
      </c>
      <c r="Y156" s="196"/>
      <c r="Z156" s="196"/>
      <c r="AA156" s="196"/>
      <c r="AB156" s="195"/>
      <c r="AC156" s="196"/>
      <c r="AD156" s="196"/>
    </row>
    <row r="157" spans="1:30">
      <c r="A157" s="95"/>
      <c r="B157" s="95"/>
      <c r="C157" s="95"/>
      <c r="D157" s="95"/>
      <c r="E157" s="95"/>
      <c r="F157" s="95"/>
      <c r="G157" s="95"/>
      <c r="H157" s="95"/>
      <c r="I157" s="95"/>
      <c r="J157" s="95"/>
      <c r="K157" s="95"/>
      <c r="L157" s="95"/>
      <c r="M157" s="95"/>
      <c r="N157" s="95"/>
      <c r="O157" s="95"/>
      <c r="P157" s="95"/>
      <c r="Q157" s="95"/>
      <c r="R157" s="95"/>
      <c r="S157" s="95"/>
      <c r="T157" s="95"/>
      <c r="U157" s="196"/>
      <c r="V157" s="97"/>
      <c r="W157" s="97"/>
      <c r="X157" s="195" t="s">
        <v>591</v>
      </c>
      <c r="Y157" s="196"/>
      <c r="Z157" s="196"/>
      <c r="AA157" s="196"/>
      <c r="AB157" s="195"/>
      <c r="AC157" s="196"/>
      <c r="AD157" s="196"/>
    </row>
    <row r="158" spans="1:30">
      <c r="A158" s="95"/>
      <c r="B158" s="95"/>
      <c r="C158" s="95"/>
      <c r="D158" s="95"/>
      <c r="E158" s="95"/>
      <c r="F158" s="95"/>
      <c r="G158" s="95"/>
      <c r="H158" s="95"/>
      <c r="I158" s="95"/>
      <c r="J158" s="95"/>
      <c r="K158" s="95"/>
      <c r="L158" s="95"/>
      <c r="M158" s="95"/>
      <c r="N158" s="95"/>
      <c r="O158" s="95"/>
      <c r="P158" s="95"/>
      <c r="Q158" s="95"/>
      <c r="R158" s="95"/>
      <c r="S158" s="95"/>
      <c r="T158" s="95"/>
      <c r="U158" s="196"/>
      <c r="V158" s="97"/>
      <c r="W158" s="97"/>
      <c r="X158" s="195" t="s">
        <v>592</v>
      </c>
      <c r="Y158" s="196"/>
      <c r="Z158" s="196"/>
      <c r="AA158" s="196"/>
      <c r="AB158" s="195"/>
      <c r="AC158" s="196"/>
      <c r="AD158" s="196"/>
    </row>
    <row r="159" spans="1:30">
      <c r="A159" s="95"/>
      <c r="B159" s="95"/>
      <c r="C159" s="95"/>
      <c r="D159" s="95"/>
      <c r="E159" s="95"/>
      <c r="F159" s="95"/>
      <c r="G159" s="95"/>
      <c r="H159" s="95"/>
      <c r="I159" s="95"/>
      <c r="J159" s="95"/>
      <c r="K159" s="95"/>
      <c r="L159" s="95"/>
      <c r="M159" s="95"/>
      <c r="N159" s="95"/>
      <c r="O159" s="95"/>
      <c r="P159" s="95"/>
      <c r="Q159" s="95"/>
      <c r="R159" s="95"/>
      <c r="S159" s="95"/>
      <c r="T159" s="95"/>
      <c r="U159" s="196"/>
      <c r="V159" s="97"/>
      <c r="W159" s="97"/>
      <c r="X159" s="195" t="s">
        <v>594</v>
      </c>
      <c r="Y159" s="196"/>
      <c r="Z159" s="196"/>
      <c r="AA159" s="196"/>
      <c r="AB159" s="195"/>
      <c r="AC159" s="196"/>
      <c r="AD159" s="196"/>
    </row>
    <row r="160" spans="1:30">
      <c r="A160" s="95"/>
      <c r="B160" s="95"/>
      <c r="C160" s="95"/>
      <c r="D160" s="95"/>
      <c r="E160" s="95"/>
      <c r="F160" s="95"/>
      <c r="G160" s="95"/>
      <c r="H160" s="95"/>
      <c r="I160" s="95"/>
      <c r="J160" s="95"/>
      <c r="K160" s="95"/>
      <c r="L160" s="95"/>
      <c r="M160" s="95"/>
      <c r="N160" s="95"/>
      <c r="O160" s="95"/>
      <c r="P160" s="95"/>
      <c r="Q160" s="95"/>
      <c r="R160" s="95"/>
      <c r="S160" s="95"/>
      <c r="T160" s="95"/>
      <c r="U160" s="196"/>
      <c r="V160" s="97"/>
      <c r="W160" s="97"/>
      <c r="X160" s="195" t="s">
        <v>595</v>
      </c>
      <c r="Y160" s="196"/>
      <c r="Z160" s="196"/>
      <c r="AA160" s="196"/>
      <c r="AB160" s="195"/>
      <c r="AC160" s="196"/>
      <c r="AD160" s="196"/>
    </row>
    <row r="161" spans="1:30">
      <c r="A161" s="95"/>
      <c r="B161" s="95"/>
      <c r="C161" s="95"/>
      <c r="D161" s="95"/>
      <c r="E161" s="95"/>
      <c r="F161" s="95"/>
      <c r="G161" s="95"/>
      <c r="H161" s="95"/>
      <c r="I161" s="95"/>
      <c r="J161" s="95"/>
      <c r="K161" s="95"/>
      <c r="L161" s="95"/>
      <c r="M161" s="95"/>
      <c r="N161" s="95"/>
      <c r="O161" s="95"/>
      <c r="P161" s="95"/>
      <c r="Q161" s="95"/>
      <c r="R161" s="95"/>
      <c r="S161" s="95"/>
      <c r="T161" s="95"/>
      <c r="U161" s="196"/>
      <c r="V161" s="97"/>
      <c r="W161" s="97"/>
      <c r="X161" s="195" t="s">
        <v>596</v>
      </c>
      <c r="Y161" s="196"/>
      <c r="Z161" s="196"/>
      <c r="AA161" s="196"/>
      <c r="AB161" s="195"/>
      <c r="AC161" s="196"/>
      <c r="AD161" s="196"/>
    </row>
    <row r="162" spans="1:30">
      <c r="A162" s="95"/>
      <c r="B162" s="95"/>
      <c r="C162" s="95"/>
      <c r="D162" s="95"/>
      <c r="E162" s="95"/>
      <c r="F162" s="95"/>
      <c r="G162" s="95"/>
      <c r="H162" s="95"/>
      <c r="I162" s="95"/>
      <c r="J162" s="95"/>
      <c r="K162" s="95"/>
      <c r="L162" s="95"/>
      <c r="M162" s="95"/>
      <c r="N162" s="95"/>
      <c r="O162" s="95"/>
      <c r="P162" s="95"/>
      <c r="Q162" s="95"/>
      <c r="R162" s="95"/>
      <c r="S162" s="95"/>
      <c r="T162" s="95"/>
      <c r="U162" s="196"/>
      <c r="V162" s="97"/>
      <c r="W162" s="97"/>
      <c r="X162" s="195" t="s">
        <v>597</v>
      </c>
      <c r="Y162" s="196"/>
      <c r="Z162" s="196"/>
      <c r="AA162" s="196"/>
      <c r="AB162" s="195"/>
      <c r="AC162" s="196"/>
      <c r="AD162" s="196"/>
    </row>
    <row r="163" spans="1:30">
      <c r="A163" s="95"/>
      <c r="B163" s="95"/>
      <c r="C163" s="95"/>
      <c r="D163" s="95"/>
      <c r="E163" s="95"/>
      <c r="F163" s="95"/>
      <c r="G163" s="95"/>
      <c r="H163" s="95"/>
      <c r="I163" s="95"/>
      <c r="J163" s="95"/>
      <c r="K163" s="95"/>
      <c r="L163" s="95"/>
      <c r="M163" s="95"/>
      <c r="N163" s="95"/>
      <c r="O163" s="95"/>
      <c r="P163" s="95"/>
      <c r="Q163" s="95"/>
      <c r="R163" s="95"/>
      <c r="S163" s="95"/>
      <c r="T163" s="95"/>
      <c r="U163" s="196"/>
      <c r="V163" s="97"/>
      <c r="W163" s="97"/>
      <c r="X163" s="195" t="s">
        <v>443</v>
      </c>
      <c r="Y163" s="196"/>
      <c r="Z163" s="196"/>
      <c r="AA163" s="196"/>
      <c r="AB163" s="195"/>
      <c r="AC163" s="196"/>
      <c r="AD163" s="196"/>
    </row>
    <row r="164" spans="1:30">
      <c r="A164" s="95"/>
      <c r="B164" s="95"/>
      <c r="C164" s="95"/>
      <c r="D164" s="95"/>
      <c r="E164" s="95"/>
      <c r="F164" s="95"/>
      <c r="G164" s="95"/>
      <c r="H164" s="95"/>
      <c r="I164" s="95"/>
      <c r="J164" s="95"/>
      <c r="K164" s="95"/>
      <c r="L164" s="95"/>
      <c r="M164" s="95"/>
      <c r="N164" s="95"/>
      <c r="O164" s="95"/>
      <c r="P164" s="95"/>
      <c r="Q164" s="95"/>
      <c r="R164" s="95"/>
      <c r="S164" s="95"/>
      <c r="T164" s="95"/>
      <c r="U164" s="196"/>
      <c r="V164" s="97"/>
      <c r="W164" s="97"/>
      <c r="X164" s="195" t="s">
        <v>599</v>
      </c>
      <c r="Y164" s="196"/>
      <c r="Z164" s="196"/>
      <c r="AA164" s="196"/>
      <c r="AB164" s="195"/>
      <c r="AC164" s="196"/>
      <c r="AD164" s="196"/>
    </row>
    <row r="165" spans="1:30">
      <c r="A165" s="95"/>
      <c r="B165" s="95"/>
      <c r="C165" s="95"/>
      <c r="D165" s="95"/>
      <c r="E165" s="95"/>
      <c r="F165" s="95"/>
      <c r="G165" s="95"/>
      <c r="H165" s="95"/>
      <c r="I165" s="95"/>
      <c r="J165" s="95"/>
      <c r="K165" s="95"/>
      <c r="L165" s="95"/>
      <c r="M165" s="95"/>
      <c r="N165" s="95"/>
      <c r="O165" s="95"/>
      <c r="P165" s="95"/>
      <c r="Q165" s="95"/>
      <c r="R165" s="95"/>
      <c r="S165" s="95"/>
      <c r="T165" s="95"/>
      <c r="U165" s="196"/>
      <c r="V165" s="97"/>
      <c r="W165" s="97"/>
      <c r="X165" s="195" t="s">
        <v>600</v>
      </c>
      <c r="Y165" s="196"/>
      <c r="Z165" s="196"/>
      <c r="AA165" s="196"/>
      <c r="AB165" s="195"/>
      <c r="AC165" s="196"/>
      <c r="AD165" s="196"/>
    </row>
    <row r="166" spans="1:30">
      <c r="A166" s="95"/>
      <c r="B166" s="95"/>
      <c r="C166" s="95"/>
      <c r="D166" s="95"/>
      <c r="E166" s="95"/>
      <c r="F166" s="95"/>
      <c r="G166" s="95"/>
      <c r="H166" s="95"/>
      <c r="I166" s="95"/>
      <c r="J166" s="95"/>
      <c r="K166" s="95"/>
      <c r="L166" s="95"/>
      <c r="M166" s="95"/>
      <c r="N166" s="95"/>
      <c r="O166" s="95"/>
      <c r="P166" s="95"/>
      <c r="Q166" s="95"/>
      <c r="R166" s="95"/>
      <c r="S166" s="95"/>
      <c r="T166" s="95"/>
      <c r="U166" s="196"/>
      <c r="V166" s="97"/>
      <c r="W166" s="97"/>
      <c r="X166" s="195" t="s">
        <v>601</v>
      </c>
      <c r="Y166" s="196"/>
      <c r="Z166" s="196"/>
      <c r="AA166" s="196"/>
      <c r="AB166" s="195"/>
      <c r="AC166" s="196"/>
      <c r="AD166" s="196"/>
    </row>
    <row r="167" spans="1:30">
      <c r="A167" s="95"/>
      <c r="B167" s="95"/>
      <c r="C167" s="95"/>
      <c r="D167" s="95"/>
      <c r="E167" s="95"/>
      <c r="F167" s="95"/>
      <c r="G167" s="95"/>
      <c r="H167" s="95"/>
      <c r="I167" s="95"/>
      <c r="J167" s="95"/>
      <c r="K167" s="95"/>
      <c r="L167" s="95"/>
      <c r="M167" s="95"/>
      <c r="N167" s="95"/>
      <c r="O167" s="95"/>
      <c r="P167" s="95"/>
      <c r="Q167" s="95"/>
      <c r="R167" s="95"/>
      <c r="S167" s="95"/>
      <c r="T167" s="95"/>
      <c r="U167" s="196"/>
      <c r="V167" s="97"/>
      <c r="W167" s="97"/>
      <c r="X167" s="195" t="s">
        <v>603</v>
      </c>
      <c r="Y167" s="196"/>
      <c r="Z167" s="196"/>
      <c r="AA167" s="196"/>
      <c r="AB167" s="195"/>
      <c r="AC167" s="196"/>
      <c r="AD167" s="196"/>
    </row>
    <row r="168" spans="1:30">
      <c r="A168" s="95"/>
      <c r="B168" s="95"/>
      <c r="C168" s="95"/>
      <c r="D168" s="95"/>
      <c r="E168" s="95"/>
      <c r="F168" s="95"/>
      <c r="G168" s="95"/>
      <c r="H168" s="95"/>
      <c r="I168" s="95"/>
      <c r="J168" s="95"/>
      <c r="K168" s="95"/>
      <c r="L168" s="95"/>
      <c r="M168" s="95"/>
      <c r="N168" s="95"/>
      <c r="O168" s="95"/>
      <c r="P168" s="95"/>
      <c r="Q168" s="95"/>
      <c r="R168" s="95"/>
      <c r="S168" s="95"/>
      <c r="T168" s="95"/>
      <c r="U168" s="196"/>
      <c r="V168" s="97"/>
      <c r="W168" s="97"/>
      <c r="X168" s="195" t="s">
        <v>604</v>
      </c>
      <c r="Y168" s="196"/>
      <c r="Z168" s="196"/>
      <c r="AA168" s="196"/>
      <c r="AB168" s="195"/>
      <c r="AC168" s="196"/>
      <c r="AD168" s="196"/>
    </row>
    <row r="169" spans="1:30">
      <c r="A169" s="95"/>
      <c r="B169" s="95"/>
      <c r="C169" s="95"/>
      <c r="D169" s="95"/>
      <c r="E169" s="95"/>
      <c r="F169" s="95"/>
      <c r="G169" s="95"/>
      <c r="H169" s="95"/>
      <c r="I169" s="95"/>
      <c r="J169" s="95"/>
      <c r="K169" s="95"/>
      <c r="L169" s="95"/>
      <c r="M169" s="95"/>
      <c r="N169" s="95"/>
      <c r="O169" s="95"/>
      <c r="P169" s="95"/>
      <c r="Q169" s="95"/>
      <c r="R169" s="95"/>
      <c r="S169" s="95"/>
      <c r="T169" s="95"/>
      <c r="U169" s="196"/>
      <c r="V169" s="97"/>
      <c r="W169" s="97"/>
      <c r="X169" s="195" t="s">
        <v>605</v>
      </c>
      <c r="Y169" s="196"/>
      <c r="Z169" s="196"/>
      <c r="AA169" s="196"/>
      <c r="AB169" s="195"/>
      <c r="AC169" s="196"/>
      <c r="AD169" s="196"/>
    </row>
    <row r="170" spans="1:30">
      <c r="A170" s="95"/>
      <c r="B170" s="95"/>
      <c r="C170" s="95"/>
      <c r="D170" s="95"/>
      <c r="E170" s="95"/>
      <c r="F170" s="95"/>
      <c r="G170" s="95"/>
      <c r="H170" s="95"/>
      <c r="I170" s="95"/>
      <c r="J170" s="95"/>
      <c r="K170" s="95"/>
      <c r="L170" s="95"/>
      <c r="M170" s="95"/>
      <c r="N170" s="95"/>
      <c r="O170" s="95"/>
      <c r="P170" s="95"/>
      <c r="Q170" s="95"/>
      <c r="R170" s="95"/>
      <c r="S170" s="95"/>
      <c r="T170" s="95"/>
      <c r="U170" s="196"/>
      <c r="V170" s="97"/>
      <c r="W170" s="97"/>
      <c r="X170" s="195" t="s">
        <v>606</v>
      </c>
      <c r="Y170" s="196"/>
      <c r="Z170" s="196"/>
      <c r="AA170" s="196"/>
      <c r="AB170" s="195"/>
      <c r="AC170" s="196"/>
      <c r="AD170" s="196"/>
    </row>
    <row r="171" spans="1:30">
      <c r="A171" s="95"/>
      <c r="B171" s="95"/>
      <c r="C171" s="95"/>
      <c r="D171" s="95"/>
      <c r="E171" s="95"/>
      <c r="F171" s="95"/>
      <c r="G171" s="95"/>
      <c r="H171" s="95"/>
      <c r="I171" s="95"/>
      <c r="J171" s="95"/>
      <c r="K171" s="95"/>
      <c r="L171" s="95"/>
      <c r="M171" s="95"/>
      <c r="N171" s="95"/>
      <c r="O171" s="95"/>
      <c r="P171" s="95"/>
      <c r="Q171" s="95"/>
      <c r="R171" s="95"/>
      <c r="S171" s="95"/>
      <c r="T171" s="95"/>
      <c r="U171" s="196"/>
      <c r="V171" s="97"/>
      <c r="W171" s="97"/>
      <c r="X171" s="195" t="s">
        <v>608</v>
      </c>
      <c r="Y171" s="196"/>
      <c r="Z171" s="196"/>
      <c r="AA171" s="196"/>
      <c r="AB171" s="195"/>
      <c r="AC171" s="196"/>
      <c r="AD171" s="196"/>
    </row>
    <row r="172" spans="1:30">
      <c r="A172" s="95"/>
      <c r="B172" s="95"/>
      <c r="C172" s="95"/>
      <c r="D172" s="95"/>
      <c r="E172" s="95"/>
      <c r="F172" s="95"/>
      <c r="G172" s="95"/>
      <c r="H172" s="95"/>
      <c r="I172" s="95"/>
      <c r="J172" s="95"/>
      <c r="K172" s="95"/>
      <c r="L172" s="95"/>
      <c r="M172" s="95"/>
      <c r="N172" s="95"/>
      <c r="O172" s="95"/>
      <c r="P172" s="95"/>
      <c r="Q172" s="95"/>
      <c r="R172" s="95"/>
      <c r="S172" s="95"/>
      <c r="T172" s="95"/>
      <c r="U172" s="196"/>
      <c r="V172" s="97"/>
      <c r="W172" s="97"/>
      <c r="X172" s="195" t="s">
        <v>610</v>
      </c>
      <c r="Y172" s="196"/>
      <c r="Z172" s="196"/>
      <c r="AA172" s="196"/>
      <c r="AB172" s="195"/>
      <c r="AC172" s="196"/>
      <c r="AD172" s="196"/>
    </row>
    <row r="173" spans="1:30">
      <c r="A173" s="95"/>
      <c r="B173" s="95"/>
      <c r="C173" s="95"/>
      <c r="D173" s="95"/>
      <c r="E173" s="95"/>
      <c r="F173" s="95"/>
      <c r="G173" s="95"/>
      <c r="H173" s="95"/>
      <c r="I173" s="95"/>
      <c r="J173" s="95"/>
      <c r="K173" s="95"/>
      <c r="L173" s="95"/>
      <c r="M173" s="95"/>
      <c r="N173" s="95"/>
      <c r="O173" s="95"/>
      <c r="P173" s="95"/>
      <c r="Q173" s="95"/>
      <c r="R173" s="95"/>
      <c r="S173" s="95"/>
      <c r="T173" s="95"/>
      <c r="U173" s="196"/>
      <c r="V173" s="97"/>
      <c r="W173" s="97"/>
      <c r="X173" s="195" t="s">
        <v>611</v>
      </c>
      <c r="Y173" s="196"/>
      <c r="Z173" s="196"/>
      <c r="AA173" s="196"/>
      <c r="AB173" s="195"/>
      <c r="AC173" s="196"/>
      <c r="AD173" s="196"/>
    </row>
    <row r="174" spans="1:30">
      <c r="A174" s="95"/>
      <c r="B174" s="95"/>
      <c r="C174" s="95"/>
      <c r="D174" s="95"/>
      <c r="E174" s="95"/>
      <c r="F174" s="95"/>
      <c r="G174" s="95"/>
      <c r="H174" s="95"/>
      <c r="I174" s="95"/>
      <c r="J174" s="95"/>
      <c r="K174" s="95"/>
      <c r="L174" s="95"/>
      <c r="M174" s="95"/>
      <c r="N174" s="95"/>
      <c r="O174" s="95"/>
      <c r="P174" s="95"/>
      <c r="Q174" s="95"/>
      <c r="R174" s="95"/>
      <c r="S174" s="95"/>
      <c r="T174" s="95"/>
      <c r="U174" s="196"/>
      <c r="V174" s="97"/>
      <c r="W174" s="97"/>
      <c r="X174" s="195" t="s">
        <v>612</v>
      </c>
      <c r="Y174" s="196"/>
      <c r="Z174" s="196"/>
      <c r="AA174" s="196"/>
      <c r="AB174" s="195"/>
      <c r="AC174" s="196"/>
      <c r="AD174" s="196"/>
    </row>
    <row r="175" spans="1:30">
      <c r="A175" s="95"/>
      <c r="B175" s="95"/>
      <c r="C175" s="95"/>
      <c r="D175" s="95"/>
      <c r="E175" s="95"/>
      <c r="F175" s="95"/>
      <c r="G175" s="95"/>
      <c r="H175" s="95"/>
      <c r="I175" s="95"/>
      <c r="J175" s="95"/>
      <c r="K175" s="95"/>
      <c r="L175" s="95"/>
      <c r="M175" s="95"/>
      <c r="N175" s="95"/>
      <c r="O175" s="95"/>
      <c r="P175" s="95"/>
      <c r="Q175" s="95"/>
      <c r="R175" s="95"/>
      <c r="S175" s="95"/>
      <c r="T175" s="95"/>
      <c r="U175" s="196"/>
      <c r="V175" s="97"/>
      <c r="W175" s="97"/>
      <c r="X175" s="195" t="s">
        <v>614</v>
      </c>
      <c r="Y175" s="196"/>
      <c r="Z175" s="196"/>
      <c r="AA175" s="196"/>
      <c r="AB175" s="195"/>
      <c r="AC175" s="196"/>
      <c r="AD175" s="196"/>
    </row>
    <row r="176" spans="1:30">
      <c r="A176" s="95"/>
      <c r="B176" s="95"/>
      <c r="C176" s="95"/>
      <c r="D176" s="95"/>
      <c r="E176" s="95"/>
      <c r="F176" s="95"/>
      <c r="G176" s="95"/>
      <c r="H176" s="95"/>
      <c r="I176" s="95"/>
      <c r="J176" s="95"/>
      <c r="K176" s="95"/>
      <c r="L176" s="95"/>
      <c r="M176" s="95"/>
      <c r="N176" s="95"/>
      <c r="O176" s="95"/>
      <c r="P176" s="95"/>
      <c r="Q176" s="95"/>
      <c r="R176" s="95"/>
      <c r="S176" s="95"/>
      <c r="T176" s="95"/>
      <c r="U176" s="196"/>
      <c r="V176" s="97"/>
      <c r="W176" s="97"/>
      <c r="X176" s="195" t="s">
        <v>615</v>
      </c>
      <c r="Y176" s="196"/>
      <c r="Z176" s="196"/>
      <c r="AA176" s="196"/>
      <c r="AB176" s="195"/>
      <c r="AC176" s="196"/>
      <c r="AD176" s="196"/>
    </row>
    <row r="177" spans="1:30">
      <c r="A177" s="95"/>
      <c r="B177" s="95"/>
      <c r="C177" s="95"/>
      <c r="D177" s="95"/>
      <c r="E177" s="95"/>
      <c r="F177" s="95"/>
      <c r="G177" s="95"/>
      <c r="H177" s="95"/>
      <c r="I177" s="95"/>
      <c r="J177" s="95"/>
      <c r="K177" s="95"/>
      <c r="L177" s="95"/>
      <c r="M177" s="95"/>
      <c r="N177" s="95"/>
      <c r="O177" s="95"/>
      <c r="P177" s="95"/>
      <c r="Q177" s="95"/>
      <c r="R177" s="95"/>
      <c r="S177" s="95"/>
      <c r="T177" s="95"/>
      <c r="U177" s="196"/>
      <c r="V177" s="97"/>
      <c r="W177" s="97"/>
      <c r="X177" s="195" t="s">
        <v>616</v>
      </c>
      <c r="Y177" s="196"/>
      <c r="Z177" s="196"/>
      <c r="AA177" s="196"/>
      <c r="AB177" s="195"/>
      <c r="AC177" s="196"/>
      <c r="AD177" s="196"/>
    </row>
    <row r="178" spans="1:30">
      <c r="A178" s="95"/>
      <c r="B178" s="95"/>
      <c r="C178" s="95"/>
      <c r="D178" s="95"/>
      <c r="E178" s="95"/>
      <c r="F178" s="95"/>
      <c r="G178" s="95"/>
      <c r="H178" s="95"/>
      <c r="I178" s="95"/>
      <c r="J178" s="95"/>
      <c r="K178" s="95"/>
      <c r="L178" s="95"/>
      <c r="M178" s="95"/>
      <c r="N178" s="95"/>
      <c r="O178" s="95"/>
      <c r="P178" s="95"/>
      <c r="Q178" s="95"/>
      <c r="R178" s="95"/>
      <c r="S178" s="95"/>
      <c r="T178" s="95"/>
      <c r="U178" s="196"/>
      <c r="V178" s="97"/>
      <c r="W178" s="97"/>
      <c r="X178" s="195" t="s">
        <v>617</v>
      </c>
      <c r="Y178" s="196"/>
      <c r="Z178" s="196"/>
      <c r="AA178" s="196"/>
      <c r="AB178" s="195"/>
      <c r="AC178" s="196"/>
      <c r="AD178" s="196"/>
    </row>
    <row r="179" spans="1:30">
      <c r="A179" s="95"/>
      <c r="B179" s="95"/>
      <c r="C179" s="95"/>
      <c r="D179" s="95"/>
      <c r="E179" s="95"/>
      <c r="F179" s="95"/>
      <c r="G179" s="95"/>
      <c r="H179" s="95"/>
      <c r="I179" s="95"/>
      <c r="J179" s="95"/>
      <c r="K179" s="95"/>
      <c r="L179" s="95"/>
      <c r="M179" s="95"/>
      <c r="N179" s="95"/>
      <c r="O179" s="95"/>
      <c r="P179" s="95"/>
      <c r="Q179" s="95"/>
      <c r="R179" s="95"/>
      <c r="S179" s="95"/>
      <c r="T179" s="95"/>
      <c r="U179" s="196"/>
      <c r="V179" s="97"/>
      <c r="W179" s="97"/>
      <c r="X179" s="195" t="s">
        <v>619</v>
      </c>
      <c r="Y179" s="196"/>
      <c r="Z179" s="196"/>
      <c r="AA179" s="196"/>
      <c r="AB179" s="195"/>
      <c r="AC179" s="196"/>
      <c r="AD179" s="196"/>
    </row>
    <row r="180" spans="1:30">
      <c r="A180" s="95"/>
      <c r="B180" s="95"/>
      <c r="C180" s="95"/>
      <c r="D180" s="95"/>
      <c r="E180" s="95"/>
      <c r="F180" s="95"/>
      <c r="G180" s="95"/>
      <c r="H180" s="95"/>
      <c r="I180" s="95"/>
      <c r="J180" s="95"/>
      <c r="K180" s="95"/>
      <c r="L180" s="95"/>
      <c r="M180" s="95"/>
      <c r="N180" s="95"/>
      <c r="O180" s="95"/>
      <c r="P180" s="95"/>
      <c r="Q180" s="95"/>
      <c r="R180" s="95"/>
      <c r="S180" s="95"/>
      <c r="T180" s="95"/>
      <c r="U180" s="196"/>
      <c r="V180" s="97"/>
      <c r="W180" s="97"/>
      <c r="X180" s="195" t="s">
        <v>620</v>
      </c>
      <c r="Y180" s="196"/>
      <c r="Z180" s="196"/>
      <c r="AA180" s="196"/>
      <c r="AB180" s="195"/>
      <c r="AC180" s="196"/>
      <c r="AD180" s="196"/>
    </row>
    <row r="181" spans="1:30">
      <c r="A181" s="95"/>
      <c r="B181" s="95"/>
      <c r="C181" s="95"/>
      <c r="D181" s="95"/>
      <c r="E181" s="95"/>
      <c r="F181" s="95"/>
      <c r="G181" s="95"/>
      <c r="H181" s="95"/>
      <c r="I181" s="95"/>
      <c r="J181" s="95"/>
      <c r="K181" s="95"/>
      <c r="L181" s="95"/>
      <c r="M181" s="95"/>
      <c r="N181" s="95"/>
      <c r="O181" s="95"/>
      <c r="P181" s="95"/>
      <c r="Q181" s="95"/>
      <c r="R181" s="95"/>
      <c r="S181" s="95"/>
      <c r="T181" s="95"/>
      <c r="U181" s="196"/>
      <c r="V181" s="97"/>
      <c r="W181" s="97"/>
      <c r="X181" s="195" t="s">
        <v>621</v>
      </c>
      <c r="Y181" s="196"/>
      <c r="Z181" s="196"/>
      <c r="AA181" s="196"/>
      <c r="AB181" s="195"/>
      <c r="AC181" s="196"/>
      <c r="AD181" s="196"/>
    </row>
    <row r="182" spans="1:30">
      <c r="A182" s="95"/>
      <c r="B182" s="95"/>
      <c r="C182" s="95"/>
      <c r="D182" s="95"/>
      <c r="E182" s="95"/>
      <c r="F182" s="95"/>
      <c r="G182" s="95"/>
      <c r="H182" s="95"/>
      <c r="I182" s="95"/>
      <c r="J182" s="95"/>
      <c r="K182" s="95"/>
      <c r="L182" s="95"/>
      <c r="M182" s="95"/>
      <c r="N182" s="95"/>
      <c r="O182" s="95"/>
      <c r="P182" s="95"/>
      <c r="Q182" s="95"/>
      <c r="R182" s="95"/>
      <c r="S182" s="95"/>
      <c r="T182" s="95"/>
      <c r="U182" s="196"/>
      <c r="V182" s="97"/>
      <c r="W182" s="97"/>
      <c r="X182" s="195" t="s">
        <v>622</v>
      </c>
      <c r="Y182" s="196"/>
      <c r="Z182" s="196"/>
      <c r="AA182" s="196"/>
      <c r="AB182" s="195"/>
      <c r="AC182" s="196"/>
      <c r="AD182" s="196"/>
    </row>
    <row r="183" spans="1:30">
      <c r="A183" s="95"/>
      <c r="B183" s="95"/>
      <c r="C183" s="95"/>
      <c r="D183" s="95"/>
      <c r="E183" s="95"/>
      <c r="F183" s="95"/>
      <c r="G183" s="95"/>
      <c r="H183" s="95"/>
      <c r="I183" s="95"/>
      <c r="J183" s="95"/>
      <c r="K183" s="95"/>
      <c r="L183" s="95"/>
      <c r="M183" s="95"/>
      <c r="N183" s="95"/>
      <c r="O183" s="95"/>
      <c r="P183" s="95"/>
      <c r="Q183" s="95"/>
      <c r="R183" s="95"/>
      <c r="S183" s="95"/>
      <c r="T183" s="95"/>
      <c r="U183" s="196"/>
      <c r="V183" s="97"/>
      <c r="W183" s="97"/>
      <c r="X183" s="195" t="s">
        <v>623</v>
      </c>
      <c r="Y183" s="196"/>
      <c r="Z183" s="196"/>
      <c r="AA183" s="196"/>
      <c r="AB183" s="195"/>
      <c r="AC183" s="196"/>
      <c r="AD183" s="196"/>
    </row>
    <row r="184" spans="1:30">
      <c r="A184" s="95"/>
      <c r="B184" s="95"/>
      <c r="C184" s="95"/>
      <c r="D184" s="95"/>
      <c r="E184" s="95"/>
      <c r="F184" s="95"/>
      <c r="G184" s="95"/>
      <c r="H184" s="95"/>
      <c r="I184" s="95"/>
      <c r="J184" s="95"/>
      <c r="K184" s="95"/>
      <c r="L184" s="95"/>
      <c r="M184" s="95"/>
      <c r="N184" s="95"/>
      <c r="O184" s="95"/>
      <c r="P184" s="95"/>
      <c r="Q184" s="95"/>
      <c r="R184" s="95"/>
      <c r="S184" s="95"/>
      <c r="T184" s="95"/>
      <c r="U184" s="196"/>
      <c r="V184" s="97"/>
      <c r="W184" s="97"/>
      <c r="X184" s="195" t="s">
        <v>624</v>
      </c>
      <c r="Y184" s="196"/>
      <c r="Z184" s="196"/>
      <c r="AA184" s="196"/>
      <c r="AB184" s="195"/>
      <c r="AC184" s="196"/>
      <c r="AD184" s="196"/>
    </row>
    <row r="185" spans="1:30">
      <c r="A185" s="95"/>
      <c r="B185" s="95"/>
      <c r="C185" s="95"/>
      <c r="D185" s="95"/>
      <c r="E185" s="95"/>
      <c r="F185" s="95"/>
      <c r="G185" s="95"/>
      <c r="H185" s="95"/>
      <c r="I185" s="95"/>
      <c r="J185" s="95"/>
      <c r="K185" s="95"/>
      <c r="L185" s="95"/>
      <c r="M185" s="95"/>
      <c r="N185" s="95"/>
      <c r="O185" s="95"/>
      <c r="P185" s="95"/>
      <c r="Q185" s="95"/>
      <c r="R185" s="95"/>
      <c r="S185" s="95"/>
      <c r="T185" s="95"/>
      <c r="U185" s="196"/>
      <c r="V185" s="97"/>
      <c r="W185" s="97"/>
      <c r="X185" s="195" t="s">
        <v>625</v>
      </c>
      <c r="Y185" s="196"/>
      <c r="Z185" s="196"/>
      <c r="AA185" s="196"/>
      <c r="AB185" s="195"/>
      <c r="AC185" s="196"/>
      <c r="AD185" s="196"/>
    </row>
    <row r="186" spans="1:30">
      <c r="A186" s="95"/>
      <c r="B186" s="95"/>
      <c r="C186" s="95"/>
      <c r="D186" s="95"/>
      <c r="E186" s="95"/>
      <c r="F186" s="95"/>
      <c r="G186" s="95"/>
      <c r="H186" s="95"/>
      <c r="I186" s="95"/>
      <c r="J186" s="95"/>
      <c r="K186" s="95"/>
      <c r="L186" s="95"/>
      <c r="M186" s="95"/>
      <c r="N186" s="95"/>
      <c r="O186" s="95"/>
      <c r="P186" s="95"/>
      <c r="Q186" s="95"/>
      <c r="R186" s="95"/>
      <c r="S186" s="95"/>
      <c r="T186" s="95"/>
      <c r="U186" s="196"/>
      <c r="V186" s="97"/>
      <c r="W186" s="97"/>
      <c r="X186" s="195" t="s">
        <v>626</v>
      </c>
      <c r="Y186" s="196"/>
      <c r="Z186" s="196"/>
      <c r="AA186" s="196"/>
      <c r="AB186" s="195"/>
      <c r="AC186" s="196"/>
      <c r="AD186" s="196"/>
    </row>
    <row r="187" spans="1:30">
      <c r="A187" s="95"/>
      <c r="B187" s="95"/>
      <c r="C187" s="95"/>
      <c r="D187" s="95"/>
      <c r="E187" s="95"/>
      <c r="F187" s="95"/>
      <c r="G187" s="95"/>
      <c r="H187" s="95"/>
      <c r="I187" s="95"/>
      <c r="J187" s="95"/>
      <c r="K187" s="95"/>
      <c r="L187" s="95"/>
      <c r="M187" s="95"/>
      <c r="N187" s="95"/>
      <c r="O187" s="95"/>
      <c r="P187" s="95"/>
      <c r="Q187" s="95"/>
      <c r="R187" s="95"/>
      <c r="S187" s="95"/>
      <c r="T187" s="95"/>
      <c r="U187" s="196"/>
      <c r="V187" s="97"/>
      <c r="W187" s="97"/>
      <c r="X187" s="195" t="s">
        <v>628</v>
      </c>
      <c r="Y187" s="196"/>
      <c r="Z187" s="196"/>
      <c r="AA187" s="196"/>
      <c r="AB187" s="195"/>
      <c r="AC187" s="196"/>
      <c r="AD187" s="196"/>
    </row>
    <row r="188" spans="1:30">
      <c r="A188" s="95"/>
      <c r="B188" s="95"/>
      <c r="C188" s="95"/>
      <c r="D188" s="95"/>
      <c r="E188" s="95"/>
      <c r="F188" s="95"/>
      <c r="G188" s="95"/>
      <c r="H188" s="95"/>
      <c r="I188" s="95"/>
      <c r="J188" s="95"/>
      <c r="K188" s="95"/>
      <c r="L188" s="95"/>
      <c r="M188" s="95"/>
      <c r="N188" s="95"/>
      <c r="O188" s="95"/>
      <c r="P188" s="95"/>
      <c r="Q188" s="95"/>
      <c r="R188" s="95"/>
      <c r="S188" s="95"/>
      <c r="T188" s="95"/>
      <c r="U188" s="196"/>
      <c r="V188" s="97"/>
      <c r="W188" s="97"/>
      <c r="X188" s="195" t="s">
        <v>629</v>
      </c>
      <c r="Y188" s="196"/>
      <c r="Z188" s="196"/>
      <c r="AA188" s="196"/>
      <c r="AB188" s="195"/>
      <c r="AC188" s="196"/>
      <c r="AD188" s="196"/>
    </row>
    <row r="189" spans="1:30">
      <c r="A189" s="95"/>
      <c r="B189" s="95"/>
      <c r="C189" s="95"/>
      <c r="D189" s="95"/>
      <c r="E189" s="95"/>
      <c r="F189" s="95"/>
      <c r="G189" s="95"/>
      <c r="H189" s="95"/>
      <c r="I189" s="95"/>
      <c r="J189" s="95"/>
      <c r="K189" s="95"/>
      <c r="L189" s="95"/>
      <c r="M189" s="95"/>
      <c r="N189" s="95"/>
      <c r="O189" s="95"/>
      <c r="P189" s="95"/>
      <c r="Q189" s="95"/>
      <c r="R189" s="95"/>
      <c r="S189" s="95"/>
      <c r="T189" s="95"/>
      <c r="U189" s="196"/>
      <c r="V189" s="97"/>
      <c r="W189" s="97"/>
      <c r="X189" s="195" t="s">
        <v>630</v>
      </c>
      <c r="Y189" s="196"/>
      <c r="Z189" s="196"/>
      <c r="AA189" s="196"/>
      <c r="AB189" s="195"/>
      <c r="AC189" s="196"/>
      <c r="AD189" s="196"/>
    </row>
    <row r="190" spans="1:30">
      <c r="A190" s="95"/>
      <c r="B190" s="95"/>
      <c r="C190" s="95"/>
      <c r="D190" s="95"/>
      <c r="E190" s="95"/>
      <c r="F190" s="95"/>
      <c r="G190" s="95"/>
      <c r="H190" s="95"/>
      <c r="I190" s="95"/>
      <c r="J190" s="95"/>
      <c r="K190" s="95"/>
      <c r="L190" s="95"/>
      <c r="M190" s="95"/>
      <c r="N190" s="95"/>
      <c r="O190" s="95"/>
      <c r="P190" s="95"/>
      <c r="Q190" s="95"/>
      <c r="R190" s="95"/>
      <c r="S190" s="95"/>
      <c r="T190" s="95"/>
      <c r="U190" s="196"/>
      <c r="V190" s="97"/>
      <c r="W190" s="97"/>
      <c r="X190" s="195" t="s">
        <v>631</v>
      </c>
      <c r="Y190" s="196"/>
      <c r="Z190" s="196"/>
      <c r="AA190" s="196"/>
      <c r="AB190" s="195"/>
      <c r="AC190" s="196"/>
      <c r="AD190" s="196"/>
    </row>
  </sheetData>
  <dataValidations count="11">
    <dataValidation type="list" allowBlank="1" showInputMessage="1" showErrorMessage="1" sqref="K3:K50">
      <formula1>$AC$3:$AC$6</formula1>
    </dataValidation>
    <dataValidation type="list" allowBlank="1" showInputMessage="1" showErrorMessage="1" sqref="I3:I50">
      <formula1>$AA$3:$AA$17</formula1>
    </dataValidation>
    <dataValidation type="list" allowBlank="1" showInputMessage="1" showErrorMessage="1" sqref="H3:H50">
      <formula1>$Z$3:$Z$9</formula1>
    </dataValidation>
    <dataValidation type="list" allowBlank="1" showInputMessage="1" showErrorMessage="1" sqref="G3:G50">
      <formula1>$Y$3:$Y$9</formula1>
    </dataValidation>
    <dataValidation type="list" allowBlank="1" showInputMessage="1" showErrorMessage="1" sqref="E3:E50">
      <formula1>$X$3:$X$191</formula1>
    </dataValidation>
    <dataValidation type="list" allowBlank="1" showInputMessage="1" showErrorMessage="1" sqref="D3:D50">
      <formula1>$W$3:$W$58</formula1>
    </dataValidation>
    <dataValidation type="list" allowBlank="1" showInputMessage="1" showErrorMessage="1" sqref="C3:C50">
      <formula1>$V$3:$V$18</formula1>
    </dataValidation>
    <dataValidation type="list" allowBlank="1" showInputMessage="1" showErrorMessage="1" sqref="O3:O50">
      <formula1>$AD$3:$AD$14</formula1>
    </dataValidation>
    <dataValidation type="list" allowBlank="1" showInputMessage="1" showErrorMessage="1" sqref="J3:J50">
      <formula1>$AB$3:$AB$65</formula1>
    </dataValidation>
    <dataValidation type="list" allowBlank="1" showInputMessage="1" showErrorMessage="1" sqref="F3:F50">
      <formula1>"Yes,No"</formula1>
    </dataValidation>
    <dataValidation type="list" allowBlank="1" showInputMessage="1" showErrorMessage="1" sqref="B3:B50">
      <formula1>$U$3:$U$8</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Sheet3">
    <tabColor rgb="FF92D050"/>
  </sheetPr>
  <dimension ref="A1:X9"/>
  <sheetViews>
    <sheetView workbookViewId="0">
      <selection activeCell="B50" sqref="B50"/>
    </sheetView>
  </sheetViews>
  <sheetFormatPr defaultRowHeight="12.75"/>
  <cols>
    <col min="1" max="1" width="13.5703125" bestFit="1" customWidth="1"/>
    <col min="2" max="2" width="42.5703125" bestFit="1" customWidth="1"/>
    <col min="3" max="3" width="12.85546875" customWidth="1"/>
    <col min="4" max="4" width="19.85546875" customWidth="1"/>
    <col min="5" max="5" width="17.7109375" customWidth="1"/>
    <col min="6" max="6" width="34.28515625" customWidth="1"/>
    <col min="7" max="7" width="17" bestFit="1" customWidth="1"/>
    <col min="8" max="8" width="17.7109375" customWidth="1"/>
    <col min="9" max="9" width="19.5703125" customWidth="1"/>
    <col min="10" max="10" width="29.140625" bestFit="1" customWidth="1"/>
    <col min="11" max="11" width="41.7109375" bestFit="1" customWidth="1"/>
    <col min="12" max="12" width="30.5703125" bestFit="1" customWidth="1"/>
    <col min="13" max="13" width="32.5703125" bestFit="1" customWidth="1"/>
    <col min="14" max="14" width="19.42578125" bestFit="1" customWidth="1"/>
    <col min="15" max="15" width="45.28515625" bestFit="1" customWidth="1"/>
    <col min="16" max="16" width="13.5703125" bestFit="1" customWidth="1"/>
    <col min="17" max="17" width="17.5703125" customWidth="1"/>
    <col min="18" max="18" width="13.140625" bestFit="1" customWidth="1"/>
    <col min="19" max="19" width="15.85546875" customWidth="1"/>
    <col min="20" max="20" width="40.5703125" customWidth="1"/>
    <col min="21" max="21" width="31.28515625" customWidth="1"/>
    <col min="22" max="22" width="30.42578125" customWidth="1"/>
    <col min="23" max="23" width="30" bestFit="1" customWidth="1"/>
    <col min="24" max="24" width="57.28515625" customWidth="1"/>
  </cols>
  <sheetData>
    <row r="1" spans="1:24" ht="15">
      <c r="A1" s="47"/>
      <c r="B1" s="47"/>
      <c r="C1" s="173">
        <v>2</v>
      </c>
      <c r="D1" s="173">
        <f t="shared" ref="D1:I1" si="0">C1+1</f>
        <v>3</v>
      </c>
      <c r="E1" s="173">
        <f t="shared" si="0"/>
        <v>4</v>
      </c>
      <c r="F1" s="173">
        <f t="shared" si="0"/>
        <v>5</v>
      </c>
      <c r="G1" s="173">
        <f t="shared" si="0"/>
        <v>6</v>
      </c>
      <c r="H1" s="173">
        <f t="shared" si="0"/>
        <v>7</v>
      </c>
      <c r="I1" s="173">
        <f t="shared" si="0"/>
        <v>8</v>
      </c>
      <c r="J1" s="173"/>
      <c r="K1" s="173"/>
      <c r="L1" s="173"/>
      <c r="M1" s="173"/>
      <c r="N1" s="173"/>
      <c r="O1" s="173"/>
      <c r="P1" s="173"/>
      <c r="Q1" s="173">
        <f>I1+1</f>
        <v>9</v>
      </c>
      <c r="R1" s="173">
        <f t="shared" ref="R1:X1" si="1">Q1+1</f>
        <v>10</v>
      </c>
      <c r="S1" s="173">
        <f t="shared" si="1"/>
        <v>11</v>
      </c>
      <c r="T1" s="173">
        <f t="shared" si="1"/>
        <v>12</v>
      </c>
      <c r="U1" s="173">
        <f t="shared" si="1"/>
        <v>13</v>
      </c>
      <c r="V1" s="173">
        <f t="shared" si="1"/>
        <v>14</v>
      </c>
      <c r="W1" s="173">
        <f t="shared" si="1"/>
        <v>15</v>
      </c>
      <c r="X1" s="173">
        <f t="shared" si="1"/>
        <v>16</v>
      </c>
    </row>
    <row r="2" spans="1:24" ht="15">
      <c r="A2" s="47"/>
      <c r="B2" s="47"/>
      <c r="C2" s="173"/>
      <c r="D2" s="173"/>
      <c r="E2" s="173"/>
      <c r="F2" s="173"/>
      <c r="G2" s="173"/>
      <c r="H2" s="173"/>
      <c r="I2" s="173"/>
      <c r="J2" s="173">
        <v>4</v>
      </c>
      <c r="K2" s="173">
        <v>12</v>
      </c>
      <c r="L2" s="173">
        <v>6</v>
      </c>
      <c r="M2" s="173">
        <v>7</v>
      </c>
      <c r="N2" s="173">
        <v>3</v>
      </c>
      <c r="O2" s="173">
        <v>82</v>
      </c>
      <c r="P2" s="173"/>
      <c r="Q2" s="173"/>
      <c r="R2" s="173"/>
      <c r="S2" s="173"/>
      <c r="T2" s="173"/>
      <c r="U2" s="173"/>
      <c r="V2" s="173"/>
      <c r="W2" s="173"/>
      <c r="X2" s="173"/>
    </row>
    <row r="3" spans="1:24" ht="15">
      <c r="C3" s="174"/>
      <c r="D3" s="174"/>
      <c r="E3" s="174"/>
      <c r="F3" s="174"/>
      <c r="G3" s="175"/>
      <c r="H3" s="175"/>
      <c r="I3" s="175"/>
      <c r="J3" s="175"/>
      <c r="K3" s="175"/>
      <c r="L3" s="175"/>
      <c r="M3" s="175"/>
      <c r="N3" s="175"/>
      <c r="O3" s="175"/>
      <c r="P3" s="175"/>
      <c r="Q3" s="174"/>
      <c r="R3" s="174"/>
      <c r="S3" s="175"/>
      <c r="T3" s="175"/>
      <c r="U3" s="175"/>
      <c r="V3" s="175"/>
      <c r="W3" s="175"/>
      <c r="X3" s="175"/>
    </row>
    <row r="4" spans="1:24" ht="15">
      <c r="B4" s="48"/>
      <c r="C4" s="176"/>
      <c r="D4" s="177"/>
      <c r="E4" s="177"/>
      <c r="F4" s="177"/>
      <c r="G4" s="176"/>
      <c r="H4" s="176"/>
      <c r="I4" s="176"/>
      <c r="J4" s="176">
        <v>0</v>
      </c>
      <c r="K4" s="176">
        <v>0</v>
      </c>
      <c r="L4" s="176">
        <v>2</v>
      </c>
      <c r="M4" s="176">
        <v>2</v>
      </c>
      <c r="N4" s="176">
        <v>0</v>
      </c>
      <c r="O4" s="176">
        <v>1</v>
      </c>
      <c r="P4" s="176"/>
      <c r="Q4" s="177"/>
      <c r="R4" s="177"/>
      <c r="S4" s="176"/>
      <c r="T4" s="176"/>
      <c r="U4" s="176"/>
      <c r="V4" s="176"/>
      <c r="W4" s="176"/>
      <c r="X4" s="176"/>
    </row>
    <row r="5" spans="1:24" ht="13.5" thickBot="1">
      <c r="A5" s="50" t="s">
        <v>267</v>
      </c>
      <c r="B5" s="49" t="s">
        <v>104</v>
      </c>
      <c r="C5" s="49" t="s">
        <v>102</v>
      </c>
      <c r="D5" s="49" t="s">
        <v>268</v>
      </c>
      <c r="E5" s="49" t="s">
        <v>103</v>
      </c>
      <c r="F5" s="50" t="s">
        <v>269</v>
      </c>
      <c r="G5" s="49" t="s">
        <v>111</v>
      </c>
      <c r="H5" s="49" t="s">
        <v>270</v>
      </c>
      <c r="I5" s="49" t="s">
        <v>271</v>
      </c>
      <c r="J5" s="49" t="s">
        <v>115</v>
      </c>
      <c r="K5" s="49" t="s">
        <v>116</v>
      </c>
      <c r="L5" s="49" t="s">
        <v>112</v>
      </c>
      <c r="M5" s="49" t="s">
        <v>113</v>
      </c>
      <c r="N5" s="49" t="s">
        <v>114</v>
      </c>
      <c r="O5" s="49" t="s">
        <v>117</v>
      </c>
      <c r="P5" s="49" t="s">
        <v>119</v>
      </c>
      <c r="Q5" s="49" t="s">
        <v>105</v>
      </c>
      <c r="R5" s="49" t="s">
        <v>106</v>
      </c>
      <c r="S5" s="49" t="s">
        <v>107</v>
      </c>
      <c r="T5" s="49" t="s">
        <v>110</v>
      </c>
      <c r="U5" s="50" t="s">
        <v>272</v>
      </c>
      <c r="V5" s="50" t="s">
        <v>273</v>
      </c>
      <c r="W5" s="49" t="s">
        <v>108</v>
      </c>
      <c r="X5" s="49" t="s">
        <v>118</v>
      </c>
    </row>
    <row r="6" spans="1:24" ht="15.75" thickBot="1">
      <c r="A6" s="735" t="s">
        <v>120</v>
      </c>
      <c r="B6" s="736"/>
      <c r="C6" s="736"/>
      <c r="D6" s="736"/>
      <c r="E6" s="736"/>
      <c r="F6" s="736"/>
      <c r="G6" s="736"/>
      <c r="H6" s="736"/>
      <c r="I6" s="736"/>
      <c r="J6" s="737"/>
      <c r="K6" s="735" t="s">
        <v>121</v>
      </c>
      <c r="L6" s="736"/>
      <c r="M6" s="736"/>
      <c r="N6" s="736"/>
      <c r="O6" s="737"/>
      <c r="P6" s="735" t="s">
        <v>122</v>
      </c>
      <c r="Q6" s="736"/>
      <c r="R6" s="736"/>
      <c r="S6" s="736"/>
      <c r="T6" s="736"/>
      <c r="U6" s="736"/>
      <c r="V6" s="736"/>
      <c r="W6" s="736"/>
      <c r="X6" s="737"/>
    </row>
    <row r="7" spans="1:24" ht="15">
      <c r="A7" s="178" t="s">
        <v>274</v>
      </c>
      <c r="B7" s="178" t="s">
        <v>275</v>
      </c>
      <c r="C7" s="178" t="s">
        <v>123</v>
      </c>
      <c r="D7" s="178" t="s">
        <v>276</v>
      </c>
      <c r="E7" s="178" t="s">
        <v>88</v>
      </c>
      <c r="F7" s="178" t="s">
        <v>277</v>
      </c>
      <c r="G7" s="178" t="s">
        <v>127</v>
      </c>
      <c r="H7" s="178" t="s">
        <v>270</v>
      </c>
      <c r="I7" s="178" t="s">
        <v>271</v>
      </c>
      <c r="J7" s="178" t="s">
        <v>129</v>
      </c>
      <c r="K7" s="178" t="s">
        <v>130</v>
      </c>
      <c r="L7" s="178" t="s">
        <v>112</v>
      </c>
      <c r="M7" s="178" t="s">
        <v>128</v>
      </c>
      <c r="N7" s="178" t="s">
        <v>114</v>
      </c>
      <c r="O7" s="178" t="s">
        <v>131</v>
      </c>
      <c r="P7" s="178" t="s">
        <v>132</v>
      </c>
      <c r="Q7" s="178" t="s">
        <v>124</v>
      </c>
      <c r="R7" s="178" t="s">
        <v>125</v>
      </c>
      <c r="S7" s="178" t="s">
        <v>126</v>
      </c>
      <c r="T7" s="178" t="s">
        <v>110</v>
      </c>
      <c r="U7" s="178" t="s">
        <v>272</v>
      </c>
      <c r="V7" s="178" t="s">
        <v>273</v>
      </c>
      <c r="W7" s="178" t="s">
        <v>108</v>
      </c>
      <c r="X7" s="178" t="s">
        <v>118</v>
      </c>
    </row>
    <row r="8" spans="1:24">
      <c r="A8" s="179">
        <v>1</v>
      </c>
      <c r="B8" s="180">
        <f>MDataMeas!A436</f>
        <v>0</v>
      </c>
      <c r="C8" s="181" t="e">
        <f t="shared" ref="C8:I9" si="2">VLOOKUP($B8,LookupTable,C$1,0)</f>
        <v>#N/A</v>
      </c>
      <c r="D8" s="181" t="e">
        <f t="shared" si="2"/>
        <v>#N/A</v>
      </c>
      <c r="E8" s="181" t="e">
        <f t="shared" si="2"/>
        <v>#N/A</v>
      </c>
      <c r="F8" s="181" t="e">
        <f t="shared" si="2"/>
        <v>#N/A</v>
      </c>
      <c r="G8" s="181" t="e">
        <f t="shared" si="2"/>
        <v>#N/A</v>
      </c>
      <c r="H8" s="181" t="e">
        <f t="shared" si="2"/>
        <v>#N/A</v>
      </c>
      <c r="I8" s="181" t="e">
        <f t="shared" si="2"/>
        <v>#N/A</v>
      </c>
      <c r="J8" s="182" t="e">
        <f t="shared" ref="J8:N9" ca="1" si="3">ROUND(VLOOKUP($B8,INDIRECT(OutputRange),J$2,0),J$4)</f>
        <v>#REF!</v>
      </c>
      <c r="K8" s="182" t="e">
        <f t="shared" ca="1" si="3"/>
        <v>#REF!</v>
      </c>
      <c r="L8" s="182" t="e">
        <f t="shared" ca="1" si="3"/>
        <v>#REF!</v>
      </c>
      <c r="M8" s="182" t="e">
        <f t="shared" ca="1" si="3"/>
        <v>#REF!</v>
      </c>
      <c r="N8" s="182" t="e">
        <f t="shared" ca="1" si="3"/>
        <v>#REF!</v>
      </c>
      <c r="O8" s="183" t="e">
        <f ca="1">ROUND(ROUND(VLOOKUP($B8,INDIRECT(OutputRange),O$2,0),1),O$4)</f>
        <v>#REF!</v>
      </c>
      <c r="P8" s="184" t="e">
        <f ca="1">IF(O8&gt;=1,"Yes","No")</f>
        <v>#REF!</v>
      </c>
      <c r="Q8" s="181" t="e">
        <f t="shared" ref="Q8:X9" si="4">VLOOKUP($B8,LookupTable,Q$1,0)</f>
        <v>#N/A</v>
      </c>
      <c r="R8" s="181" t="e">
        <f t="shared" si="4"/>
        <v>#N/A</v>
      </c>
      <c r="S8" s="181" t="e">
        <f t="shared" si="4"/>
        <v>#N/A</v>
      </c>
      <c r="T8" s="181" t="e">
        <f t="shared" si="4"/>
        <v>#N/A</v>
      </c>
      <c r="U8" s="181" t="e">
        <f t="shared" si="4"/>
        <v>#N/A</v>
      </c>
      <c r="V8" s="181" t="e">
        <f t="shared" si="4"/>
        <v>#N/A</v>
      </c>
      <c r="W8" s="181" t="e">
        <f t="shared" si="4"/>
        <v>#N/A</v>
      </c>
      <c r="X8" s="181" t="e">
        <f t="shared" si="4"/>
        <v>#N/A</v>
      </c>
    </row>
    <row r="9" spans="1:24">
      <c r="A9" s="179">
        <v>2</v>
      </c>
      <c r="B9" s="180">
        <f>MDataMeas!A437</f>
        <v>0</v>
      </c>
      <c r="C9" s="181" t="e">
        <f t="shared" si="2"/>
        <v>#N/A</v>
      </c>
      <c r="D9" s="181" t="e">
        <f t="shared" si="2"/>
        <v>#N/A</v>
      </c>
      <c r="E9" s="181" t="e">
        <f t="shared" si="2"/>
        <v>#N/A</v>
      </c>
      <c r="F9" s="181" t="e">
        <f t="shared" si="2"/>
        <v>#N/A</v>
      </c>
      <c r="G9" s="181" t="e">
        <f t="shared" si="2"/>
        <v>#N/A</v>
      </c>
      <c r="H9" s="181" t="e">
        <f t="shared" si="2"/>
        <v>#N/A</v>
      </c>
      <c r="I9" s="181" t="e">
        <f t="shared" si="2"/>
        <v>#N/A</v>
      </c>
      <c r="J9" s="182" t="e">
        <f t="shared" ca="1" si="3"/>
        <v>#REF!</v>
      </c>
      <c r="K9" s="182" t="e">
        <f t="shared" ca="1" si="3"/>
        <v>#REF!</v>
      </c>
      <c r="L9" s="182" t="e">
        <f t="shared" ca="1" si="3"/>
        <v>#REF!</v>
      </c>
      <c r="M9" s="182" t="e">
        <f t="shared" ca="1" si="3"/>
        <v>#REF!</v>
      </c>
      <c r="N9" s="182" t="e">
        <f t="shared" ca="1" si="3"/>
        <v>#REF!</v>
      </c>
      <c r="O9" s="183" t="e">
        <f ca="1">ROUND(ROUND(VLOOKUP($B9,INDIRECT(OutputRange),O$2,0),1),O$4)</f>
        <v>#REF!</v>
      </c>
      <c r="P9" s="184" t="e">
        <f ca="1">IF(O9&gt;=1,"Yes","No")</f>
        <v>#REF!</v>
      </c>
      <c r="Q9" s="181" t="e">
        <f t="shared" si="4"/>
        <v>#N/A</v>
      </c>
      <c r="R9" s="181" t="e">
        <f t="shared" si="4"/>
        <v>#N/A</v>
      </c>
      <c r="S9" s="181" t="e">
        <f t="shared" si="4"/>
        <v>#N/A</v>
      </c>
      <c r="T9" s="181" t="e">
        <f t="shared" si="4"/>
        <v>#N/A</v>
      </c>
      <c r="U9" s="181" t="e">
        <f t="shared" si="4"/>
        <v>#N/A</v>
      </c>
      <c r="V9" s="181" t="e">
        <f t="shared" si="4"/>
        <v>#N/A</v>
      </c>
      <c r="W9" s="181" t="e">
        <f t="shared" si="4"/>
        <v>#N/A</v>
      </c>
      <c r="X9" s="181" t="e">
        <f t="shared" si="4"/>
        <v>#N/A</v>
      </c>
    </row>
  </sheetData>
  <mergeCells count="3">
    <mergeCell ref="A6:J6"/>
    <mergeCell ref="K6:O6"/>
    <mergeCell ref="P6:X6"/>
  </mergeCell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sheetPr codeName="Sheet9">
    <tabColor rgb="FF92D050"/>
  </sheetPr>
  <dimension ref="A1:I60"/>
  <sheetViews>
    <sheetView workbookViewId="0">
      <selection activeCell="B11" sqref="B11:D11"/>
    </sheetView>
  </sheetViews>
  <sheetFormatPr defaultRowHeight="12.75"/>
  <cols>
    <col min="1" max="2" width="22.28515625" customWidth="1"/>
    <col min="3" max="3" width="36" customWidth="1"/>
    <col min="4" max="4" width="38.140625" customWidth="1"/>
    <col min="5" max="5" width="34.140625" customWidth="1"/>
    <col min="6" max="6" width="35.85546875" customWidth="1"/>
    <col min="7" max="7" width="41.28515625" customWidth="1"/>
    <col min="8" max="8" width="35.85546875" customWidth="1"/>
    <col min="9" max="9" width="41.28515625" customWidth="1"/>
  </cols>
  <sheetData>
    <row r="1" spans="1:9">
      <c r="A1" s="741" t="s">
        <v>199</v>
      </c>
      <c r="B1" s="741"/>
      <c r="C1" s="741"/>
      <c r="D1" s="104"/>
      <c r="E1" s="105"/>
      <c r="F1" s="105"/>
      <c r="G1" s="106"/>
      <c r="H1" s="106"/>
      <c r="I1" s="106"/>
    </row>
    <row r="2" spans="1:9">
      <c r="A2" s="107"/>
      <c r="B2" s="107"/>
      <c r="C2" s="107"/>
      <c r="D2" s="107"/>
      <c r="E2" s="107"/>
      <c r="F2" s="107"/>
      <c r="G2" s="107"/>
      <c r="H2" s="107"/>
      <c r="I2" s="107"/>
    </row>
    <row r="3" spans="1:9">
      <c r="A3" s="742" t="s">
        <v>200</v>
      </c>
      <c r="B3" s="743"/>
      <c r="C3" s="743"/>
      <c r="D3" s="744"/>
      <c r="E3" s="108"/>
      <c r="F3" s="108"/>
      <c r="G3" s="107"/>
      <c r="H3" s="107"/>
      <c r="I3" s="107"/>
    </row>
    <row r="4" spans="1:9">
      <c r="A4" s="109" t="s">
        <v>134</v>
      </c>
      <c r="B4" s="738"/>
      <c r="C4" s="739"/>
      <c r="D4" s="740"/>
      <c r="E4" s="108"/>
      <c r="F4" s="108"/>
      <c r="G4" s="107"/>
      <c r="H4" s="107"/>
      <c r="I4" s="107"/>
    </row>
    <row r="5" spans="1:9">
      <c r="A5" s="109" t="s">
        <v>135</v>
      </c>
      <c r="B5" s="745"/>
      <c r="C5" s="746"/>
      <c r="D5" s="747"/>
      <c r="E5" s="108"/>
      <c r="F5" s="108"/>
      <c r="G5" s="107"/>
      <c r="H5" s="107"/>
      <c r="I5" s="107"/>
    </row>
    <row r="6" spans="1:9">
      <c r="A6" s="110" t="s">
        <v>195</v>
      </c>
      <c r="B6" s="738"/>
      <c r="C6" s="739"/>
      <c r="D6" s="740"/>
      <c r="E6" s="108"/>
      <c r="F6" s="108"/>
      <c r="G6" s="107"/>
      <c r="H6" s="107"/>
      <c r="I6" s="107"/>
    </row>
    <row r="7" spans="1:9">
      <c r="A7" s="110" t="s">
        <v>201</v>
      </c>
      <c r="B7" s="738"/>
      <c r="C7" s="739"/>
      <c r="D7" s="740"/>
      <c r="E7" s="108"/>
      <c r="F7" s="108"/>
      <c r="G7" s="107"/>
      <c r="H7" s="107"/>
      <c r="I7" s="107"/>
    </row>
    <row r="8" spans="1:9">
      <c r="A8" s="110" t="s">
        <v>202</v>
      </c>
      <c r="B8" s="738"/>
      <c r="C8" s="739"/>
      <c r="D8" s="740"/>
      <c r="E8" s="108"/>
      <c r="F8" s="108"/>
      <c r="G8" s="107"/>
      <c r="H8" s="107"/>
      <c r="I8" s="107"/>
    </row>
    <row r="9" spans="1:9">
      <c r="A9" s="110" t="s">
        <v>203</v>
      </c>
      <c r="B9" s="738"/>
      <c r="C9" s="739"/>
      <c r="D9" s="740"/>
      <c r="E9" s="108"/>
      <c r="F9" s="108"/>
      <c r="G9" s="107"/>
      <c r="H9" s="107"/>
      <c r="I9" s="107"/>
    </row>
    <row r="10" spans="1:9">
      <c r="A10" s="110" t="s">
        <v>88</v>
      </c>
      <c r="B10" s="738"/>
      <c r="C10" s="739"/>
      <c r="D10" s="740"/>
      <c r="E10" s="108"/>
      <c r="F10" s="108"/>
      <c r="G10" s="107"/>
      <c r="H10" s="107"/>
      <c r="I10" s="107"/>
    </row>
    <row r="11" spans="1:9">
      <c r="A11" s="110" t="s">
        <v>204</v>
      </c>
      <c r="B11" s="738"/>
      <c r="C11" s="739"/>
      <c r="D11" s="740"/>
      <c r="E11" s="108"/>
      <c r="F11" s="108"/>
      <c r="G11" s="107"/>
      <c r="H11" s="107"/>
      <c r="I11" s="107"/>
    </row>
    <row r="12" spans="1:9">
      <c r="A12" s="110" t="s">
        <v>205</v>
      </c>
      <c r="B12" s="748"/>
      <c r="C12" s="749"/>
      <c r="D12" s="750"/>
      <c r="E12" s="108"/>
      <c r="F12" s="108"/>
      <c r="G12" s="107"/>
      <c r="H12" s="107"/>
      <c r="I12" s="107"/>
    </row>
    <row r="13" spans="1:9">
      <c r="A13" s="110" t="s">
        <v>206</v>
      </c>
      <c r="B13" s="748"/>
      <c r="C13" s="749"/>
      <c r="D13" s="750"/>
      <c r="E13" s="108"/>
      <c r="F13" s="108"/>
      <c r="G13" s="107"/>
      <c r="H13" s="107"/>
      <c r="I13" s="107"/>
    </row>
    <row r="14" spans="1:9">
      <c r="A14" s="110" t="s">
        <v>144</v>
      </c>
      <c r="B14" s="738" t="str">
        <f ca="1">MID(CELL("filename"),SEARCH("[",CELL("filename"))+1, SEARCH("]",CELL("filename"))-SEARCH("[",CELL("filename"))-1)</f>
        <v>COM-WaterSupply-7P_V5.xlsm</v>
      </c>
      <c r="C14" s="739"/>
      <c r="D14" s="740"/>
      <c r="E14" s="108"/>
      <c r="F14" s="108"/>
      <c r="G14" s="107"/>
      <c r="H14" s="107"/>
      <c r="I14" s="107"/>
    </row>
    <row r="15" spans="1:9">
      <c r="A15" s="109" t="s">
        <v>145</v>
      </c>
      <c r="B15" s="738" t="s">
        <v>147</v>
      </c>
      <c r="C15" s="739"/>
      <c r="D15" s="740"/>
      <c r="E15" s="108"/>
      <c r="F15" s="108"/>
      <c r="G15" s="107"/>
      <c r="H15" s="107"/>
      <c r="I15" s="107"/>
    </row>
    <row r="16" spans="1:9" ht="25.5">
      <c r="A16" s="110" t="s">
        <v>207</v>
      </c>
      <c r="B16" s="738" t="str">
        <f>COUNTIF(MeasureTable!C8:C296,"*")&amp;" measure application defined by..."</f>
        <v>0 measure application defined by...</v>
      </c>
      <c r="C16" s="739"/>
      <c r="D16" s="740"/>
      <c r="E16" s="108"/>
      <c r="F16" s="108"/>
      <c r="G16" s="107"/>
      <c r="H16" s="107"/>
      <c r="I16" s="107"/>
    </row>
    <row r="17" spans="1:9">
      <c r="A17" s="111"/>
      <c r="B17" s="111"/>
      <c r="C17" s="112"/>
      <c r="D17" s="108"/>
      <c r="E17" s="108"/>
      <c r="F17" s="108"/>
      <c r="G17" s="107"/>
      <c r="H17" s="107"/>
      <c r="I17" s="107"/>
    </row>
    <row r="18" spans="1:9">
      <c r="A18" s="113" t="s">
        <v>136</v>
      </c>
      <c r="B18" s="114"/>
      <c r="C18" s="114"/>
      <c r="D18" s="114"/>
      <c r="E18" s="114"/>
      <c r="F18" s="114"/>
      <c r="G18" s="107"/>
      <c r="H18" s="107"/>
      <c r="I18" s="107"/>
    </row>
    <row r="19" spans="1:9">
      <c r="A19" s="113" t="s">
        <v>137</v>
      </c>
      <c r="B19" s="751" t="s">
        <v>138</v>
      </c>
      <c r="C19" s="752"/>
      <c r="D19" s="753"/>
      <c r="E19" s="754" t="s">
        <v>139</v>
      </c>
      <c r="F19" s="754"/>
      <c r="G19" s="107"/>
      <c r="H19" s="107"/>
      <c r="I19" s="107"/>
    </row>
    <row r="20" spans="1:9">
      <c r="A20" s="115"/>
      <c r="B20" s="755"/>
      <c r="C20" s="756"/>
      <c r="D20" s="757"/>
      <c r="E20" s="758"/>
      <c r="F20" s="758"/>
      <c r="G20" s="107"/>
      <c r="H20" s="107"/>
      <c r="I20" s="107"/>
    </row>
    <row r="21" spans="1:9">
      <c r="A21" s="115"/>
      <c r="B21" s="755"/>
      <c r="C21" s="756"/>
      <c r="D21" s="757"/>
      <c r="E21" s="759"/>
      <c r="F21" s="759"/>
      <c r="G21" s="107"/>
      <c r="H21" s="107"/>
      <c r="I21" s="107"/>
    </row>
    <row r="22" spans="1:9">
      <c r="A22" s="115"/>
      <c r="B22" s="755"/>
      <c r="C22" s="756"/>
      <c r="D22" s="757"/>
      <c r="E22" s="760"/>
      <c r="F22" s="761"/>
      <c r="G22" s="107"/>
      <c r="H22" s="107"/>
      <c r="I22" s="107"/>
    </row>
    <row r="23" spans="1:9">
      <c r="A23" s="111"/>
      <c r="B23" s="111"/>
      <c r="C23" s="112"/>
      <c r="D23" s="108"/>
      <c r="E23" s="108"/>
      <c r="F23" s="108"/>
      <c r="G23" s="107"/>
      <c r="H23" s="107"/>
      <c r="I23" s="107"/>
    </row>
    <row r="24" spans="1:9">
      <c r="A24" s="116" t="s">
        <v>140</v>
      </c>
      <c r="B24" s="117"/>
      <c r="C24" s="117"/>
      <c r="D24" s="117"/>
      <c r="E24" s="117"/>
      <c r="F24" s="117"/>
      <c r="G24" s="107"/>
      <c r="H24" s="107"/>
      <c r="I24" s="107"/>
    </row>
    <row r="25" spans="1:9">
      <c r="A25" s="118" t="s">
        <v>141</v>
      </c>
      <c r="B25" s="762" t="s">
        <v>138</v>
      </c>
      <c r="C25" s="763"/>
      <c r="D25" s="764"/>
      <c r="E25" s="765" t="s">
        <v>139</v>
      </c>
      <c r="F25" s="765"/>
      <c r="G25" s="107"/>
      <c r="H25" s="107"/>
      <c r="I25" s="107"/>
    </row>
    <row r="26" spans="1:9">
      <c r="A26" s="119"/>
      <c r="B26" s="760"/>
      <c r="C26" s="766"/>
      <c r="D26" s="761"/>
      <c r="E26" s="767"/>
      <c r="F26" s="768"/>
      <c r="G26" s="106"/>
      <c r="H26" s="106"/>
      <c r="I26" s="106"/>
    </row>
    <row r="27" spans="1:9">
      <c r="A27" s="119"/>
      <c r="B27" s="760"/>
      <c r="C27" s="766"/>
      <c r="D27" s="761"/>
      <c r="E27" s="769"/>
      <c r="F27" s="770"/>
      <c r="G27" s="106"/>
      <c r="H27" s="106"/>
      <c r="I27" s="106"/>
    </row>
    <row r="28" spans="1:9">
      <c r="A28" s="120"/>
      <c r="B28" s="760"/>
      <c r="C28" s="766"/>
      <c r="D28" s="761"/>
      <c r="E28" s="771"/>
      <c r="F28" s="772"/>
      <c r="G28" s="106"/>
      <c r="H28" s="106"/>
      <c r="I28" s="106"/>
    </row>
    <row r="29" spans="1:9">
      <c r="A29" s="121"/>
      <c r="B29" s="760"/>
      <c r="C29" s="766"/>
      <c r="D29" s="761"/>
      <c r="E29" s="771"/>
      <c r="F29" s="772"/>
      <c r="G29" s="106"/>
      <c r="H29" s="106"/>
      <c r="I29" s="106"/>
    </row>
    <row r="30" spans="1:9">
      <c r="A30" s="122"/>
      <c r="B30" s="760"/>
      <c r="C30" s="766"/>
      <c r="D30" s="761"/>
      <c r="E30" s="771"/>
      <c r="F30" s="771"/>
      <c r="G30" s="107"/>
      <c r="H30" s="107"/>
      <c r="I30" s="107"/>
    </row>
    <row r="31" spans="1:9">
      <c r="A31" s="122"/>
      <c r="B31" s="760"/>
      <c r="C31" s="766"/>
      <c r="D31" s="761"/>
      <c r="E31" s="771"/>
      <c r="F31" s="771"/>
      <c r="G31" s="107"/>
      <c r="H31" s="107"/>
      <c r="I31" s="107"/>
    </row>
    <row r="32" spans="1:9">
      <c r="A32" s="111"/>
      <c r="B32" s="111"/>
      <c r="C32" s="112"/>
      <c r="D32" s="108"/>
      <c r="E32" s="108"/>
      <c r="F32" s="108"/>
      <c r="G32" s="107"/>
      <c r="H32" s="107"/>
      <c r="I32" s="107"/>
    </row>
    <row r="33" spans="1:9">
      <c r="A33" s="123" t="s">
        <v>208</v>
      </c>
      <c r="B33" s="124"/>
      <c r="C33" s="125"/>
      <c r="D33" s="126"/>
      <c r="E33" s="126"/>
      <c r="F33" s="126"/>
      <c r="G33" s="127"/>
      <c r="H33" s="126"/>
      <c r="I33" s="127"/>
    </row>
    <row r="34" spans="1:9" ht="25.5">
      <c r="A34" s="128" t="s">
        <v>136</v>
      </c>
      <c r="B34" s="128" t="s">
        <v>209</v>
      </c>
      <c r="C34" s="128" t="s">
        <v>142</v>
      </c>
      <c r="D34" s="128" t="s">
        <v>143</v>
      </c>
      <c r="E34" s="128" t="s">
        <v>202</v>
      </c>
      <c r="F34" s="128" t="s">
        <v>210</v>
      </c>
      <c r="G34" s="128" t="s">
        <v>211</v>
      </c>
      <c r="H34" s="128" t="s">
        <v>212</v>
      </c>
      <c r="I34" s="128" t="s">
        <v>213</v>
      </c>
    </row>
    <row r="35" spans="1:9">
      <c r="A35" s="773"/>
      <c r="B35" s="776"/>
      <c r="C35" s="779"/>
      <c r="D35" s="773"/>
      <c r="E35" s="773">
        <f>B8</f>
        <v>0</v>
      </c>
      <c r="F35" s="129"/>
      <c r="G35" s="129"/>
      <c r="H35" s="782"/>
      <c r="I35" s="782"/>
    </row>
    <row r="36" spans="1:9">
      <c r="A36" s="774"/>
      <c r="B36" s="777"/>
      <c r="C36" s="780"/>
      <c r="D36" s="774"/>
      <c r="E36" s="774"/>
      <c r="F36" s="130"/>
      <c r="G36" s="130"/>
      <c r="H36" s="783"/>
      <c r="I36" s="783"/>
    </row>
    <row r="37" spans="1:9">
      <c r="A37" s="775"/>
      <c r="B37" s="778"/>
      <c r="C37" s="781"/>
      <c r="D37" s="775"/>
      <c r="E37" s="775"/>
      <c r="F37" s="131"/>
      <c r="G37" s="131"/>
      <c r="H37" s="784"/>
      <c r="I37" s="784"/>
    </row>
    <row r="38" spans="1:9">
      <c r="A38" s="111"/>
      <c r="B38" s="111"/>
      <c r="C38" s="112"/>
      <c r="D38" s="108"/>
      <c r="E38" s="108"/>
      <c r="F38" s="108"/>
      <c r="G38" s="107"/>
      <c r="H38" s="107"/>
      <c r="I38" s="107"/>
    </row>
    <row r="39" spans="1:9">
      <c r="A39" s="132" t="s">
        <v>214</v>
      </c>
      <c r="B39" s="133"/>
      <c r="C39" s="108"/>
      <c r="D39" s="108"/>
      <c r="E39" s="108"/>
      <c r="F39" s="108"/>
      <c r="G39" s="107"/>
      <c r="H39" s="107"/>
      <c r="I39" s="107"/>
    </row>
    <row r="40" spans="1:9">
      <c r="A40" s="134" t="s">
        <v>136</v>
      </c>
      <c r="B40" s="134" t="s">
        <v>215</v>
      </c>
      <c r="C40" s="134" t="s">
        <v>216</v>
      </c>
      <c r="D40" s="134" t="s">
        <v>202</v>
      </c>
      <c r="E40" s="135" t="s">
        <v>217</v>
      </c>
      <c r="F40" s="136" t="s">
        <v>218</v>
      </c>
      <c r="G40" s="135" t="s">
        <v>219</v>
      </c>
      <c r="H40" s="137" t="s">
        <v>220</v>
      </c>
      <c r="I40" s="107"/>
    </row>
    <row r="41" spans="1:9">
      <c r="A41" s="785" t="s">
        <v>221</v>
      </c>
      <c r="B41" s="788" t="s">
        <v>222</v>
      </c>
      <c r="C41" s="791"/>
      <c r="D41" s="794">
        <f>B8</f>
        <v>0</v>
      </c>
      <c r="E41" s="138"/>
      <c r="F41" s="139"/>
      <c r="G41" s="797"/>
      <c r="H41" s="797" t="s">
        <v>223</v>
      </c>
      <c r="I41" s="107"/>
    </row>
    <row r="42" spans="1:9">
      <c r="A42" s="786"/>
      <c r="B42" s="789"/>
      <c r="C42" s="792"/>
      <c r="D42" s="795"/>
      <c r="E42" s="140"/>
      <c r="F42" s="141"/>
      <c r="G42" s="798"/>
      <c r="H42" s="798"/>
      <c r="I42" s="107"/>
    </row>
    <row r="43" spans="1:9">
      <c r="A43" s="787"/>
      <c r="B43" s="790"/>
      <c r="C43" s="793"/>
      <c r="D43" s="795"/>
      <c r="E43" s="142"/>
      <c r="F43" s="143"/>
      <c r="G43" s="799"/>
      <c r="H43" s="799"/>
      <c r="I43" s="107"/>
    </row>
    <row r="44" spans="1:9">
      <c r="A44" s="800" t="s">
        <v>221</v>
      </c>
      <c r="B44" s="803" t="s">
        <v>224</v>
      </c>
      <c r="C44" s="791"/>
      <c r="D44" s="795"/>
      <c r="E44" s="142"/>
      <c r="F44" s="143"/>
      <c r="G44" s="813"/>
      <c r="H44" s="806" t="s">
        <v>223</v>
      </c>
      <c r="I44" s="144"/>
    </row>
    <row r="45" spans="1:9">
      <c r="A45" s="801"/>
      <c r="B45" s="804"/>
      <c r="C45" s="792"/>
      <c r="D45" s="795"/>
      <c r="E45" s="142"/>
      <c r="F45" s="143"/>
      <c r="G45" s="814"/>
      <c r="H45" s="807"/>
      <c r="I45" s="144"/>
    </row>
    <row r="46" spans="1:9">
      <c r="A46" s="802"/>
      <c r="B46" s="805"/>
      <c r="C46" s="793"/>
      <c r="D46" s="795"/>
      <c r="E46" s="142"/>
      <c r="F46" s="143"/>
      <c r="G46" s="815"/>
      <c r="H46" s="808"/>
      <c r="I46" s="144"/>
    </row>
    <row r="47" spans="1:9">
      <c r="A47" s="800" t="s">
        <v>221</v>
      </c>
      <c r="B47" s="803" t="s">
        <v>225</v>
      </c>
      <c r="C47" s="791"/>
      <c r="D47" s="795"/>
      <c r="E47" s="142"/>
      <c r="F47" s="143"/>
      <c r="G47" s="813"/>
      <c r="H47" s="806" t="s">
        <v>223</v>
      </c>
      <c r="I47" s="144"/>
    </row>
    <row r="48" spans="1:9">
      <c r="A48" s="801"/>
      <c r="B48" s="804"/>
      <c r="C48" s="792"/>
      <c r="D48" s="795"/>
      <c r="E48" s="142"/>
      <c r="F48" s="143"/>
      <c r="G48" s="814"/>
      <c r="H48" s="807"/>
      <c r="I48" s="144"/>
    </row>
    <row r="49" spans="1:9">
      <c r="A49" s="802"/>
      <c r="B49" s="805"/>
      <c r="C49" s="793"/>
      <c r="D49" s="795"/>
      <c r="E49" s="142"/>
      <c r="F49" s="143"/>
      <c r="G49" s="815"/>
      <c r="H49" s="808"/>
      <c r="I49" s="144"/>
    </row>
    <row r="50" spans="1:9">
      <c r="A50" s="800" t="s">
        <v>221</v>
      </c>
      <c r="B50" s="803" t="s">
        <v>226</v>
      </c>
      <c r="C50" s="791"/>
      <c r="D50" s="795"/>
      <c r="E50" s="142"/>
      <c r="F50" s="143"/>
      <c r="G50" s="813"/>
      <c r="H50" s="806" t="s">
        <v>223</v>
      </c>
      <c r="I50" s="144"/>
    </row>
    <row r="51" spans="1:9">
      <c r="A51" s="801"/>
      <c r="B51" s="804"/>
      <c r="C51" s="792"/>
      <c r="D51" s="795"/>
      <c r="E51" s="142"/>
      <c r="F51" s="143"/>
      <c r="G51" s="814"/>
      <c r="H51" s="807"/>
      <c r="I51" s="144"/>
    </row>
    <row r="52" spans="1:9">
      <c r="A52" s="802"/>
      <c r="B52" s="805"/>
      <c r="C52" s="793"/>
      <c r="D52" s="795"/>
      <c r="E52" s="142"/>
      <c r="F52" s="143"/>
      <c r="G52" s="815"/>
      <c r="H52" s="808"/>
      <c r="I52" s="144"/>
    </row>
    <row r="53" spans="1:9" ht="25.5">
      <c r="A53" s="145" t="s">
        <v>221</v>
      </c>
      <c r="B53" s="146" t="s">
        <v>227</v>
      </c>
      <c r="C53" s="147"/>
      <c r="D53" s="796"/>
      <c r="E53" s="148"/>
      <c r="F53" s="149"/>
      <c r="G53" s="150"/>
      <c r="H53" s="151"/>
      <c r="I53" s="144"/>
    </row>
    <row r="54" spans="1:9">
      <c r="A54" s="152"/>
      <c r="B54" s="153"/>
      <c r="C54" s="153"/>
      <c r="D54" s="154"/>
      <c r="E54" s="155"/>
      <c r="F54" s="155"/>
      <c r="G54" s="156"/>
      <c r="H54" s="157"/>
      <c r="I54" s="144"/>
    </row>
    <row r="55" spans="1:9">
      <c r="A55" s="158" t="s">
        <v>228</v>
      </c>
      <c r="B55" s="144"/>
      <c r="C55" s="144"/>
      <c r="D55" s="144"/>
      <c r="E55" s="144"/>
      <c r="F55" s="144"/>
      <c r="G55" s="144"/>
      <c r="H55" s="159"/>
      <c r="I55" s="144"/>
    </row>
    <row r="56" spans="1:9">
      <c r="A56" s="160" t="s">
        <v>136</v>
      </c>
      <c r="B56" s="160"/>
      <c r="C56" s="160" t="s">
        <v>216</v>
      </c>
      <c r="D56" s="161" t="s">
        <v>202</v>
      </c>
      <c r="E56" s="160" t="s">
        <v>217</v>
      </c>
      <c r="F56" s="162"/>
      <c r="G56" s="160"/>
      <c r="H56" s="163" t="s">
        <v>220</v>
      </c>
      <c r="I56" s="144"/>
    </row>
    <row r="57" spans="1:9">
      <c r="A57" s="803" t="s">
        <v>221</v>
      </c>
      <c r="B57" s="164"/>
      <c r="C57" s="791"/>
      <c r="D57" s="809">
        <f>B8</f>
        <v>0</v>
      </c>
      <c r="E57" s="165"/>
      <c r="F57" s="166"/>
      <c r="G57" s="167"/>
      <c r="H57" s="812" t="s">
        <v>223</v>
      </c>
      <c r="I57" s="144"/>
    </row>
    <row r="58" spans="1:9">
      <c r="A58" s="804"/>
      <c r="B58" s="168"/>
      <c r="C58" s="792"/>
      <c r="D58" s="810"/>
      <c r="E58" s="165"/>
      <c r="F58" s="166"/>
      <c r="G58" s="169"/>
      <c r="H58" s="812"/>
      <c r="I58" s="144"/>
    </row>
    <row r="59" spans="1:9">
      <c r="A59" s="804"/>
      <c r="B59" s="168"/>
      <c r="C59" s="792"/>
      <c r="D59" s="810"/>
      <c r="E59" s="165"/>
      <c r="F59" s="166"/>
      <c r="G59" s="169"/>
      <c r="H59" s="812"/>
      <c r="I59" s="144"/>
    </row>
    <row r="60" spans="1:9">
      <c r="A60" s="805"/>
      <c r="B60" s="170"/>
      <c r="C60" s="793"/>
      <c r="D60" s="811"/>
      <c r="E60" s="165"/>
      <c r="F60" s="171"/>
      <c r="G60" s="172"/>
      <c r="H60" s="812"/>
      <c r="I60" s="144"/>
    </row>
  </sheetData>
  <mergeCells count="69">
    <mergeCell ref="A57:A60"/>
    <mergeCell ref="C57:C60"/>
    <mergeCell ref="D57:D60"/>
    <mergeCell ref="H57:H60"/>
    <mergeCell ref="C44:C46"/>
    <mergeCell ref="G44:G46"/>
    <mergeCell ref="H44:H46"/>
    <mergeCell ref="A47:A49"/>
    <mergeCell ref="B47:B49"/>
    <mergeCell ref="C47:C49"/>
    <mergeCell ref="G47:G49"/>
    <mergeCell ref="H47:H49"/>
    <mergeCell ref="A50:A52"/>
    <mergeCell ref="B50:B52"/>
    <mergeCell ref="C50:C52"/>
    <mergeCell ref="G50:G52"/>
    <mergeCell ref="H35:H37"/>
    <mergeCell ref="I35:I37"/>
    <mergeCell ref="A41:A43"/>
    <mergeCell ref="B41:B43"/>
    <mergeCell ref="C41:C43"/>
    <mergeCell ref="D41:D53"/>
    <mergeCell ref="G41:G43"/>
    <mergeCell ref="H41:H43"/>
    <mergeCell ref="A44:A46"/>
    <mergeCell ref="B44:B46"/>
    <mergeCell ref="H50:H52"/>
    <mergeCell ref="B30:D30"/>
    <mergeCell ref="E30:F30"/>
    <mergeCell ref="B31:D31"/>
    <mergeCell ref="E31:F31"/>
    <mergeCell ref="A35:A37"/>
    <mergeCell ref="B35:B37"/>
    <mergeCell ref="C35:C37"/>
    <mergeCell ref="D35:D37"/>
    <mergeCell ref="E35:E37"/>
    <mergeCell ref="B27:D27"/>
    <mergeCell ref="E27:F27"/>
    <mergeCell ref="B28:D28"/>
    <mergeCell ref="E28:F28"/>
    <mergeCell ref="B29:D29"/>
    <mergeCell ref="E29:F29"/>
    <mergeCell ref="B22:D22"/>
    <mergeCell ref="E22:F22"/>
    <mergeCell ref="B25:D25"/>
    <mergeCell ref="E25:F25"/>
    <mergeCell ref="B26:D26"/>
    <mergeCell ref="E26:F26"/>
    <mergeCell ref="B19:D19"/>
    <mergeCell ref="E19:F19"/>
    <mergeCell ref="B20:D20"/>
    <mergeCell ref="E20:F20"/>
    <mergeCell ref="B21:D21"/>
    <mergeCell ref="E21:F21"/>
    <mergeCell ref="B16:D16"/>
    <mergeCell ref="A1:C1"/>
    <mergeCell ref="A3:D3"/>
    <mergeCell ref="B7:D7"/>
    <mergeCell ref="B8:D8"/>
    <mergeCell ref="B9:D9"/>
    <mergeCell ref="B10:D10"/>
    <mergeCell ref="B4:D4"/>
    <mergeCell ref="B5:D5"/>
    <mergeCell ref="B6:D6"/>
    <mergeCell ref="B11:D11"/>
    <mergeCell ref="B12:D12"/>
    <mergeCell ref="B13:D13"/>
    <mergeCell ref="B14:D14"/>
    <mergeCell ref="B15:D15"/>
  </mergeCells>
  <dataValidations count="6">
    <dataValidation type="list" allowBlank="1" showInputMessage="1" showErrorMessage="1" sqref="B8">
      <formula1>Baseline</formula1>
    </dataValidation>
    <dataValidation type="list" allowBlank="1" showInputMessage="1" showErrorMessage="1" sqref="B11">
      <formula1>Procedure</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57:F60">
      <formula1>LifetimeDataSourceTypes</formula1>
    </dataValidation>
    <dataValidation type="list" allowBlank="1" showInputMessage="1" showErrorMessage="1" sqref="F41:F53">
      <formula1>CostDataSourceTypes</formula1>
    </dataValidation>
  </dataValidations>
  <pageMargins left="0.7" right="0.7" top="0.75" bottom="0.75" header="0.3" footer="0.3"/>
  <pageSetup orientation="portrait" r:id="rId1"/>
  <legacyDrawing r:id="rId2"/>
</worksheet>
</file>

<file path=xl/worksheets/sheet20.xml><?xml version="1.0" encoding="utf-8"?>
<worksheet xmlns="http://schemas.openxmlformats.org/spreadsheetml/2006/main" xmlns:r="http://schemas.openxmlformats.org/officeDocument/2006/relationships">
  <sheetPr codeName="Sheet1"/>
  <dimension ref="A1:G12"/>
  <sheetViews>
    <sheetView workbookViewId="0">
      <selection activeCell="E22" sqref="E22"/>
    </sheetView>
  </sheetViews>
  <sheetFormatPr defaultRowHeight="12.75"/>
  <cols>
    <col min="1" max="1" width="34" bestFit="1" customWidth="1"/>
    <col min="2" max="2" width="14.28515625" bestFit="1" customWidth="1"/>
    <col min="3" max="3" width="23.5703125" bestFit="1" customWidth="1"/>
    <col min="4" max="4" width="10.85546875" bestFit="1" customWidth="1"/>
    <col min="5" max="5" width="19.85546875" bestFit="1" customWidth="1"/>
    <col min="6" max="6" width="9.28515625" bestFit="1" customWidth="1"/>
    <col min="7" max="7" width="31.42578125" bestFit="1" customWidth="1"/>
  </cols>
  <sheetData>
    <row r="1" spans="1:7">
      <c r="A1" t="s">
        <v>229</v>
      </c>
      <c r="B1" t="s">
        <v>230</v>
      </c>
      <c r="C1" t="s">
        <v>231</v>
      </c>
      <c r="D1" t="s">
        <v>88</v>
      </c>
      <c r="E1" t="s">
        <v>232</v>
      </c>
      <c r="F1" t="s">
        <v>233</v>
      </c>
      <c r="G1" t="s">
        <v>202</v>
      </c>
    </row>
    <row r="2" spans="1:7">
      <c r="A2" t="s">
        <v>234</v>
      </c>
      <c r="B2" t="s">
        <v>87</v>
      </c>
      <c r="C2" t="s">
        <v>235</v>
      </c>
      <c r="D2" t="s">
        <v>236</v>
      </c>
      <c r="E2" t="s">
        <v>237</v>
      </c>
      <c r="F2" t="s">
        <v>238</v>
      </c>
      <c r="G2" t="s">
        <v>239</v>
      </c>
    </row>
    <row r="3" spans="1:7">
      <c r="A3" t="s">
        <v>240</v>
      </c>
      <c r="B3" t="s">
        <v>241</v>
      </c>
      <c r="C3" t="s">
        <v>242</v>
      </c>
      <c r="D3" t="s">
        <v>243</v>
      </c>
      <c r="E3" t="s">
        <v>244</v>
      </c>
      <c r="F3" t="s">
        <v>245</v>
      </c>
      <c r="G3" t="s">
        <v>246</v>
      </c>
    </row>
    <row r="4" spans="1:7">
      <c r="A4" t="s">
        <v>247</v>
      </c>
      <c r="B4" t="s">
        <v>248</v>
      </c>
      <c r="C4" t="s">
        <v>249</v>
      </c>
      <c r="D4" t="s">
        <v>250</v>
      </c>
      <c r="E4" t="s">
        <v>251</v>
      </c>
      <c r="F4" t="s">
        <v>252</v>
      </c>
      <c r="G4" t="s">
        <v>253</v>
      </c>
    </row>
    <row r="5" spans="1:7">
      <c r="A5" t="s">
        <v>254</v>
      </c>
      <c r="B5" t="s">
        <v>255</v>
      </c>
      <c r="C5" t="s">
        <v>256</v>
      </c>
      <c r="D5" t="s">
        <v>257</v>
      </c>
      <c r="E5" t="s">
        <v>221</v>
      </c>
    </row>
    <row r="6" spans="1:7">
      <c r="A6" t="s">
        <v>258</v>
      </c>
      <c r="B6" t="s">
        <v>259</v>
      </c>
      <c r="C6" t="s">
        <v>221</v>
      </c>
      <c r="D6" t="s">
        <v>221</v>
      </c>
    </row>
    <row r="7" spans="1:7">
      <c r="A7" t="s">
        <v>260</v>
      </c>
      <c r="B7" t="s">
        <v>261</v>
      </c>
    </row>
    <row r="8" spans="1:7">
      <c r="A8" t="s">
        <v>262</v>
      </c>
      <c r="B8" t="s">
        <v>221</v>
      </c>
    </row>
    <row r="9" spans="1:7">
      <c r="A9" t="s">
        <v>263</v>
      </c>
    </row>
    <row r="10" spans="1:7">
      <c r="A10" t="s">
        <v>264</v>
      </c>
    </row>
    <row r="11" spans="1:7">
      <c r="A11" t="s">
        <v>265</v>
      </c>
    </row>
    <row r="12" spans="1:7">
      <c r="A12" t="s">
        <v>266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20</vt:i4>
      </vt:variant>
    </vt:vector>
  </HeadingPairs>
  <TitlesOfParts>
    <vt:vector size="40" baseType="lpstr">
      <vt:lpstr>7PSourceSummary</vt:lpstr>
      <vt:lpstr>forRPM</vt:lpstr>
      <vt:lpstr>SC-Retro</vt:lpstr>
      <vt:lpstr>Measure InputOutput_Out</vt:lpstr>
      <vt:lpstr>Measure InputOutput</vt:lpstr>
      <vt:lpstr>SavingsData&amp;Analysis</vt:lpstr>
      <vt:lpstr>CostData&amp;Analysis</vt:lpstr>
      <vt:lpstr>MDataMeas_Out</vt:lpstr>
      <vt:lpstr>MDataMeas</vt:lpstr>
      <vt:lpstr>Savings and Cost</vt:lpstr>
      <vt:lpstr>Data</vt:lpstr>
      <vt:lpstr>Accomplishments</vt:lpstr>
      <vt:lpstr>To Do 7P</vt:lpstr>
      <vt:lpstr>ProCost 6th Plan Inputs</vt:lpstr>
      <vt:lpstr>Levelized Cost Note</vt:lpstr>
      <vt:lpstr>Problems</vt:lpstr>
      <vt:lpstr>LookupTable</vt:lpstr>
      <vt:lpstr>MeasureTable</vt:lpstr>
      <vt:lpstr>Summary</vt:lpstr>
      <vt:lpstr>ValidationLists</vt:lpstr>
      <vt:lpstr>Data!_ftn1</vt:lpstr>
      <vt:lpstr>Data!_ftnref1</vt:lpstr>
      <vt:lpstr>Data!_Ref159148320</vt:lpstr>
      <vt:lpstr>Data!_Ref159148779</vt:lpstr>
      <vt:lpstr>Data!_Ref159149223</vt:lpstr>
      <vt:lpstr>Data!_Ref159296965</vt:lpstr>
      <vt:lpstr>Data!_Ref161711933</vt:lpstr>
      <vt:lpstr>Baseline</vt:lpstr>
      <vt:lpstr>Category</vt:lpstr>
      <vt:lpstr>CostDataSourceTypes</vt:lpstr>
      <vt:lpstr>LinkedWorkbooks</vt:lpstr>
      <vt:lpstr>list_6thPlanInputs</vt:lpstr>
      <vt:lpstr>LookupTable</vt:lpstr>
      <vt:lpstr>MeasureOutputR</vt:lpstr>
      <vt:lpstr>Method</vt:lpstr>
      <vt:lpstr>OutputRange</vt:lpstr>
      <vt:lpstr>OutSCurve</vt:lpstr>
      <vt:lpstr>Procedure</vt:lpstr>
      <vt:lpstr>'SC-Retro'!SC_Retro</vt:lpstr>
      <vt:lpstr>SECTOR_INPUTS</vt:lpstr>
    </vt:vector>
  </TitlesOfParts>
  <Company>Preferred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cp:lastPrinted>2005-03-03T04:28:51Z</cp:lastPrinted>
  <dcterms:created xsi:type="dcterms:W3CDTF">1998-09-25T20:50:37Z</dcterms:created>
  <dcterms:modified xsi:type="dcterms:W3CDTF">2015-03-19T16:25:43Z</dcterms:modified>
</cp:coreProperties>
</file>